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29.xml" ContentType="application/vnd.openxmlformats-officedocument.spreadsheetml.table+xml"/>
  <Override PartName="/xl/comments4.xml" ContentType="application/vnd.openxmlformats-officedocument.spreadsheetml.comments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pivotTables/pivotTable2.xml" ContentType="application/vnd.openxmlformats-officedocument.spreadsheetml.pivotTable+xml"/>
  <Override PartName="/xl/tables/table3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5- MAIO\3 Cerpro\"/>
    </mc:Choice>
  </mc:AlternateContent>
  <xr:revisionPtr revIDLastSave="0" documentId="8_{85260C88-DE2C-4C2A-B9BC-8DE90CFA496F}" xr6:coauthVersionLast="47" xr6:coauthVersionMax="47" xr10:uidLastSave="{00000000-0000-0000-0000-000000000000}"/>
  <bookViews>
    <workbookView xWindow="-120" yWindow="-120" windowWidth="29040" windowHeight="15840" tabRatio="725" firstSheet="13" activeTab="20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CVA" sheetId="135" r:id="rId19"/>
    <sheet name="Conta covid" sheetId="131" r:id="rId20"/>
    <sheet name="Aj.Subsídio" sheetId="123" r:id="rId21"/>
    <sheet name="Indexador" sheetId="25" r:id="rId22"/>
    <sheet name="BD SUPRIMENTO" sheetId="84" state="hidden" r:id="rId23"/>
    <sheet name="RA0BD" sheetId="57" state="hidden" r:id="rId24"/>
    <sheet name="SimuBD" sheetId="62" state="hidden" r:id="rId25"/>
    <sheet name="Índices" sheetId="7" r:id="rId26"/>
    <sheet name="BD-NET" sheetId="49" r:id="rId27"/>
    <sheet name="Sharepoint" sheetId="121" state="hidden" r:id="rId28"/>
    <sheet name="COEFICIENTES" sheetId="102" state="hidden" r:id="rId29"/>
    <sheet name="REN 473" sheetId="95" state="hidden" r:id="rId30"/>
    <sheet name="ERD" sheetId="94" state="hidden" r:id="rId31"/>
    <sheet name="Glossário Vínculos" sheetId="85" state="hidden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8" hidden="1">#REF!</definedName>
    <definedName name="__123Graph_APREVRCOM" localSheetId="8" hidden="1">#REF!</definedName>
    <definedName name="__123Graph_APREVRCOM" hidden="1">#REF!</definedName>
    <definedName name="__123Graph_APREVREALI" localSheetId="18" hidden="1">#REF!</definedName>
    <definedName name="__123Graph_APREVREALI" localSheetId="8" hidden="1">#REF!</definedName>
    <definedName name="__123Graph_APREVREALI" hidden="1">#REF!</definedName>
    <definedName name="__123Graph_APREVRIND" localSheetId="18" hidden="1">#REF!</definedName>
    <definedName name="__123Graph_APREVRIND" localSheetId="8" hidden="1">#REF!</definedName>
    <definedName name="__123Graph_APREVRIND" hidden="1">#REF!</definedName>
    <definedName name="__123Graph_APREVROUT" localSheetId="18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8" hidden="1">#REF!</definedName>
    <definedName name="__123Graph_APREVRRES" localSheetId="8" hidden="1">#REF!</definedName>
    <definedName name="__123Graph_APREVRRES" hidden="1">#REF!</definedName>
    <definedName name="__123Graph_APREVRTOT" localSheetId="18" hidden="1">#REF!</definedName>
    <definedName name="__123Graph_APREVRTOT" localSheetId="8" hidden="1">#REF!</definedName>
    <definedName name="__123Graph_APREVRTOT" hidden="1">#REF!</definedName>
    <definedName name="__123Graph_B" localSheetId="18" hidden="1">#REF!</definedName>
    <definedName name="__123Graph_B" localSheetId="8" hidden="1">#REF!</definedName>
    <definedName name="__123Graph_B" hidden="1">#REF!</definedName>
    <definedName name="__123Graph_BCOMPARA" localSheetId="18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8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8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8" hidden="1">#REF!</definedName>
    <definedName name="__123Graph_BPREVREALI" localSheetId="8" hidden="1">#REF!</definedName>
    <definedName name="__123Graph_BPREVREALI" hidden="1">#REF!</definedName>
    <definedName name="__123Graph_C" localSheetId="18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8" hidden="1">#REF!</definedName>
    <definedName name="__123Graph_CPREVREALI" localSheetId="8" hidden="1">#REF!</definedName>
    <definedName name="__123Graph_CPREVREALI" hidden="1">#REF!</definedName>
    <definedName name="__123Graph_D" localSheetId="18" hidden="1">#REF!</definedName>
    <definedName name="__123Graph_D" localSheetId="8" hidden="1">#REF!</definedName>
    <definedName name="__123Graph_D" hidden="1">#REF!</definedName>
    <definedName name="__123Graph_DCDI" localSheetId="18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8" hidden="1">#REF!</definedName>
    <definedName name="__123Graph_DCOMPARA" localSheetId="8" hidden="1">#REF!</definedName>
    <definedName name="__123Graph_DCOMPARA" hidden="1">#REF!</definedName>
    <definedName name="__123Graph_DGERAL" localSheetId="18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8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8" hidden="1">#REF!</definedName>
    <definedName name="__123Graph_EPREVREALI" localSheetId="8" hidden="1">#REF!</definedName>
    <definedName name="__123Graph_EPREVREALI" hidden="1">#REF!</definedName>
    <definedName name="__123Graph_F" localSheetId="18" hidden="1">#REF!</definedName>
    <definedName name="__123Graph_F" localSheetId="8" hidden="1">#REF!</definedName>
    <definedName name="__123Graph_F" hidden="1">#REF!</definedName>
    <definedName name="__123Graph_FCDI" localSheetId="18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8" hidden="1">#REF!</definedName>
    <definedName name="__123Graph_FCOMPARA" localSheetId="8" hidden="1">#REF!</definedName>
    <definedName name="__123Graph_FCOMPARA" hidden="1">#REF!</definedName>
    <definedName name="__123Graph_FGERAL" localSheetId="18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8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8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2" hidden="1">'BD SUPRIMENTO'!$B$1:$R$165</definedName>
    <definedName name="_xlnm._FilterDatabase" localSheetId="3" hidden="1">BDCOVID!$A$1:$AH$497</definedName>
    <definedName name="_xlnm._FilterDatabase" localSheetId="26" hidden="1">'BD-NET'!$A$1:$P$172</definedName>
    <definedName name="_xlnm._FilterDatabase" localSheetId="6" hidden="1">CAPA!$A:$H</definedName>
    <definedName name="_xlnm._FilterDatabase" localSheetId="28" hidden="1">COEFICIENTES!$D$20:$M$124</definedName>
    <definedName name="_xlnm._FilterDatabase" localSheetId="14" hidden="1">CUSD!$A:$H</definedName>
    <definedName name="_xlnm._FilterDatabase" localSheetId="18" hidden="1">#REF!</definedName>
    <definedName name="_xlnm._FilterDatabase" localSheetId="11" hidden="1">Energia!$A:$H</definedName>
    <definedName name="_xlnm._FilterDatabase" localSheetId="4" hidden="1">Faturas!$AB$1:$AE$141</definedName>
    <definedName name="_xlnm._FilterDatabase" localSheetId="25" hidden="1">Índices!$B$6:$F$500</definedName>
    <definedName name="_xlnm._FilterDatabase" localSheetId="23" hidden="1">RA0BD!$A$1:$U$205</definedName>
    <definedName name="_xlnm._FilterDatabase" localSheetId="12" hidden="1">'Rede Básica + Ajuste'!$AA$17:$AA$60</definedName>
    <definedName name="_xlnm._FilterDatabase" localSheetId="24" hidden="1">SimuBD!$A$1:$N$27</definedName>
    <definedName name="_xlnm._FilterDatabase" localSheetId="0" hidden="1">Subsidio!$A$1:$J$52</definedName>
    <definedName name="_xlnm._FilterDatabase" localSheetId="8" hidden="1">'Tabelas e Gráficos'!$BJ$241:$BJ$259</definedName>
    <definedName name="_xlnm._FilterDatabase" hidden="1">#REF!</definedName>
    <definedName name="_FT08" hidden="1">"3OYHDJRF05V1IN1D1R6C32J5E"</definedName>
    <definedName name="_Key1" localSheetId="18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8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8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8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8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8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8" hidden="1">#REF!</definedName>
    <definedName name="BANCO1" localSheetId="8" hidden="1">#REF!</definedName>
    <definedName name="BANCO1" hidden="1">#REF!</definedName>
    <definedName name="bb" localSheetId="18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8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8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8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8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Gráficos'!$BA$241:$BI$248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CVA!$C$9:$E$17,CVA!$I$9:$I$9,CVA!$D$24:$D$32,CVA!$C$42,CVA!$C$46,CVA!$I$11:$I$14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8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Gráficos'!$AW$235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Financeiros!$D$24</definedName>
    <definedName name="LnkTXTAumfin">'Tabelas e Gráficos'!$AC$5</definedName>
    <definedName name="LnkTxtAvalEfeitoEnergia">'[10]Votos e NTs'!$BP$286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Gráficos'!$AQ$190</definedName>
    <definedName name="LnkTXTEnergia">CAPA!$C$102</definedName>
    <definedName name="LnkTXTER" localSheetId="8">Energia!$C$5</definedName>
    <definedName name="LnkTXTER">Energia!$C$5</definedName>
    <definedName name="LnkTXTERFIN">'Tabelas e Gráficos'!$AW$237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Gráficos'!$AW$210</definedName>
    <definedName name="LnkTXTIRTEC">'Tabelas e Gráficos'!$AW$204</definedName>
    <definedName name="LnkTXTIRTEco">Resultado!$C$7</definedName>
    <definedName name="LnkTXTIRTES">'Tabelas e Gráficos'!$AW$194</definedName>
    <definedName name="LnkTXTIRTFin" localSheetId="8">Resultado!$C$8</definedName>
    <definedName name="LnkTXTIRTParcelaA">'Tabelas e Gráficos'!$AW$212</definedName>
    <definedName name="LnkTXTIRTParcelaB">'Tabelas e Gráficos'!$AW$213</definedName>
    <definedName name="LnkTXTIRTTE">'Tabelas e Gráficos'!$AW$206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Gráficos'!$AX$212</definedName>
    <definedName name="LnkTXTPartParcelaB">'Tabelas e Gráficos'!$AX$213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Gráficos'!$AN$168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Financeiros!$D$26</definedName>
    <definedName name="LnkTxTSubvencaoCDE">Financeiros!$D$26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Gráficos'!$BH$248</definedName>
    <definedName name="LnkTXTTransporte">CAPA!$C$103</definedName>
    <definedName name="LnkTXTUNConsu">CAPA!$C$106</definedName>
    <definedName name="LnkTxtVarCDE">Resultado!$F$18</definedName>
    <definedName name="LnkTXTVarEC">'Tabelas e Gráficos'!$AV$204</definedName>
    <definedName name="LnkTXTVarES">'Tabelas e Gráficos'!$AV$194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Gráficos'!$AV$206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8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8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8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8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8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Gráficos'!$AM$164:$AN$183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Gráficos'!$AP$187:$AQ$190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Gráficos'!$BZ$278:$CA$280</definedName>
    <definedName name="TabPerdas">'Tabelas e Gráficos'!$P$111:$Q$114</definedName>
    <definedName name="TabPorcDesc">'Tabelas e Gráficos'!$BT$270:$BW$277</definedName>
    <definedName name="TabRA0">'Tabelas e Gráficos'!$E$59:$G$70</definedName>
    <definedName name="TabRB">'Tabelas e Gráficos'!$BK$250:$BM$259</definedName>
    <definedName name="TabResPB">'Tabelas e Gráficos'!$AH$74:$AK$87</definedName>
    <definedName name="TabResultados">'Tabelas e Gráficos'!$AS$193:$AX$239</definedName>
    <definedName name="TabResultadosNT">'Tabelas e Gráficos'!$AS$193:$AX$236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Gráficos'!$BA$241:$BH$248</definedName>
    <definedName name="TabSubsidios">'Tabelas e Gráficos'!$BO$261:$BR$268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8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8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8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8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8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6" r:id="rId48"/>
    <pivotCache cacheId="7" r:id="rId4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2" i="39" l="1"/>
  <c r="U38" i="25" l="1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I20" i="51"/>
  <c r="C12" i="51"/>
  <c r="C9" i="51"/>
  <c r="C49" i="58"/>
  <c r="C13" i="39"/>
  <c r="V38" i="89"/>
  <c r="V39" i="89"/>
  <c r="K8" i="130" l="1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39" i="89"/>
  <c r="AM181" i="89" l="1"/>
  <c r="AS233" i="89" s="1"/>
  <c r="AM182" i="89"/>
  <c r="AS234" i="89" s="1"/>
  <c r="AN180" i="89"/>
  <c r="AU232" i="89" s="1"/>
  <c r="AM180" i="89"/>
  <c r="AS232" i="89" s="1"/>
  <c r="Q186" i="49" l="1"/>
  <c r="Q184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37" i="49"/>
  <c r="F137" i="49"/>
  <c r="G137" i="49"/>
  <c r="H137" i="49"/>
  <c r="I137" i="49"/>
  <c r="J137" i="49"/>
  <c r="K137" i="49"/>
  <c r="C138" i="49"/>
  <c r="F138" i="49"/>
  <c r="G138" i="49"/>
  <c r="H138" i="49"/>
  <c r="I138" i="49"/>
  <c r="J138" i="49"/>
  <c r="K138" i="49"/>
  <c r="C139" i="49"/>
  <c r="F139" i="49"/>
  <c r="G139" i="49"/>
  <c r="H139" i="49"/>
  <c r="I139" i="49"/>
  <c r="J139" i="49"/>
  <c r="K139" i="49"/>
  <c r="C140" i="49"/>
  <c r="F140" i="49"/>
  <c r="G140" i="49"/>
  <c r="H140" i="49"/>
  <c r="I140" i="49"/>
  <c r="J140" i="49"/>
  <c r="K140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2" i="49"/>
  <c r="G132" i="49"/>
  <c r="H132" i="49"/>
  <c r="I132" i="49"/>
  <c r="J132" i="49"/>
  <c r="K132" i="49"/>
  <c r="G129" i="49"/>
  <c r="H129" i="49"/>
  <c r="I129" i="49"/>
  <c r="J129" i="49"/>
  <c r="K129" i="49"/>
  <c r="F129" i="49"/>
  <c r="F116" i="49"/>
  <c r="G116" i="49"/>
  <c r="H116" i="49"/>
  <c r="I116" i="49"/>
  <c r="J116" i="49"/>
  <c r="K116" i="49"/>
  <c r="F117" i="49"/>
  <c r="G117" i="49"/>
  <c r="H117" i="49"/>
  <c r="I117" i="49"/>
  <c r="J117" i="49"/>
  <c r="K117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G115" i="49"/>
  <c r="H115" i="49"/>
  <c r="I115" i="49"/>
  <c r="J115" i="49"/>
  <c r="K115" i="49"/>
  <c r="F115" i="49"/>
  <c r="C116" i="49"/>
  <c r="C115" i="49"/>
  <c r="Q112" i="49"/>
  <c r="Q111" i="49"/>
  <c r="C112" i="49"/>
  <c r="F112" i="49"/>
  <c r="G112" i="49"/>
  <c r="H112" i="49"/>
  <c r="I112" i="49"/>
  <c r="J112" i="49"/>
  <c r="K112" i="49"/>
  <c r="C113" i="49"/>
  <c r="F113" i="49"/>
  <c r="G113" i="49"/>
  <c r="H113" i="49"/>
  <c r="I113" i="49"/>
  <c r="J113" i="49"/>
  <c r="K113" i="49"/>
  <c r="C114" i="49"/>
  <c r="F114" i="49"/>
  <c r="G114" i="49"/>
  <c r="H114" i="49"/>
  <c r="I114" i="49"/>
  <c r="J114" i="49"/>
  <c r="K114" i="49"/>
  <c r="C111" i="49"/>
  <c r="F109" i="49"/>
  <c r="G109" i="49"/>
  <c r="H109" i="49"/>
  <c r="F110" i="49"/>
  <c r="G110" i="49"/>
  <c r="H110" i="49"/>
  <c r="F111" i="49"/>
  <c r="G111" i="49"/>
  <c r="H111" i="49"/>
  <c r="I110" i="49"/>
  <c r="J110" i="49"/>
  <c r="K110" i="49"/>
  <c r="I111" i="49"/>
  <c r="J111" i="49"/>
  <c r="K111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B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79" i="89" l="1"/>
  <c r="AM179" i="89"/>
  <c r="AS225" i="89" l="1"/>
  <c r="AS227" i="89"/>
  <c r="AS230" i="89"/>
  <c r="AS231" i="89"/>
  <c r="AU231" i="89"/>
  <c r="AO179" i="89"/>
  <c r="AO180" i="89"/>
  <c r="AN175" i="89"/>
  <c r="AU227" i="89" s="1"/>
  <c r="AN178" i="89"/>
  <c r="AU230" i="89" s="1"/>
  <c r="C18" i="50"/>
  <c r="E49" i="58" l="1"/>
  <c r="D49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J41" i="58"/>
  <c r="J40" i="58"/>
  <c r="J42" i="58"/>
  <c r="J43" i="58"/>
  <c r="J44" i="58"/>
  <c r="J45" i="58"/>
  <c r="L25" i="58" l="1"/>
  <c r="O48" i="49"/>
  <c r="O49" i="49"/>
  <c r="O50" i="49"/>
  <c r="O51" i="49"/>
  <c r="O47" i="49"/>
  <c r="J11" i="130"/>
  <c r="P266" i="49"/>
  <c r="P265" i="49"/>
  <c r="L48" i="49"/>
  <c r="L49" i="49"/>
  <c r="L50" i="49"/>
  <c r="L51" i="49"/>
  <c r="L47" i="49"/>
  <c r="C242" i="49" l="1"/>
  <c r="F242" i="49"/>
  <c r="G242" i="49"/>
  <c r="H242" i="49"/>
  <c r="I242" i="49"/>
  <c r="J242" i="49"/>
  <c r="Q245" i="49"/>
  <c r="P245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2" i="49"/>
  <c r="P252" i="49" s="1"/>
  <c r="Q251" i="49"/>
  <c r="P251" i="49" s="1"/>
  <c r="Q250" i="49"/>
  <c r="P250" i="49" s="1"/>
  <c r="Q249" i="49"/>
  <c r="P249" i="49" s="1"/>
  <c r="Q248" i="49"/>
  <c r="P248" i="49" s="1"/>
  <c r="Q247" i="49"/>
  <c r="P247" i="49" s="1"/>
  <c r="Q246" i="49"/>
  <c r="P246" i="49" s="1"/>
  <c r="Q244" i="49"/>
  <c r="P244" i="49" s="1"/>
  <c r="Q243" i="49"/>
  <c r="P243" i="49" s="1"/>
  <c r="C209" i="49"/>
  <c r="F209" i="49"/>
  <c r="G209" i="49"/>
  <c r="H209" i="49"/>
  <c r="I209" i="49"/>
  <c r="J209" i="49"/>
  <c r="K209" i="49"/>
  <c r="C210" i="49"/>
  <c r="F210" i="49"/>
  <c r="G210" i="49"/>
  <c r="H210" i="49"/>
  <c r="I210" i="49"/>
  <c r="J210" i="49"/>
  <c r="K210" i="49"/>
  <c r="C211" i="49"/>
  <c r="F211" i="49"/>
  <c r="G211" i="49"/>
  <c r="H211" i="49"/>
  <c r="I211" i="49"/>
  <c r="J211" i="49"/>
  <c r="K211" i="49"/>
  <c r="C212" i="49"/>
  <c r="F212" i="49"/>
  <c r="G212" i="49"/>
  <c r="H212" i="49"/>
  <c r="I212" i="49"/>
  <c r="J212" i="49"/>
  <c r="K212" i="49"/>
  <c r="C213" i="49"/>
  <c r="F213" i="49"/>
  <c r="G213" i="49"/>
  <c r="H213" i="49"/>
  <c r="I213" i="49"/>
  <c r="J213" i="49"/>
  <c r="K213" i="49"/>
  <c r="C214" i="49"/>
  <c r="F214" i="49"/>
  <c r="G214" i="49"/>
  <c r="H214" i="49"/>
  <c r="I214" i="49"/>
  <c r="J214" i="49"/>
  <c r="K214" i="49"/>
  <c r="C215" i="49"/>
  <c r="F215" i="49"/>
  <c r="G215" i="49"/>
  <c r="H215" i="49"/>
  <c r="I215" i="49"/>
  <c r="J215" i="49"/>
  <c r="K215" i="49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G208" i="49"/>
  <c r="H208" i="49"/>
  <c r="I208" i="49"/>
  <c r="J208" i="49"/>
  <c r="K208" i="49"/>
  <c r="F208" i="49"/>
  <c r="C208" i="49"/>
  <c r="D60" i="50"/>
  <c r="D59" i="50"/>
  <c r="D58" i="50"/>
  <c r="D51" i="50"/>
  <c r="D45" i="50"/>
  <c r="D43" i="50"/>
  <c r="D44" i="50"/>
  <c r="Q209" i="49" l="1"/>
  <c r="P209" i="49" s="1"/>
  <c r="C66" i="64"/>
  <c r="Q210" i="49"/>
  <c r="P210" i="49" s="1"/>
  <c r="C67" i="64"/>
  <c r="Q208" i="49"/>
  <c r="P208" i="49" s="1"/>
  <c r="C65" i="64"/>
  <c r="Q216" i="49"/>
  <c r="P216" i="49" s="1"/>
  <c r="C73" i="64"/>
  <c r="Q223" i="49"/>
  <c r="P223" i="49" s="1"/>
  <c r="C80" i="64"/>
  <c r="Q224" i="49"/>
  <c r="P224" i="49" s="1"/>
  <c r="C81" i="64"/>
  <c r="Q225" i="49"/>
  <c r="P225" i="49" s="1"/>
  <c r="C82" i="64"/>
  <c r="Q207" i="49"/>
  <c r="K54" i="58" l="1" a="1"/>
  <c r="K54" i="58" s="1"/>
  <c r="I54" i="58" a="1"/>
  <c r="I54" i="58" s="1"/>
  <c r="J49" i="58" a="1"/>
  <c r="J49" i="58" s="1"/>
  <c r="I49" i="58" a="1"/>
  <c r="I49" i="58" s="1"/>
  <c r="I50" i="58" s="1"/>
  <c r="I51" i="58" s="1"/>
  <c r="E51" i="58"/>
  <c r="D51" i="58" s="1"/>
  <c r="C51" i="58"/>
  <c r="E50" i="58"/>
  <c r="C50" i="58"/>
  <c r="J54" i="58" l="1"/>
  <c r="K49" i="58"/>
  <c r="C52" i="58"/>
  <c r="F50" i="58"/>
  <c r="F51" i="58"/>
  <c r="F49" i="58"/>
  <c r="C24" i="135"/>
  <c r="C32" i="135"/>
  <c r="C31" i="135"/>
  <c r="C30" i="135"/>
  <c r="C29" i="135"/>
  <c r="C28" i="135"/>
  <c r="C27" i="135"/>
  <c r="C26" i="135"/>
  <c r="C25" i="135"/>
  <c r="F52" i="58" l="1"/>
  <c r="B65" i="135"/>
  <c r="B64" i="135" s="1"/>
  <c r="I10" i="135"/>
  <c r="I3" i="135"/>
  <c r="I2" i="135"/>
  <c r="D33" i="135"/>
  <c r="S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S80" i="25" l="1"/>
  <c r="R28" i="135"/>
  <c r="B63" i="135"/>
  <c r="E33" i="135"/>
  <c r="C33" i="135"/>
  <c r="F65" i="135" a="1"/>
  <c r="X65" i="135" a="1"/>
  <c r="G65" i="135" a="1"/>
  <c r="Y65" i="135" a="1"/>
  <c r="H65" i="135" a="1"/>
  <c r="O65" i="135" a="1"/>
  <c r="I65" i="135" a="1"/>
  <c r="T65" i="135" a="1"/>
  <c r="S65" i="135" a="1"/>
  <c r="N65" i="135" a="1"/>
  <c r="L65" i="135" a="1"/>
  <c r="V65" i="135" a="1"/>
  <c r="Q65" i="135" a="1"/>
  <c r="K65" i="135" a="1"/>
  <c r="Z65" i="135" a="1"/>
  <c r="J65" i="135" a="1"/>
  <c r="P65" i="135" a="1"/>
  <c r="E65" i="135" a="1"/>
  <c r="D65" i="135" a="1"/>
  <c r="M65" i="135" a="1"/>
  <c r="AA65" i="135" a="1"/>
  <c r="U65" i="135" a="1"/>
  <c r="AB65" i="135" a="1"/>
  <c r="W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M64" i="135" a="1"/>
  <c r="Q64" i="135" a="1"/>
  <c r="U64" i="135" a="1"/>
  <c r="N64" i="135" a="1"/>
  <c r="T64" i="135" a="1"/>
  <c r="L64" i="135" a="1"/>
  <c r="J64" i="135" a="1"/>
  <c r="K64" i="135" a="1"/>
  <c r="W64" i="135" a="1"/>
  <c r="AA64" i="135" a="1"/>
  <c r="E64" i="135" a="1"/>
  <c r="I64" i="135" a="1"/>
  <c r="V64" i="135" a="1"/>
  <c r="X64" i="135" a="1"/>
  <c r="D64" i="135" a="1"/>
  <c r="F64" i="135" a="1"/>
  <c r="O64" i="135" a="1"/>
  <c r="P64" i="135" a="1"/>
  <c r="AB64" i="135" a="1"/>
  <c r="H64" i="135" a="1"/>
  <c r="Y64" i="135" a="1"/>
  <c r="Z64" i="135" a="1"/>
  <c r="G64" i="135" a="1"/>
  <c r="S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X63" i="135" a="1"/>
  <c r="M63" i="135" a="1"/>
  <c r="Q63" i="135" a="1"/>
  <c r="G63" i="135" a="1"/>
  <c r="F63" i="135" a="1"/>
  <c r="N63" i="135" a="1"/>
  <c r="T63" i="135" a="1"/>
  <c r="S63" i="135" a="1"/>
  <c r="Z63" i="135" a="1"/>
  <c r="E63" i="135" a="1"/>
  <c r="D63" i="135" a="1"/>
  <c r="K63" i="135" a="1"/>
  <c r="O63" i="135" a="1"/>
  <c r="AB63" i="135" a="1"/>
  <c r="I63" i="135" a="1"/>
  <c r="W63" i="135" a="1"/>
  <c r="L63" i="135" a="1"/>
  <c r="H63" i="135" a="1"/>
  <c r="U63" i="135" a="1"/>
  <c r="J63" i="135" a="1"/>
  <c r="AA63" i="135" a="1"/>
  <c r="P63" i="135" a="1"/>
  <c r="Y63" i="135" a="1"/>
  <c r="V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N62" i="135" a="1"/>
  <c r="O62" i="135" a="1"/>
  <c r="K62" i="135" a="1"/>
  <c r="T62" i="135" a="1"/>
  <c r="AA62" i="135" a="1"/>
  <c r="S62" i="135" a="1"/>
  <c r="D62" i="135" a="1"/>
  <c r="J62" i="135" a="1"/>
  <c r="M62" i="135" a="1"/>
  <c r="AB62" i="135" a="1"/>
  <c r="X62" i="135" a="1"/>
  <c r="E62" i="135" a="1"/>
  <c r="Z62" i="135" a="1"/>
  <c r="G62" i="135" a="1"/>
  <c r="P62" i="135" a="1"/>
  <c r="W62" i="135" a="1"/>
  <c r="Q62" i="135" a="1"/>
  <c r="H62" i="135" a="1"/>
  <c r="I62" i="135" a="1"/>
  <c r="L62" i="135" a="1"/>
  <c r="F62" i="135" a="1"/>
  <c r="Y62" i="135" a="1"/>
  <c r="U62" i="135" a="1"/>
  <c r="V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M61" i="135" a="1"/>
  <c r="I61" i="135" a="1"/>
  <c r="S61" i="135" a="1"/>
  <c r="Y61" i="135" a="1"/>
  <c r="P61" i="135" a="1"/>
  <c r="N61" i="135" a="1"/>
  <c r="L61" i="135" a="1"/>
  <c r="O61" i="135" a="1"/>
  <c r="U61" i="135" a="1"/>
  <c r="X61" i="135" a="1"/>
  <c r="T61" i="135" a="1"/>
  <c r="D61" i="135" a="1"/>
  <c r="AB61" i="135" a="1"/>
  <c r="V61" i="135" a="1"/>
  <c r="F61" i="135" a="1"/>
  <c r="H61" i="135" a="1"/>
  <c r="W61" i="135" a="1"/>
  <c r="K61" i="135" a="1"/>
  <c r="G61" i="135" a="1"/>
  <c r="J61" i="135" a="1"/>
  <c r="AA61" i="135" a="1"/>
  <c r="E61" i="135" a="1"/>
  <c r="Q61" i="135" a="1"/>
  <c r="Z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N60" i="135" a="1"/>
  <c r="J60" i="135" a="1"/>
  <c r="T60" i="135" a="1"/>
  <c r="O60" i="135" a="1"/>
  <c r="AA60" i="135" a="1"/>
  <c r="Q60" i="135" a="1"/>
  <c r="Y60" i="135" a="1"/>
  <c r="S60" i="135" a="1"/>
  <c r="P60" i="135" a="1"/>
  <c r="V60" i="135" a="1"/>
  <c r="L60" i="135" a="1"/>
  <c r="H60" i="135" a="1"/>
  <c r="K60" i="135" a="1"/>
  <c r="F60" i="135" a="1"/>
  <c r="AB60" i="135" a="1"/>
  <c r="I60" i="135" a="1"/>
  <c r="X60" i="135" a="1"/>
  <c r="M60" i="135" a="1"/>
  <c r="E60" i="135" a="1"/>
  <c r="Z60" i="135" a="1"/>
  <c r="U60" i="135" a="1"/>
  <c r="G60" i="135" a="1"/>
  <c r="D60" i="135" a="1"/>
  <c r="W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E59" i="135" a="1"/>
  <c r="AA59" i="135" a="1"/>
  <c r="T59" i="135" a="1"/>
  <c r="F59" i="135" a="1"/>
  <c r="N59" i="135" a="1"/>
  <c r="O59" i="135" a="1"/>
  <c r="H59" i="135" a="1"/>
  <c r="V59" i="135" a="1"/>
  <c r="P59" i="135" a="1"/>
  <c r="Q59" i="135" a="1"/>
  <c r="M59" i="135" a="1"/>
  <c r="W59" i="135" a="1"/>
  <c r="Y59" i="135" a="1"/>
  <c r="U59" i="135" a="1"/>
  <c r="S59" i="135" a="1"/>
  <c r="K59" i="135" a="1"/>
  <c r="Z59" i="135" a="1"/>
  <c r="I59" i="135" a="1"/>
  <c r="J59" i="135" a="1"/>
  <c r="D59" i="135" a="1"/>
  <c r="X59" i="135" a="1"/>
  <c r="L59" i="135" a="1"/>
  <c r="AB59" i="135" a="1"/>
  <c r="G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H58" i="135" a="1"/>
  <c r="U58" i="135" a="1"/>
  <c r="D58" i="135" a="1"/>
  <c r="X58" i="135" a="1"/>
  <c r="P58" i="135" a="1"/>
  <c r="L58" i="135" a="1"/>
  <c r="K58" i="135" a="1"/>
  <c r="S58" i="135" a="1"/>
  <c r="T58" i="135" a="1"/>
  <c r="J58" i="135" a="1"/>
  <c r="E58" i="135" a="1"/>
  <c r="I58" i="135" a="1"/>
  <c r="Z58" i="135" a="1"/>
  <c r="N58" i="135" a="1"/>
  <c r="Y58" i="135" a="1"/>
  <c r="M58" i="135" a="1"/>
  <c r="G58" i="135" a="1"/>
  <c r="W58" i="135" a="1"/>
  <c r="V58" i="135" a="1"/>
  <c r="O58" i="135" a="1"/>
  <c r="AB58" i="135" a="1"/>
  <c r="F58" i="135" a="1"/>
  <c r="Q58" i="135" a="1"/>
  <c r="AA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J57" i="135" a="1"/>
  <c r="T57" i="135" a="1"/>
  <c r="H57" i="135" a="1"/>
  <c r="S57" i="135" a="1"/>
  <c r="K57" i="135" a="1"/>
  <c r="Z57" i="135" a="1"/>
  <c r="G57" i="135" a="1"/>
  <c r="E57" i="135" a="1"/>
  <c r="Q57" i="135" a="1"/>
  <c r="P57" i="135" a="1"/>
  <c r="AB57" i="135" a="1"/>
  <c r="D57" i="135" a="1"/>
  <c r="N57" i="135" a="1"/>
  <c r="O57" i="135" a="1"/>
  <c r="Y57" i="135" a="1"/>
  <c r="X57" i="135" a="1"/>
  <c r="W57" i="135" a="1"/>
  <c r="V57" i="135" a="1"/>
  <c r="AA57" i="135" a="1"/>
  <c r="I57" i="135" a="1"/>
  <c r="L57" i="135" a="1"/>
  <c r="M57" i="135" a="1"/>
  <c r="F57" i="135" a="1"/>
  <c r="U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AA56" i="135" a="1"/>
  <c r="O56" i="135" a="1"/>
  <c r="P56" i="135" a="1"/>
  <c r="X56" i="135" a="1"/>
  <c r="E56" i="135" a="1"/>
  <c r="G56" i="135" a="1"/>
  <c r="M56" i="135" a="1"/>
  <c r="J56" i="135" a="1"/>
  <c r="N56" i="135" a="1"/>
  <c r="H56" i="135" a="1"/>
  <c r="W56" i="135" a="1"/>
  <c r="AB56" i="135" a="1"/>
  <c r="Y56" i="135" a="1"/>
  <c r="Z56" i="135" a="1"/>
  <c r="K56" i="135" a="1"/>
  <c r="V56" i="135" a="1"/>
  <c r="U56" i="135" a="1"/>
  <c r="Q56" i="135" a="1"/>
  <c r="F56" i="135" a="1"/>
  <c r="S56" i="135" a="1"/>
  <c r="L56" i="135" a="1"/>
  <c r="T56" i="135" a="1"/>
  <c r="I56" i="135" a="1"/>
  <c r="D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P55" i="135" a="1"/>
  <c r="K55" i="135" a="1"/>
  <c r="M55" i="135" a="1"/>
  <c r="F55" i="135" a="1"/>
  <c r="E55" i="135" a="1"/>
  <c r="AA55" i="135" a="1"/>
  <c r="T55" i="135" a="1"/>
  <c r="J55" i="135" a="1"/>
  <c r="V55" i="135" a="1"/>
  <c r="S55" i="135" a="1"/>
  <c r="O55" i="135" a="1"/>
  <c r="L55" i="135" a="1"/>
  <c r="Z55" i="135" a="1"/>
  <c r="H55" i="135" a="1"/>
  <c r="D55" i="135" a="1"/>
  <c r="AB55" i="135" a="1"/>
  <c r="U55" i="135" a="1"/>
  <c r="W55" i="135" a="1"/>
  <c r="N55" i="135" a="1"/>
  <c r="Q55" i="135" a="1"/>
  <c r="G55" i="135" a="1"/>
  <c r="Y55" i="135" a="1"/>
  <c r="X55" i="135" a="1"/>
  <c r="I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G54" i="135" a="1"/>
  <c r="D54" i="135" a="1"/>
  <c r="Y54" i="135" a="1"/>
  <c r="X54" i="135" a="1"/>
  <c r="O54" i="135" a="1"/>
  <c r="E54" i="135" a="1"/>
  <c r="I54" i="135" a="1"/>
  <c r="P54" i="135" a="1"/>
  <c r="K54" i="135" a="1"/>
  <c r="T54" i="135" a="1"/>
  <c r="M54" i="135" a="1"/>
  <c r="F54" i="135" a="1"/>
  <c r="V54" i="135" a="1"/>
  <c r="AA54" i="135" a="1"/>
  <c r="U54" i="135" a="1"/>
  <c r="AB54" i="135" a="1"/>
  <c r="L54" i="135" a="1"/>
  <c r="S54" i="135" a="1"/>
  <c r="N54" i="135" a="1"/>
  <c r="Q54" i="135" a="1"/>
  <c r="H54" i="135" a="1"/>
  <c r="J54" i="135" a="1"/>
  <c r="Z54" i="135" a="1"/>
  <c r="W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L15" i="64" l="1"/>
  <c r="L16" i="64"/>
  <c r="E28" i="123" l="1"/>
  <c r="A64" i="58" l="1"/>
  <c r="A65" i="58"/>
  <c r="A66" i="58"/>
  <c r="A67" i="58"/>
  <c r="A68" i="58"/>
  <c r="A69" i="58"/>
  <c r="I33" i="58" s="1"/>
  <c r="A70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Q80" i="25" l="1"/>
  <c r="O80" i="25"/>
  <c r="AU199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D14" i="131" s="1"/>
  <c r="C15" i="131"/>
  <c r="B9" i="131"/>
  <c r="D9" i="131" s="1"/>
  <c r="C84" i="39"/>
  <c r="D10" i="131" l="1"/>
  <c r="D12" i="131"/>
  <c r="D11" i="131"/>
  <c r="D13" i="131"/>
  <c r="D15" i="131"/>
  <c r="B17" i="131"/>
  <c r="D22" i="64"/>
  <c r="C17" i="131" l="1"/>
  <c r="Z138" i="89"/>
  <c r="C42" i="51" l="1"/>
  <c r="C46" i="51"/>
  <c r="C50" i="51"/>
  <c r="C43" i="51"/>
  <c r="C47" i="51"/>
  <c r="C51" i="51"/>
  <c r="C44" i="51"/>
  <c r="C48" i="51"/>
  <c r="C52" i="51"/>
  <c r="C45" i="51"/>
  <c r="C49" i="51"/>
  <c r="C41" i="51"/>
  <c r="C19" i="13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G10" i="131" s="1"/>
  <c r="C16" i="39"/>
  <c r="G11" i="131" l="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H15" i="131" s="1"/>
  <c r="H13" i="131" l="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J9" i="131" l="1"/>
  <c r="J17" i="131" s="1"/>
  <c r="D33" i="50" s="1"/>
  <c r="AN173" i="89" s="1"/>
  <c r="AU225" i="89" s="1"/>
  <c r="H17" i="131"/>
  <c r="D77" i="50"/>
  <c r="M7" i="123"/>
  <c r="Q242" i="49" l="1"/>
  <c r="P242" i="49" s="1"/>
  <c r="C99" i="64"/>
  <c r="O38" i="89"/>
  <c r="N38" i="89"/>
  <c r="M38" i="89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56" i="58"/>
  <c r="C58" i="58" l="1"/>
  <c r="F56" i="58"/>
  <c r="M32" i="39"/>
  <c r="H54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50" i="58"/>
  <c r="D50" i="58"/>
  <c r="C264" i="49" l="1"/>
  <c r="C263" i="49"/>
  <c r="C262" i="49"/>
  <c r="C261" i="49"/>
  <c r="J51" i="58"/>
  <c r="K51" i="58" s="1"/>
  <c r="K52" i="58" l="1"/>
  <c r="D34" i="50" s="1"/>
  <c r="F45" i="58" l="1"/>
  <c r="E45" i="58"/>
  <c r="F44" i="58"/>
  <c r="E44" i="58"/>
  <c r="K44" i="58" s="1"/>
  <c r="L44" i="58" s="1"/>
  <c r="F43" i="58"/>
  <c r="E43" i="58"/>
  <c r="K43" i="58" s="1"/>
  <c r="L43" i="58" s="1"/>
  <c r="F42" i="58"/>
  <c r="E42" i="58"/>
  <c r="F41" i="58"/>
  <c r="E41" i="58"/>
  <c r="K41" i="58" s="1"/>
  <c r="L41" i="58" l="1"/>
  <c r="K42" i="58"/>
  <c r="L42" i="58" s="1"/>
  <c r="K45" i="58"/>
  <c r="L45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4" i="49" l="1"/>
  <c r="Q105" i="49"/>
  <c r="Q106" i="49"/>
  <c r="Q107" i="49"/>
  <c r="Q110" i="49"/>
  <c r="C105" i="49"/>
  <c r="C106" i="49"/>
  <c r="C107" i="49"/>
  <c r="C108" i="49"/>
  <c r="C109" i="49"/>
  <c r="C110" i="49"/>
  <c r="F103" i="49"/>
  <c r="G103" i="49"/>
  <c r="H103" i="49"/>
  <c r="I103" i="49"/>
  <c r="J103" i="49"/>
  <c r="K103" i="49"/>
  <c r="F104" i="49"/>
  <c r="G104" i="49"/>
  <c r="H104" i="49"/>
  <c r="I104" i="49"/>
  <c r="J104" i="49"/>
  <c r="K104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I109" i="49"/>
  <c r="J109" i="49"/>
  <c r="K109" i="49"/>
  <c r="G102" i="49"/>
  <c r="H102" i="49"/>
  <c r="I102" i="49"/>
  <c r="J102" i="49"/>
  <c r="K102" i="49"/>
  <c r="F102" i="49"/>
  <c r="F58" i="58" l="1"/>
  <c r="D56" i="58"/>
  <c r="H7" i="61"/>
  <c r="H8" i="61"/>
  <c r="H9" i="61"/>
  <c r="H10" i="61"/>
  <c r="H11" i="61"/>
  <c r="H12" i="61"/>
  <c r="H13" i="61"/>
  <c r="H14" i="61"/>
  <c r="H15" i="61"/>
  <c r="H16" i="61"/>
  <c r="H17" i="61"/>
  <c r="Q101" i="49" l="1"/>
  <c r="P101" i="49" s="1"/>
  <c r="P105" i="49"/>
  <c r="P106" i="49"/>
  <c r="P107" i="49"/>
  <c r="P110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2" i="49"/>
  <c r="G92" i="49"/>
  <c r="H92" i="49"/>
  <c r="I92" i="49"/>
  <c r="J92" i="49"/>
  <c r="K92" i="49"/>
  <c r="F93" i="49"/>
  <c r="G93" i="49"/>
  <c r="H93" i="49"/>
  <c r="I93" i="49"/>
  <c r="J93" i="49"/>
  <c r="K93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8" i="49"/>
  <c r="G98" i="49"/>
  <c r="H98" i="49"/>
  <c r="I98" i="49"/>
  <c r="J98" i="49"/>
  <c r="K98" i="49"/>
  <c r="F99" i="49"/>
  <c r="G99" i="49"/>
  <c r="H99" i="49"/>
  <c r="I99" i="49"/>
  <c r="J99" i="49"/>
  <c r="K99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2" i="49" l="1"/>
  <c r="C103" i="49"/>
  <c r="C133" i="49"/>
  <c r="C134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4" i="89"/>
  <c r="AS226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4" i="58" l="1"/>
  <c r="J39" i="58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46" i="58" l="1"/>
  <c r="L29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6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190" i="89" l="1"/>
  <c r="AQ189" i="89"/>
  <c r="AQ188" i="89"/>
  <c r="BA243" i="89"/>
  <c r="BA244" i="89"/>
  <c r="BA245" i="89"/>
  <c r="BA246" i="89"/>
  <c r="BA247" i="89"/>
  <c r="BA242" i="89"/>
  <c r="Q15" i="123" l="1"/>
  <c r="Q19" i="123" l="1"/>
  <c r="Q20" i="123"/>
  <c r="Q16" i="123"/>
  <c r="Q21" i="123"/>
  <c r="Q17" i="123"/>
  <c r="D15" i="25"/>
  <c r="D17" i="25" s="1"/>
  <c r="D41" i="50" s="1"/>
  <c r="E15" i="25"/>
  <c r="E17" i="25" s="1"/>
  <c r="D42" i="50" s="1"/>
  <c r="A41" i="71"/>
  <c r="AN182" i="89" l="1"/>
  <c r="Q114" i="49"/>
  <c r="C64" i="64"/>
  <c r="AN181" i="89"/>
  <c r="Q113" i="49"/>
  <c r="C63" i="64"/>
  <c r="AN168" i="89"/>
  <c r="F6" i="123"/>
  <c r="M6" i="123" s="1"/>
  <c r="BQ263" i="89" s="1"/>
  <c r="BG243" i="89" s="1"/>
  <c r="BQ264" i="89"/>
  <c r="BG244" i="89" s="1"/>
  <c r="F8" i="123"/>
  <c r="M8" i="123" s="1"/>
  <c r="BQ265" i="89" s="1"/>
  <c r="BG245" i="89" s="1"/>
  <c r="F9" i="123"/>
  <c r="M9" i="123" s="1"/>
  <c r="BQ266" i="89" s="1"/>
  <c r="BG246" i="89" s="1"/>
  <c r="F10" i="123"/>
  <c r="M10" i="123" s="1"/>
  <c r="BQ267" i="89" s="1"/>
  <c r="BG247" i="89" s="1"/>
  <c r="F5" i="123"/>
  <c r="M5" i="123" s="1"/>
  <c r="BQ262" i="89" s="1"/>
  <c r="N4" i="123"/>
  <c r="C118" i="78"/>
  <c r="D118" i="78"/>
  <c r="AO181" i="89" l="1"/>
  <c r="AU233" i="89"/>
  <c r="AO182" i="89"/>
  <c r="AU234" i="89"/>
  <c r="BQ268" i="89"/>
  <c r="BG242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19" i="89"/>
  <c r="AM176" i="89"/>
  <c r="AS228" i="89" s="1"/>
  <c r="AN176" i="89"/>
  <c r="AO173" i="89"/>
  <c r="AO175" i="89"/>
  <c r="C117" i="78"/>
  <c r="D114" i="78"/>
  <c r="D116" i="78"/>
  <c r="C114" i="78"/>
  <c r="C119" i="78"/>
  <c r="C116" i="78"/>
  <c r="D117" i="78"/>
  <c r="C115" i="78"/>
  <c r="D115" i="78"/>
  <c r="D119" i="78"/>
  <c r="AO176" i="89" l="1"/>
  <c r="AU228" i="89"/>
  <c r="C120" i="78"/>
  <c r="D120" i="78"/>
  <c r="F18" i="51"/>
  <c r="F15" i="51"/>
  <c r="F14" i="51"/>
  <c r="BU272" i="89" l="1"/>
  <c r="BU273" i="89"/>
  <c r="BU274" i="89"/>
  <c r="BU275" i="89"/>
  <c r="BU276" i="89"/>
  <c r="BU277" i="89"/>
  <c r="BU271" i="89"/>
  <c r="BT272" i="89"/>
  <c r="BT273" i="89"/>
  <c r="BT274" i="89"/>
  <c r="BT275" i="89"/>
  <c r="BT276" i="89"/>
  <c r="BT277" i="89"/>
  <c r="BT271" i="89"/>
  <c r="C9" i="78"/>
  <c r="C10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1" i="89" l="1"/>
  <c r="AS223" i="89" s="1"/>
  <c r="AM172" i="89"/>
  <c r="AS224" i="89" s="1"/>
  <c r="AM177" i="89"/>
  <c r="AS229" i="89" s="1"/>
  <c r="AN177" i="89"/>
  <c r="AM170" i="89"/>
  <c r="AS222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7" i="89" l="1"/>
  <c r="AU229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73" i="49"/>
  <c r="Q174" i="49"/>
  <c r="Q181" i="49"/>
  <c r="D53" i="123" l="1"/>
  <c r="C83" i="49"/>
  <c r="C84" i="49"/>
  <c r="C92" i="49"/>
  <c r="C93" i="49"/>
  <c r="C94" i="49"/>
  <c r="C95" i="49"/>
  <c r="C96" i="49"/>
  <c r="C97" i="49"/>
  <c r="C98" i="49"/>
  <c r="C99" i="49"/>
  <c r="C100" i="49"/>
  <c r="C101" i="49"/>
  <c r="C104" i="49"/>
  <c r="C82" i="49"/>
  <c r="Q90" i="49"/>
  <c r="Q94" i="49"/>
  <c r="Q95" i="49"/>
  <c r="F83" i="49"/>
  <c r="G83" i="49"/>
  <c r="H83" i="49"/>
  <c r="I83" i="49"/>
  <c r="J83" i="49"/>
  <c r="K83" i="49"/>
  <c r="G18" i="123" l="1"/>
  <c r="K18" i="123"/>
  <c r="O18" i="123"/>
  <c r="H18" i="123"/>
  <c r="L18" i="123"/>
  <c r="P18" i="123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L23" i="123"/>
  <c r="P23" i="123"/>
  <c r="K23" i="123"/>
  <c r="O23" i="123"/>
  <c r="AS217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K27" i="51" l="1"/>
  <c r="D14" i="50" l="1"/>
  <c r="Q87" i="49" s="1"/>
  <c r="C10" i="39"/>
  <c r="N25" i="78" l="1"/>
  <c r="J40" i="39" l="1"/>
  <c r="L15" i="58" l="1"/>
  <c r="J90" i="89" l="1"/>
  <c r="BG241" i="89" l="1"/>
  <c r="BH241" i="89"/>
  <c r="B40" i="39" l="1"/>
  <c r="L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8" i="89" l="1"/>
  <c r="AS220" i="89" s="1"/>
  <c r="M23" i="50" l="1"/>
  <c r="BY273" i="89" l="1"/>
  <c r="N14" i="78"/>
  <c r="N13" i="78"/>
  <c r="N12" i="78"/>
  <c r="N11" i="78"/>
  <c r="N10" i="78"/>
  <c r="N9" i="78"/>
  <c r="N8" i="78"/>
  <c r="S6" i="78" l="1"/>
  <c r="S8" i="78"/>
  <c r="C33" i="95" l="1"/>
  <c r="C32" i="95"/>
  <c r="BB241" i="89" l="1"/>
  <c r="BC241" i="89"/>
  <c r="BI241" i="89"/>
  <c r="P183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69" i="89"/>
  <c r="AS221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58" i="89"/>
  <c r="BN258" i="89" s="1"/>
  <c r="BL258" i="89"/>
  <c r="BN256" i="89"/>
  <c r="BN255" i="89"/>
  <c r="BN254" i="89"/>
  <c r="BN253" i="89"/>
  <c r="AS210" i="89"/>
  <c r="AS209" i="89"/>
  <c r="AS208" i="89"/>
  <c r="AS207" i="89"/>
  <c r="AU196" i="89"/>
  <c r="AV196" i="89" s="1"/>
  <c r="AU195" i="89"/>
  <c r="AV195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03" i="89" s="1"/>
  <c r="I82" i="89"/>
  <c r="AS202" i="89" s="1"/>
  <c r="I81" i="89"/>
  <c r="AS201" i="89" s="1"/>
  <c r="I80" i="89"/>
  <c r="AS200" i="89" s="1"/>
  <c r="I78" i="89"/>
  <c r="AS198" i="89" s="1"/>
  <c r="I77" i="89"/>
  <c r="AS197" i="89" s="1"/>
  <c r="I76" i="89"/>
  <c r="AS196" i="89" s="1"/>
  <c r="I75" i="89"/>
  <c r="AS195" i="89" s="1"/>
  <c r="Q36" i="89"/>
  <c r="L14" i="89"/>
  <c r="AS218" i="89"/>
  <c r="AY215" i="89"/>
  <c r="AT196" i="89"/>
  <c r="L76" i="89"/>
  <c r="J75" i="89"/>
  <c r="AT195" i="89" s="1"/>
  <c r="L75" i="89" l="1"/>
  <c r="Q29" i="49" l="1"/>
  <c r="Q28" i="49"/>
  <c r="Q27" i="49"/>
  <c r="B2" i="25" l="1"/>
  <c r="Q195" i="49" l="1"/>
  <c r="P195" i="49" s="1"/>
  <c r="Q197" i="49"/>
  <c r="P197" i="49" s="1"/>
  <c r="Q200" i="49"/>
  <c r="P200" i="49" s="1"/>
  <c r="Q196" i="49"/>
  <c r="P196" i="49" s="1"/>
  <c r="Q199" i="49"/>
  <c r="P199" i="49" s="1"/>
  <c r="Q198" i="49"/>
  <c r="P198" i="49" s="1"/>
  <c r="C91" i="39"/>
  <c r="T39" i="89" l="1"/>
  <c r="U39" i="89"/>
  <c r="L7" i="64" s="1"/>
  <c r="M39" i="89"/>
  <c r="S39" i="89"/>
  <c r="P36" i="89"/>
  <c r="C110" i="39"/>
  <c r="I3" i="61"/>
  <c r="R39" i="89"/>
  <c r="Q188" i="49"/>
  <c r="C88" i="39"/>
  <c r="C83" i="39"/>
  <c r="C89" i="39"/>
  <c r="O39" i="89"/>
  <c r="N39" i="89"/>
  <c r="Q39" i="89"/>
  <c r="P39" i="89"/>
  <c r="Q182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60" i="89"/>
  <c r="BG248" i="89"/>
  <c r="W39" i="89" l="1"/>
  <c r="M42" i="89"/>
  <c r="G3" i="61"/>
  <c r="M41" i="89"/>
  <c r="V40" i="89"/>
  <c r="U40" i="89"/>
  <c r="M40" i="89"/>
  <c r="S40" i="89"/>
  <c r="R40" i="89"/>
  <c r="T40" i="89"/>
  <c r="C18" i="39"/>
  <c r="B2" i="64"/>
  <c r="C111" i="39"/>
  <c r="Q148" i="49"/>
  <c r="J9" i="61"/>
  <c r="J22" i="61"/>
  <c r="J20" i="61"/>
  <c r="AJ160" i="89" s="1"/>
  <c r="AK160" i="89" s="1"/>
  <c r="J21" i="61"/>
  <c r="J16" i="61"/>
  <c r="AJ156" i="89" s="1"/>
  <c r="AK156" i="89" s="1"/>
  <c r="O40" i="89"/>
  <c r="N40" i="89"/>
  <c r="Q40" i="89"/>
  <c r="P40" i="89"/>
  <c r="C120" i="39"/>
  <c r="C92" i="39"/>
  <c r="G42" i="51"/>
  <c r="G41" i="51"/>
  <c r="AC140" i="89"/>
  <c r="B9" i="64"/>
  <c r="B7" i="64"/>
  <c r="P182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92" i="78"/>
  <c r="C97" i="78"/>
  <c r="D16" i="78"/>
  <c r="C83" i="78"/>
  <c r="C16" i="78"/>
  <c r="G11" i="78"/>
  <c r="C12" i="78"/>
  <c r="C79" i="78"/>
  <c r="D21" i="78"/>
  <c r="D10" i="78"/>
  <c r="C19" i="78"/>
  <c r="C15" i="78"/>
  <c r="D18" i="78"/>
  <c r="D13" i="78"/>
  <c r="C87" i="78"/>
  <c r="D14" i="78"/>
  <c r="G14" i="78"/>
  <c r="D9" i="78"/>
  <c r="C89" i="78"/>
  <c r="C95" i="78"/>
  <c r="C13" i="78"/>
  <c r="G10" i="78"/>
  <c r="D15" i="78"/>
  <c r="C14" i="78"/>
  <c r="D20" i="78"/>
  <c r="C18" i="78"/>
  <c r="G8" i="78"/>
  <c r="C84" i="78"/>
  <c r="C93" i="78"/>
  <c r="C11" i="78"/>
  <c r="D19" i="78"/>
  <c r="C81" i="78"/>
  <c r="C20" i="78"/>
  <c r="C91" i="78"/>
  <c r="C17" i="78"/>
  <c r="G12" i="78"/>
  <c r="G9" i="78"/>
  <c r="C82" i="78"/>
  <c r="D12" i="78"/>
  <c r="C94" i="78"/>
  <c r="C90" i="78"/>
  <c r="G13" i="78"/>
  <c r="C88" i="78"/>
  <c r="D11" i="78"/>
  <c r="C80" i="78"/>
  <c r="D17" i="78"/>
  <c r="J11" i="61" l="1"/>
  <c r="J6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AS236" i="89"/>
  <c r="B56" i="89"/>
  <c r="AS214" i="89"/>
  <c r="B54" i="89"/>
  <c r="BB243" i="89"/>
  <c r="BB247" i="89"/>
  <c r="BB244" i="89"/>
  <c r="BB242" i="89"/>
  <c r="BB245" i="89"/>
  <c r="BB246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Q14" i="49" s="1"/>
  <c r="C3" i="61"/>
  <c r="C25" i="78"/>
  <c r="I6" i="51"/>
  <c r="BB248" i="89"/>
  <c r="X9" i="89"/>
  <c r="X10" i="89" s="1"/>
  <c r="G60" i="89"/>
  <c r="J85" i="89"/>
  <c r="L84" i="89"/>
  <c r="F60" i="89"/>
  <c r="G17" i="78"/>
  <c r="C7" i="51" l="1"/>
  <c r="D18" i="64" s="1"/>
  <c r="N103" i="89" s="1"/>
  <c r="P207" i="49"/>
  <c r="N15" i="78"/>
  <c r="F70" i="89"/>
  <c r="G70" i="89"/>
  <c r="AT211" i="89"/>
  <c r="J97" i="89"/>
  <c r="AT205" i="89"/>
  <c r="AT204" i="89" s="1"/>
  <c r="L85" i="89"/>
  <c r="AU198" i="89" l="1"/>
  <c r="K76" i="89"/>
  <c r="K75" i="89"/>
  <c r="K85" i="89"/>
  <c r="K84" i="89" s="1"/>
  <c r="AW196" i="89"/>
  <c r="AY196" i="89" s="1"/>
  <c r="AW195" i="89"/>
  <c r="AY195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0" i="49"/>
  <c r="Q169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1" i="51"/>
  <c r="F7" i="51"/>
  <c r="F8" i="5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45" i="51"/>
  <c r="D49" i="51"/>
  <c r="D41" i="51"/>
  <c r="D42" i="51"/>
  <c r="D46" i="51"/>
  <c r="D50" i="51"/>
  <c r="D43" i="51"/>
  <c r="D47" i="51"/>
  <c r="D51" i="51"/>
  <c r="D44" i="51"/>
  <c r="D48" i="51"/>
  <c r="D52" i="51"/>
  <c r="F44" i="51"/>
  <c r="F48" i="51"/>
  <c r="F52" i="51"/>
  <c r="F45" i="51"/>
  <c r="F49" i="51"/>
  <c r="F42" i="51"/>
  <c r="F46" i="51"/>
  <c r="F50" i="51"/>
  <c r="F43" i="51"/>
  <c r="F47" i="51"/>
  <c r="F51" i="51"/>
  <c r="G47" i="51"/>
  <c r="G51" i="51"/>
  <c r="G44" i="51"/>
  <c r="G48" i="51"/>
  <c r="G52" i="51"/>
  <c r="G45" i="51"/>
  <c r="G49" i="51"/>
  <c r="G43" i="51"/>
  <c r="G46" i="51"/>
  <c r="G50" i="51"/>
  <c r="E44" i="51"/>
  <c r="E48" i="51"/>
  <c r="E52" i="51"/>
  <c r="E45" i="51"/>
  <c r="E49" i="51"/>
  <c r="E41" i="51"/>
  <c r="E42" i="51"/>
  <c r="E46" i="51"/>
  <c r="E50" i="51"/>
  <c r="E43" i="51"/>
  <c r="E47" i="51"/>
  <c r="E51" i="51"/>
  <c r="C97" i="39"/>
  <c r="L220" i="82" l="1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H41" i="51"/>
  <c r="H49" i="51"/>
  <c r="H44" i="51"/>
  <c r="H50" i="51"/>
  <c r="H45" i="51"/>
  <c r="H43" i="51"/>
  <c r="H48" i="51"/>
  <c r="H51" i="51"/>
  <c r="H46" i="51"/>
  <c r="H47" i="51"/>
  <c r="H42" i="51"/>
  <c r="H52" i="51"/>
  <c r="L221" i="82" l="1"/>
  <c r="M221" i="82"/>
  <c r="M207" i="82"/>
  <c r="E200" i="82" s="1"/>
  <c r="L207" i="82"/>
  <c r="N192" i="82"/>
  <c r="D185" i="82"/>
  <c r="N206" i="82"/>
  <c r="G222" i="82"/>
  <c r="N220" i="82"/>
  <c r="BY277" i="89"/>
  <c r="BY276" i="89"/>
  <c r="BY271" i="89"/>
  <c r="BY274" i="89"/>
  <c r="BY275" i="89"/>
  <c r="BY272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L6" i="58"/>
  <c r="C8" i="58" l="1"/>
  <c r="C139" i="85"/>
  <c r="C117" i="85"/>
  <c r="C11" i="85"/>
  <c r="C115" i="85"/>
  <c r="C87" i="85"/>
  <c r="C132" i="85"/>
  <c r="C20" i="85"/>
  <c r="C105" i="85"/>
  <c r="C123" i="85"/>
  <c r="C151" i="85"/>
  <c r="C112" i="85"/>
  <c r="C165" i="85"/>
  <c r="C15" i="85"/>
  <c r="C108" i="85"/>
  <c r="C4" i="85"/>
  <c r="C113" i="85"/>
  <c r="C146" i="85"/>
  <c r="C163" i="85"/>
  <c r="C167" i="85"/>
  <c r="C134" i="85"/>
  <c r="C25" i="85"/>
  <c r="C166" i="85"/>
  <c r="C150" i="85"/>
  <c r="C160" i="85"/>
  <c r="C77" i="85"/>
  <c r="C6" i="85"/>
  <c r="C153" i="85"/>
  <c r="C18" i="85"/>
  <c r="C130" i="85"/>
  <c r="C142" i="85"/>
  <c r="C149" i="85"/>
  <c r="C109" i="85"/>
  <c r="C10" i="85"/>
  <c r="C148" i="85"/>
  <c r="C19" i="85"/>
  <c r="C106" i="85"/>
  <c r="C103" i="85"/>
  <c r="C38" i="85"/>
  <c r="C90" i="85"/>
  <c r="C7" i="85"/>
  <c r="C104" i="85"/>
  <c r="C24" i="85"/>
  <c r="C46" i="85"/>
  <c r="C100" i="85"/>
  <c r="C95" i="85"/>
  <c r="C147" i="85"/>
  <c r="C157" i="85"/>
  <c r="C16" i="85"/>
  <c r="C121" i="85"/>
  <c r="C8" i="85"/>
  <c r="C154" i="85"/>
  <c r="C12" i="85"/>
  <c r="C131" i="85"/>
  <c r="C60" i="85"/>
  <c r="C110" i="85"/>
  <c r="C32" i="85"/>
  <c r="C97" i="85"/>
  <c r="C114" i="85"/>
  <c r="C13" i="85"/>
  <c r="C36" i="85"/>
  <c r="C73" i="85"/>
  <c r="C145" i="85"/>
  <c r="C137" i="85"/>
  <c r="C3" i="85"/>
  <c r="C39" i="85"/>
  <c r="C45" i="85"/>
  <c r="C99" i="85"/>
  <c r="C162" i="85"/>
  <c r="C159" i="85"/>
  <c r="C144" i="85"/>
  <c r="C161" i="85"/>
  <c r="C71" i="85"/>
  <c r="C164" i="85"/>
  <c r="C133" i="85"/>
  <c r="C129" i="85"/>
  <c r="C152" i="85"/>
  <c r="C156" i="85"/>
  <c r="C141" i="85"/>
  <c r="C57" i="85"/>
  <c r="C127" i="85"/>
  <c r="C17" i="85"/>
  <c r="C143" i="85"/>
  <c r="C37" i="85"/>
  <c r="C14" i="85"/>
  <c r="C140" i="85"/>
  <c r="C5" i="85"/>
  <c r="C96" i="85"/>
  <c r="C44" i="85"/>
  <c r="C9" i="85"/>
  <c r="C98" i="85"/>
  <c r="C125" i="85"/>
  <c r="C155" i="85"/>
  <c r="C26" i="85"/>
  <c r="C107" i="85"/>
  <c r="C102" i="85"/>
  <c r="C101" i="85"/>
  <c r="C23" i="85"/>
  <c r="C119" i="85"/>
  <c r="C138" i="85"/>
  <c r="C21" i="85"/>
  <c r="C111" i="85"/>
  <c r="C158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74" i="49" l="1"/>
  <c r="P173" i="49"/>
  <c r="P166" i="49"/>
  <c r="Q147" i="49"/>
  <c r="P147" i="49" s="1"/>
  <c r="C136" i="49"/>
  <c r="C135" i="49"/>
  <c r="C132" i="49"/>
  <c r="C131" i="49"/>
  <c r="C130" i="49"/>
  <c r="C129" i="49"/>
  <c r="C128" i="49"/>
  <c r="C127" i="49"/>
  <c r="C126" i="49"/>
  <c r="C125" i="49"/>
  <c r="C124" i="49"/>
  <c r="P95" i="49"/>
  <c r="Q57" i="49"/>
  <c r="P57" i="49" s="1"/>
  <c r="P30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186" i="49"/>
  <c r="P181" i="49"/>
  <c r="P168" i="49"/>
  <c r="P167" i="49"/>
  <c r="P149" i="49"/>
  <c r="P148" i="49"/>
  <c r="P10" i="49"/>
  <c r="P9" i="49"/>
  <c r="M49" i="25" l="1"/>
  <c r="B48" i="25"/>
  <c r="C22" i="25"/>
  <c r="G14" i="25"/>
  <c r="H14" i="25" s="1"/>
  <c r="I14" i="25" s="1"/>
  <c r="J14" i="25" s="1"/>
  <c r="G13" i="25"/>
  <c r="O22" i="50"/>
  <c r="M22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22" i="85"/>
  <c r="C136" i="85"/>
  <c r="C31" i="85"/>
  <c r="C135" i="85"/>
  <c r="C88" i="85"/>
  <c r="C70" i="85"/>
  <c r="C82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K39" i="58" s="1"/>
  <c r="L39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280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00" i="89"/>
  <c r="AU203" i="89"/>
  <c r="AV203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18" i="49"/>
  <c r="P1718" i="49" s="1"/>
  <c r="Q1719" i="49"/>
  <c r="P1719" i="49" s="1"/>
  <c r="B79" i="25"/>
  <c r="R79" i="25" s="1"/>
  <c r="B52" i="51"/>
  <c r="B67" i="51" s="1"/>
  <c r="Q41" i="49"/>
  <c r="P41" i="49" s="1"/>
  <c r="Q16" i="49"/>
  <c r="Q12" i="49"/>
  <c r="P12" i="49" s="1"/>
  <c r="F16" i="64"/>
  <c r="Q19" i="49"/>
  <c r="P19" i="49" s="1"/>
  <c r="Q146" i="49"/>
  <c r="P146" i="49" s="1"/>
  <c r="Q165" i="49"/>
  <c r="P165" i="49" s="1"/>
  <c r="C121" i="49"/>
  <c r="C122" i="49"/>
  <c r="C118" i="49"/>
  <c r="C119" i="49"/>
  <c r="C120" i="49"/>
  <c r="Q15" i="49"/>
  <c r="Q11" i="49"/>
  <c r="P11" i="49" s="1"/>
  <c r="C117" i="49"/>
  <c r="C123" i="49"/>
  <c r="K14" i="39"/>
  <c r="K16" i="39" s="1"/>
  <c r="K15" i="39"/>
  <c r="B47" i="25"/>
  <c r="F47" i="25" s="1"/>
  <c r="F15" i="64"/>
  <c r="G11" i="87"/>
  <c r="G15" i="25"/>
  <c r="G17" i="25" s="1"/>
  <c r="H13" i="25"/>
  <c r="J74" i="78"/>
  <c r="O74" i="78"/>
  <c r="H74" i="78"/>
  <c r="C30" i="85"/>
  <c r="I74" i="78"/>
  <c r="C72" i="85"/>
  <c r="Q74" i="78"/>
  <c r="S74" i="78"/>
  <c r="N74" i="78"/>
  <c r="L74" i="78"/>
  <c r="P74" i="78"/>
  <c r="E74" i="78"/>
  <c r="F74" i="78"/>
  <c r="M74" i="78"/>
  <c r="K74" i="78"/>
  <c r="G74" i="78"/>
  <c r="R74" i="78"/>
  <c r="D74" i="78"/>
  <c r="T74" i="78"/>
  <c r="C67" i="51" l="1"/>
  <c r="C36" i="51" s="1"/>
  <c r="Q50" i="49"/>
  <c r="H31" i="58"/>
  <c r="Q51" i="49"/>
  <c r="H32" i="58"/>
  <c r="K9" i="130"/>
  <c r="P22" i="78"/>
  <c r="G77" i="39"/>
  <c r="O48" i="25" s="1"/>
  <c r="P48" i="25" s="1"/>
  <c r="T79" i="25"/>
  <c r="P79" i="25"/>
  <c r="H77" i="39"/>
  <c r="D77" i="39"/>
  <c r="Q48" i="25" s="1"/>
  <c r="R48" i="25" s="1"/>
  <c r="H29" i="58"/>
  <c r="K40" i="58" s="1"/>
  <c r="L40" i="58" s="1"/>
  <c r="E2" i="121"/>
  <c r="F2" i="121" s="1"/>
  <c r="C77" i="39"/>
  <c r="C48" i="25" s="1"/>
  <c r="D48" i="25" s="1"/>
  <c r="E77" i="39"/>
  <c r="G48" i="25" s="1"/>
  <c r="H48" i="25" s="1"/>
  <c r="B36" i="51"/>
  <c r="F55" i="71"/>
  <c r="L3" i="130"/>
  <c r="L5" i="130" s="1"/>
  <c r="M3" i="130"/>
  <c r="M5" i="130" s="1"/>
  <c r="BV271" i="89"/>
  <c r="H42" i="39"/>
  <c r="Q78" i="49"/>
  <c r="P78" i="49" s="1"/>
  <c r="F3" i="121"/>
  <c r="BW274" i="89"/>
  <c r="BV274" i="89"/>
  <c r="BV272" i="89"/>
  <c r="BV277" i="89"/>
  <c r="BW275" i="89"/>
  <c r="BV275" i="89"/>
  <c r="BV273" i="89"/>
  <c r="BV276" i="89"/>
  <c r="P15" i="49"/>
  <c r="P16" i="49"/>
  <c r="C28" i="95"/>
  <c r="J67" i="51"/>
  <c r="K79" i="25" s="1"/>
  <c r="Q5" i="49"/>
  <c r="P5" i="49" s="1"/>
  <c r="L40" i="89"/>
  <c r="B76" i="39"/>
  <c r="G76" i="39" s="1"/>
  <c r="F67" i="51"/>
  <c r="F36" i="51" s="1"/>
  <c r="E67" i="51"/>
  <c r="E36" i="51" s="1"/>
  <c r="G67" i="51"/>
  <c r="G36" i="51" s="1"/>
  <c r="D67" i="51"/>
  <c r="D36" i="51" s="1"/>
  <c r="B78" i="25"/>
  <c r="T78" i="25" s="1"/>
  <c r="B51" i="51"/>
  <c r="B66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3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B46" i="25"/>
  <c r="P73" i="78"/>
  <c r="O73" i="78"/>
  <c r="Q73" i="78"/>
  <c r="I73" i="78"/>
  <c r="F73" i="78"/>
  <c r="G73" i="78"/>
  <c r="L73" i="78"/>
  <c r="T73" i="78"/>
  <c r="M73" i="78"/>
  <c r="K73" i="78"/>
  <c r="J73" i="78"/>
  <c r="N73" i="78"/>
  <c r="D73" i="78"/>
  <c r="S73" i="78"/>
  <c r="R73" i="78"/>
  <c r="E73" i="78"/>
  <c r="H73" i="78"/>
  <c r="C66" i="51" l="1"/>
  <c r="C35" i="51" s="1"/>
  <c r="P20" i="78"/>
  <c r="H76" i="39"/>
  <c r="O47" i="25"/>
  <c r="P47" i="25" s="1"/>
  <c r="B35" i="51"/>
  <c r="R78" i="25"/>
  <c r="P78" i="25"/>
  <c r="H30" i="58"/>
  <c r="Q49" i="49"/>
  <c r="BW273" i="89"/>
  <c r="BW272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71" i="89"/>
  <c r="F46" i="25"/>
  <c r="Q79" i="49"/>
  <c r="P79" i="49" s="1"/>
  <c r="CA279" i="89"/>
  <c r="CA278" i="89" s="1"/>
  <c r="P51" i="49"/>
  <c r="X133" i="89"/>
  <c r="BW276" i="89"/>
  <c r="BW277" i="89"/>
  <c r="Q180" i="49"/>
  <c r="Q177" i="49"/>
  <c r="AE15" i="89"/>
  <c r="Q160" i="49"/>
  <c r="P160" i="49" s="1"/>
  <c r="J66" i="51"/>
  <c r="K78" i="25" s="1"/>
  <c r="AC6" i="89"/>
  <c r="BM257" i="89"/>
  <c r="BN257" i="89" s="1"/>
  <c r="AU209" i="89"/>
  <c r="Q25" i="49"/>
  <c r="P25" i="49" s="1"/>
  <c r="B75" i="39"/>
  <c r="E66" i="51"/>
  <c r="E35" i="51" s="1"/>
  <c r="D66" i="51"/>
  <c r="D35" i="51" s="1"/>
  <c r="F66" i="51"/>
  <c r="F35" i="51" s="1"/>
  <c r="G66" i="51"/>
  <c r="G35" i="51" s="1"/>
  <c r="B77" i="25"/>
  <c r="T77" i="25" s="1"/>
  <c r="B50" i="51"/>
  <c r="B65" i="51" s="1"/>
  <c r="H67" i="51"/>
  <c r="H36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H72" i="78"/>
  <c r="J72" i="78"/>
  <c r="I72" i="78"/>
  <c r="E72" i="78"/>
  <c r="O72" i="78"/>
  <c r="Q72" i="78"/>
  <c r="M72" i="78"/>
  <c r="K72" i="78"/>
  <c r="T72" i="78"/>
  <c r="S72" i="78"/>
  <c r="P72" i="78"/>
  <c r="D72" i="78"/>
  <c r="F72" i="78"/>
  <c r="R72" i="78"/>
  <c r="N72" i="78"/>
  <c r="G72" i="78"/>
  <c r="L72" i="78"/>
  <c r="C65" i="51" l="1"/>
  <c r="C34" i="51" s="1"/>
  <c r="P18" i="78"/>
  <c r="G75" i="39"/>
  <c r="O46" i="25" s="1"/>
  <c r="P46" i="25" s="1"/>
  <c r="B34" i="51"/>
  <c r="R77" i="25"/>
  <c r="P77" i="25"/>
  <c r="Q47" i="25"/>
  <c r="R47" i="25" s="1"/>
  <c r="C7" i="58"/>
  <c r="M24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L19" i="58"/>
  <c r="AD5" i="89"/>
  <c r="C31" i="95"/>
  <c r="C34" i="95"/>
  <c r="J65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07" i="89"/>
  <c r="BM251" i="89"/>
  <c r="BN251" i="89" s="1"/>
  <c r="B74" i="39"/>
  <c r="I17" i="78"/>
  <c r="Q23" i="49"/>
  <c r="P23" i="49" s="1"/>
  <c r="G65" i="51"/>
  <c r="G34" i="51" s="1"/>
  <c r="F65" i="51"/>
  <c r="F34" i="51" s="1"/>
  <c r="E65" i="51"/>
  <c r="E34" i="51" s="1"/>
  <c r="D65" i="51"/>
  <c r="D34" i="51" s="1"/>
  <c r="B76" i="25"/>
  <c r="T76" i="25" s="1"/>
  <c r="B49" i="51"/>
  <c r="B64" i="51" s="1"/>
  <c r="H66" i="51"/>
  <c r="H35" i="51" s="1"/>
  <c r="F416" i="7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0" i="49"/>
  <c r="Q65" i="49"/>
  <c r="P65" i="49" s="1"/>
  <c r="C105" i="39"/>
  <c r="B44" i="25"/>
  <c r="S71" i="78"/>
  <c r="O71" i="78"/>
  <c r="T71" i="78"/>
  <c r="P71" i="78"/>
  <c r="H71" i="78"/>
  <c r="G71" i="78"/>
  <c r="J71" i="78"/>
  <c r="M71" i="78"/>
  <c r="L71" i="78"/>
  <c r="K71" i="78"/>
  <c r="N71" i="78"/>
  <c r="Q71" i="78"/>
  <c r="F71" i="78"/>
  <c r="R71" i="78"/>
  <c r="D71" i="78"/>
  <c r="E71" i="78"/>
  <c r="C55" i="85"/>
  <c r="I71" i="78"/>
  <c r="C64" i="51" l="1"/>
  <c r="C33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3" i="51"/>
  <c r="P76" i="25"/>
  <c r="R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J64" i="51"/>
  <c r="K76" i="25" s="1"/>
  <c r="C6" i="58"/>
  <c r="O103" i="89"/>
  <c r="N47" i="25"/>
  <c r="B73" i="39"/>
  <c r="N46" i="25"/>
  <c r="N45" i="25"/>
  <c r="N48" i="25"/>
  <c r="D64" i="51"/>
  <c r="D33" i="51" s="1"/>
  <c r="E64" i="51"/>
  <c r="E33" i="51" s="1"/>
  <c r="G64" i="51"/>
  <c r="G33" i="51" s="1"/>
  <c r="F64" i="51"/>
  <c r="F33" i="51" s="1"/>
  <c r="B75" i="25"/>
  <c r="T75" i="25" s="1"/>
  <c r="B48" i="51"/>
  <c r="B63" i="51" s="1"/>
  <c r="H65" i="51"/>
  <c r="H34" i="51" s="1"/>
  <c r="F15" i="25"/>
  <c r="F17" i="25" s="1"/>
  <c r="P169" i="49"/>
  <c r="P14" i="49"/>
  <c r="Q161" i="49"/>
  <c r="P161" i="49" s="1"/>
  <c r="C6" i="64"/>
  <c r="B43" i="25"/>
  <c r="N44" i="25"/>
  <c r="R70" i="78"/>
  <c r="L70" i="78"/>
  <c r="E70" i="78"/>
  <c r="S70" i="78"/>
  <c r="N70" i="78"/>
  <c r="O70" i="78"/>
  <c r="D70" i="78"/>
  <c r="I70" i="78"/>
  <c r="K70" i="78"/>
  <c r="F70" i="78"/>
  <c r="M70" i="78"/>
  <c r="G70" i="78"/>
  <c r="Q70" i="78"/>
  <c r="P70" i="78"/>
  <c r="H70" i="78"/>
  <c r="J70" i="78"/>
  <c r="T70" i="78"/>
  <c r="C63" i="51" l="1"/>
  <c r="C32" i="51" s="1"/>
  <c r="V41" i="89"/>
  <c r="W41" i="89" s="1"/>
  <c r="P14" i="78"/>
  <c r="T119" i="89"/>
  <c r="G73" i="39"/>
  <c r="O44" i="25" s="1"/>
  <c r="P44" i="25" s="1"/>
  <c r="M23" i="58"/>
  <c r="B32" i="51"/>
  <c r="P75" i="25"/>
  <c r="R75" i="25"/>
  <c r="D4" i="50"/>
  <c r="AY238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J63" i="51"/>
  <c r="K75" i="25" s="1"/>
  <c r="L76" i="25"/>
  <c r="C53" i="89"/>
  <c r="Q80" i="49"/>
  <c r="P80" i="49" s="1"/>
  <c r="B72" i="39"/>
  <c r="G63" i="51"/>
  <c r="G32" i="51" s="1"/>
  <c r="F63" i="51"/>
  <c r="F32" i="51" s="1"/>
  <c r="D63" i="51"/>
  <c r="D32" i="51" s="1"/>
  <c r="E63" i="51"/>
  <c r="E32" i="51" s="1"/>
  <c r="H64" i="51"/>
  <c r="H33" i="51" s="1"/>
  <c r="B74" i="25"/>
  <c r="T74" i="25" s="1"/>
  <c r="B47" i="51"/>
  <c r="B62" i="51" s="1"/>
  <c r="E16" i="64"/>
  <c r="E15" i="64"/>
  <c r="B42" i="25"/>
  <c r="N43" i="25"/>
  <c r="E69" i="78"/>
  <c r="F69" i="78"/>
  <c r="D69" i="78"/>
  <c r="H69" i="78"/>
  <c r="S69" i="78"/>
  <c r="P69" i="78"/>
  <c r="R69" i="78"/>
  <c r="T69" i="78"/>
  <c r="O69" i="78"/>
  <c r="K69" i="78"/>
  <c r="L69" i="78"/>
  <c r="M69" i="78"/>
  <c r="G69" i="78"/>
  <c r="J69" i="78"/>
  <c r="I69" i="78"/>
  <c r="N69" i="78"/>
  <c r="Q69" i="78"/>
  <c r="C62" i="51" l="1"/>
  <c r="C31" i="51" s="1"/>
  <c r="AW234" i="89"/>
  <c r="AY234" i="89" s="1"/>
  <c r="AW233" i="89"/>
  <c r="AY233" i="89" s="1"/>
  <c r="AW232" i="89"/>
  <c r="D99" i="64"/>
  <c r="E99" i="64" s="1"/>
  <c r="E39" i="50"/>
  <c r="Q143" i="49" s="1"/>
  <c r="P143" i="49" s="1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82" i="64"/>
  <c r="E82" i="64" s="1"/>
  <c r="D65" i="64"/>
  <c r="E65" i="64" s="1"/>
  <c r="D63" i="64"/>
  <c r="E63" i="64" s="1"/>
  <c r="D66" i="64"/>
  <c r="E66" i="64" s="1"/>
  <c r="D61" i="64"/>
  <c r="E61" i="64" s="1"/>
  <c r="P12" i="78"/>
  <c r="AW225" i="89"/>
  <c r="AW229" i="89"/>
  <c r="AW230" i="89"/>
  <c r="AW227" i="89"/>
  <c r="AW231" i="89"/>
  <c r="AW228" i="89"/>
  <c r="E34" i="50"/>
  <c r="Q138" i="49" s="1"/>
  <c r="P138" i="49" s="1"/>
  <c r="E38" i="50"/>
  <c r="Q142" i="49" s="1"/>
  <c r="P142" i="49" s="1"/>
  <c r="E42" i="50"/>
  <c r="E40" i="50"/>
  <c r="Q144" i="49" s="1"/>
  <c r="P144" i="49" s="1"/>
  <c r="E37" i="50"/>
  <c r="Q141" i="49" s="1"/>
  <c r="P141" i="49" s="1"/>
  <c r="E35" i="50"/>
  <c r="Q139" i="49" s="1"/>
  <c r="P139" i="49" s="1"/>
  <c r="E43" i="50"/>
  <c r="E44" i="50"/>
  <c r="E41" i="50"/>
  <c r="Q145" i="49" s="1"/>
  <c r="P145" i="49" s="1"/>
  <c r="E36" i="50"/>
  <c r="Q140" i="49" s="1"/>
  <c r="P140" i="49" s="1"/>
  <c r="G72" i="39"/>
  <c r="O43" i="25" s="1"/>
  <c r="P43" i="25" s="1"/>
  <c r="E51" i="50"/>
  <c r="E59" i="50"/>
  <c r="E45" i="50"/>
  <c r="E58" i="50"/>
  <c r="E60" i="50"/>
  <c r="E33" i="50"/>
  <c r="Q137" i="49" s="1"/>
  <c r="P137" i="49" s="1"/>
  <c r="B31" i="51"/>
  <c r="R74" i="25"/>
  <c r="P74" i="25"/>
  <c r="D53" i="64"/>
  <c r="E53" i="64" s="1"/>
  <c r="D54" i="64"/>
  <c r="E54" i="64" s="1"/>
  <c r="D60" i="64"/>
  <c r="E60" i="64" s="1"/>
  <c r="E28" i="50"/>
  <c r="Q132" i="49" s="1"/>
  <c r="E32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20" i="89"/>
  <c r="AW220" i="89" s="1"/>
  <c r="AO168" i="89"/>
  <c r="H72" i="39"/>
  <c r="AE6" i="89"/>
  <c r="AE5" i="89" s="1"/>
  <c r="K48" i="25"/>
  <c r="L48" i="25" s="1"/>
  <c r="E55" i="71" s="1"/>
  <c r="N106" i="89"/>
  <c r="O106" i="89" s="1"/>
  <c r="Q17" i="49"/>
  <c r="P17" i="49" s="1"/>
  <c r="AU201" i="89"/>
  <c r="J62" i="51"/>
  <c r="K74" i="25" s="1"/>
  <c r="F20" i="25"/>
  <c r="B71" i="39"/>
  <c r="E62" i="51"/>
  <c r="E31" i="51" s="1"/>
  <c r="G62" i="51"/>
  <c r="G31" i="51" s="1"/>
  <c r="F62" i="51"/>
  <c r="F31" i="51" s="1"/>
  <c r="D62" i="51"/>
  <c r="D31" i="51" s="1"/>
  <c r="H63" i="51"/>
  <c r="H32" i="51" s="1"/>
  <c r="B73" i="25"/>
  <c r="T73" i="25" s="1"/>
  <c r="B46" i="51"/>
  <c r="B61" i="51" s="1"/>
  <c r="B41" i="25"/>
  <c r="N42" i="25"/>
  <c r="L68" i="78"/>
  <c r="J68" i="78"/>
  <c r="D68" i="78"/>
  <c r="P68" i="78"/>
  <c r="G68" i="78"/>
  <c r="M68" i="78"/>
  <c r="O68" i="78"/>
  <c r="E68" i="78"/>
  <c r="K68" i="78"/>
  <c r="S68" i="78"/>
  <c r="I68" i="78"/>
  <c r="H68" i="78"/>
  <c r="R68" i="78"/>
  <c r="T68" i="78"/>
  <c r="Q68" i="78"/>
  <c r="N68" i="78"/>
  <c r="F68" i="78"/>
  <c r="C61" i="51" l="1"/>
  <c r="C30" i="51" s="1"/>
  <c r="Q136" i="49"/>
  <c r="P10" i="78"/>
  <c r="AY231" i="89"/>
  <c r="G71" i="39"/>
  <c r="O42" i="25" s="1"/>
  <c r="P42" i="25" s="1"/>
  <c r="B30" i="51"/>
  <c r="R73" i="25"/>
  <c r="P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J61" i="51"/>
  <c r="K73" i="25" s="1"/>
  <c r="B70" i="39"/>
  <c r="F61" i="51"/>
  <c r="F30" i="51" s="1"/>
  <c r="E61" i="51"/>
  <c r="E30" i="51" s="1"/>
  <c r="G61" i="51"/>
  <c r="G30" i="51" s="1"/>
  <c r="D61" i="51"/>
  <c r="D30" i="51" s="1"/>
  <c r="B72" i="25"/>
  <c r="T72" i="25" s="1"/>
  <c r="B45" i="51"/>
  <c r="B60" i="51" s="1"/>
  <c r="H62" i="51"/>
  <c r="H31" i="51" s="1"/>
  <c r="B40" i="25"/>
  <c r="N41" i="25"/>
  <c r="O67" i="78"/>
  <c r="S67" i="78"/>
  <c r="H67" i="78"/>
  <c r="L67" i="78"/>
  <c r="T67" i="78"/>
  <c r="P67" i="78"/>
  <c r="K67" i="78"/>
  <c r="G67" i="78"/>
  <c r="I67" i="78"/>
  <c r="R67" i="78"/>
  <c r="F67" i="78"/>
  <c r="E67" i="78"/>
  <c r="J67" i="78"/>
  <c r="M67" i="78"/>
  <c r="N67" i="78"/>
  <c r="D67" i="78"/>
  <c r="Q67" i="78"/>
  <c r="C60" i="51" l="1"/>
  <c r="C29" i="51" s="1"/>
  <c r="P8" i="78"/>
  <c r="G70" i="39"/>
  <c r="O41" i="25" s="1"/>
  <c r="P41" i="25" s="1"/>
  <c r="B29" i="51"/>
  <c r="R72" i="25"/>
  <c r="P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J60" i="51"/>
  <c r="K72" i="25" s="1"/>
  <c r="B69" i="39"/>
  <c r="E60" i="51"/>
  <c r="E29" i="51" s="1"/>
  <c r="G60" i="51"/>
  <c r="G29" i="51" s="1"/>
  <c r="F60" i="51"/>
  <c r="F29" i="51" s="1"/>
  <c r="D60" i="51"/>
  <c r="D29" i="51" s="1"/>
  <c r="H61" i="51"/>
  <c r="H30" i="51" s="1"/>
  <c r="B71" i="25"/>
  <c r="T71" i="25" s="1"/>
  <c r="B44" i="51"/>
  <c r="B59" i="51" s="1"/>
  <c r="B39" i="25"/>
  <c r="N40" i="25"/>
  <c r="J66" i="78"/>
  <c r="F66" i="78"/>
  <c r="Q66" i="78"/>
  <c r="I66" i="78"/>
  <c r="S66" i="78"/>
  <c r="M66" i="78"/>
  <c r="O66" i="78"/>
  <c r="D66" i="78"/>
  <c r="T66" i="78"/>
  <c r="L66" i="78"/>
  <c r="E66" i="78"/>
  <c r="H66" i="78"/>
  <c r="G66" i="78"/>
  <c r="N66" i="78"/>
  <c r="K66" i="78"/>
  <c r="P66" i="78"/>
  <c r="R66" i="78"/>
  <c r="C59" i="51" l="1"/>
  <c r="C28" i="51" s="1"/>
  <c r="P6" i="78"/>
  <c r="G69" i="39"/>
  <c r="O40" i="25" s="1"/>
  <c r="P40" i="25" s="1"/>
  <c r="R71" i="25"/>
  <c r="P71" i="25"/>
  <c r="B28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J59" i="51"/>
  <c r="K71" i="25" s="1"/>
  <c r="T123" i="89"/>
  <c r="U123" i="89" s="1"/>
  <c r="B68" i="39"/>
  <c r="G68" i="39" s="1"/>
  <c r="E59" i="51"/>
  <c r="E28" i="51" s="1"/>
  <c r="G59" i="51"/>
  <c r="G28" i="51" s="1"/>
  <c r="F59" i="51"/>
  <c r="F28" i="51" s="1"/>
  <c r="D59" i="51"/>
  <c r="D28" i="51" s="1"/>
  <c r="B70" i="25"/>
  <c r="B43" i="51"/>
  <c r="B58" i="51" s="1"/>
  <c r="H60" i="51"/>
  <c r="H29" i="51" s="1"/>
  <c r="B38" i="25"/>
  <c r="N39" i="25"/>
  <c r="Q65" i="78"/>
  <c r="T65" i="78"/>
  <c r="H65" i="78"/>
  <c r="O65" i="78"/>
  <c r="D65" i="78"/>
  <c r="K65" i="78"/>
  <c r="S65" i="78"/>
  <c r="L65" i="78"/>
  <c r="M65" i="78"/>
  <c r="N65" i="78"/>
  <c r="F65" i="78"/>
  <c r="J65" i="78"/>
  <c r="R65" i="78"/>
  <c r="I65" i="78"/>
  <c r="P65" i="78"/>
  <c r="E65" i="78"/>
  <c r="G65" i="78"/>
  <c r="C58" i="51" l="1"/>
  <c r="C27" i="51" s="1"/>
  <c r="P4" i="78"/>
  <c r="C68" i="39"/>
  <c r="C39" i="25" s="1"/>
  <c r="D39" i="25" s="1"/>
  <c r="O39" i="25"/>
  <c r="P39" i="25" s="1"/>
  <c r="P70" i="25"/>
  <c r="T70" i="25"/>
  <c r="R70" i="25"/>
  <c r="B27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J58" i="51"/>
  <c r="K70" i="25" s="1"/>
  <c r="B67" i="39"/>
  <c r="G67" i="39" s="1"/>
  <c r="D58" i="51"/>
  <c r="D27" i="51" s="1"/>
  <c r="F58" i="51"/>
  <c r="F27" i="51" s="1"/>
  <c r="G58" i="51"/>
  <c r="G27" i="51" s="1"/>
  <c r="E58" i="51"/>
  <c r="E27" i="51" s="1"/>
  <c r="H59" i="51"/>
  <c r="H28" i="51" s="1"/>
  <c r="B69" i="25"/>
  <c r="B42" i="51"/>
  <c r="B57" i="51" s="1"/>
  <c r="B37" i="25"/>
  <c r="N38" i="25"/>
  <c r="S64" i="78"/>
  <c r="D64" i="78"/>
  <c r="N64" i="78"/>
  <c r="G64" i="78"/>
  <c r="Q64" i="78"/>
  <c r="E64" i="78"/>
  <c r="R64" i="78"/>
  <c r="M64" i="78"/>
  <c r="L64" i="78"/>
  <c r="H64" i="78"/>
  <c r="J64" i="78"/>
  <c r="T64" i="78"/>
  <c r="F64" i="78"/>
  <c r="P64" i="78"/>
  <c r="O64" i="78"/>
  <c r="K64" i="78"/>
  <c r="I64" i="78"/>
  <c r="C57" i="51" l="1"/>
  <c r="C26" i="51" s="1"/>
  <c r="P2" i="78"/>
  <c r="C67" i="39"/>
  <c r="C38" i="25" s="1"/>
  <c r="D38" i="25" s="1"/>
  <c r="O38" i="25"/>
  <c r="P38" i="25" s="1"/>
  <c r="P69" i="25"/>
  <c r="T69" i="25"/>
  <c r="R69" i="25"/>
  <c r="B26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6" i="49"/>
  <c r="K43" i="25"/>
  <c r="L43" i="25" s="1"/>
  <c r="E50" i="71" s="1"/>
  <c r="J57" i="51"/>
  <c r="K69" i="25" s="1"/>
  <c r="B66" i="39"/>
  <c r="G57" i="51"/>
  <c r="G26" i="51" s="1"/>
  <c r="F57" i="51"/>
  <c r="F26" i="51" s="1"/>
  <c r="D57" i="51"/>
  <c r="D26" i="51" s="1"/>
  <c r="E57" i="51"/>
  <c r="E26" i="51" s="1"/>
  <c r="H58" i="51"/>
  <c r="H27" i="51" s="1"/>
  <c r="B68" i="25"/>
  <c r="B41" i="51"/>
  <c r="B56" i="51" s="1"/>
  <c r="B36" i="25"/>
  <c r="N37" i="25"/>
  <c r="N63" i="78"/>
  <c r="O63" i="78"/>
  <c r="J63" i="78"/>
  <c r="M63" i="78"/>
  <c r="H63" i="78"/>
  <c r="S63" i="78"/>
  <c r="E63" i="78"/>
  <c r="F63" i="78"/>
  <c r="L63" i="78"/>
  <c r="T63" i="78"/>
  <c r="Q63" i="78"/>
  <c r="G63" i="78"/>
  <c r="I63" i="78"/>
  <c r="P63" i="78"/>
  <c r="K63" i="78"/>
  <c r="R63" i="78"/>
  <c r="D63" i="78"/>
  <c r="C56" i="51" l="1"/>
  <c r="T75" i="78"/>
  <c r="S75" i="78"/>
  <c r="R75" i="78"/>
  <c r="C25" i="51"/>
  <c r="G66" i="39"/>
  <c r="O37" i="25" s="1"/>
  <c r="P37" i="25" s="1"/>
  <c r="P68" i="25"/>
  <c r="T68" i="25"/>
  <c r="C66" i="39"/>
  <c r="C37" i="25" s="1"/>
  <c r="D37" i="25" s="1"/>
  <c r="D66" i="39"/>
  <c r="R68" i="25"/>
  <c r="T36" i="25"/>
  <c r="B25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3" i="50"/>
  <c r="L69" i="25"/>
  <c r="J56" i="51"/>
  <c r="K68" i="25" s="1"/>
  <c r="K75" i="78"/>
  <c r="O75" i="78"/>
  <c r="L75" i="78"/>
  <c r="P75" i="78"/>
  <c r="Q75" i="78"/>
  <c r="N75" i="78"/>
  <c r="M75" i="78"/>
  <c r="B67" i="25"/>
  <c r="T67" i="25" s="1"/>
  <c r="B65" i="39"/>
  <c r="C65" i="39" s="1"/>
  <c r="H75" i="78"/>
  <c r="J78" i="89" s="1"/>
  <c r="G75" i="78"/>
  <c r="J81" i="89" s="1"/>
  <c r="D75" i="78"/>
  <c r="E75" i="78"/>
  <c r="I75" i="78"/>
  <c r="J77" i="89" s="1"/>
  <c r="F75" i="78"/>
  <c r="C20" i="64" s="1"/>
  <c r="J75" i="78"/>
  <c r="D56" i="51"/>
  <c r="D25" i="51" s="1"/>
  <c r="F56" i="51"/>
  <c r="F25" i="51" s="1"/>
  <c r="G56" i="51"/>
  <c r="G25" i="51" s="1"/>
  <c r="E56" i="51"/>
  <c r="E25" i="51" s="1"/>
  <c r="H57" i="51"/>
  <c r="H26" i="51" s="1"/>
  <c r="B35" i="25"/>
  <c r="N36" i="25"/>
  <c r="G65" i="39" l="1"/>
  <c r="O36" i="25" s="1"/>
  <c r="P36" i="25" s="1"/>
  <c r="C36" i="25"/>
  <c r="D36" i="25" s="1"/>
  <c r="D65" i="39"/>
  <c r="D67" i="25"/>
  <c r="P67" i="25"/>
  <c r="R67" i="25"/>
  <c r="T35" i="25"/>
  <c r="Q37" i="25"/>
  <c r="R37" i="25" s="1"/>
  <c r="J83" i="89"/>
  <c r="C23" i="64"/>
  <c r="J82" i="89"/>
  <c r="AT202" i="89" s="1"/>
  <c r="C22" i="64"/>
  <c r="G36" i="25"/>
  <c r="H36" i="25" s="1"/>
  <c r="AY220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C19" i="64"/>
  <c r="J80" i="89"/>
  <c r="AT200" i="89" s="1"/>
  <c r="K80" i="25"/>
  <c r="K41" i="25"/>
  <c r="L41" i="25" s="1"/>
  <c r="E48" i="71" s="1"/>
  <c r="K40" i="25"/>
  <c r="L40" i="25" s="1"/>
  <c r="E47" i="71" s="1"/>
  <c r="L67" i="25"/>
  <c r="AT197" i="89"/>
  <c r="K77" i="89"/>
  <c r="L77" i="89"/>
  <c r="AT198" i="89"/>
  <c r="AW198" i="89" s="1"/>
  <c r="L78" i="89"/>
  <c r="K78" i="89"/>
  <c r="AT201" i="89"/>
  <c r="AW201" i="89" s="1"/>
  <c r="K81" i="89"/>
  <c r="L81" i="89"/>
  <c r="F67" i="25"/>
  <c r="H67" i="25"/>
  <c r="N67" i="25"/>
  <c r="B66" i="25"/>
  <c r="T66" i="25" s="1"/>
  <c r="B64" i="39"/>
  <c r="C64" i="39" s="1"/>
  <c r="C35" i="25" s="1"/>
  <c r="J67" i="25"/>
  <c r="H56" i="51"/>
  <c r="H25" i="51" s="1"/>
  <c r="B34" i="25"/>
  <c r="N35" i="25"/>
  <c r="AW200" i="89" l="1"/>
  <c r="AY200" i="89" s="1"/>
  <c r="G64" i="39"/>
  <c r="O35" i="25" s="1"/>
  <c r="P35" i="25" s="1"/>
  <c r="H64" i="39"/>
  <c r="Q36" i="25"/>
  <c r="R36" i="25" s="1"/>
  <c r="I77" i="39"/>
  <c r="D64" i="39"/>
  <c r="Q35" i="25" s="1"/>
  <c r="R35" i="25" s="1"/>
  <c r="D35" i="25"/>
  <c r="D66" i="25"/>
  <c r="P66" i="25"/>
  <c r="R66" i="25"/>
  <c r="T34" i="25"/>
  <c r="AT203" i="89"/>
  <c r="AW203" i="89" s="1"/>
  <c r="K82" i="89"/>
  <c r="K83" i="89"/>
  <c r="G35" i="25"/>
  <c r="H35" i="25" s="1"/>
  <c r="AV201" i="89"/>
  <c r="AV198" i="89"/>
  <c r="AY198" i="89"/>
  <c r="F69" i="25"/>
  <c r="I69" i="25"/>
  <c r="J69" i="25" s="1"/>
  <c r="E68" i="25"/>
  <c r="I68" i="25" s="1"/>
  <c r="J68" i="25" s="1"/>
  <c r="C80" i="25"/>
  <c r="F42" i="71"/>
  <c r="K79" i="89"/>
  <c r="AT19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01" i="89"/>
  <c r="H66" i="25"/>
  <c r="N66" i="25"/>
  <c r="F66" i="25"/>
  <c r="J66" i="25"/>
  <c r="B65" i="25"/>
  <c r="T65" i="25" s="1"/>
  <c r="B63" i="39"/>
  <c r="C63" i="39" s="1"/>
  <c r="C34" i="25" s="1"/>
  <c r="B33" i="25"/>
  <c r="N34" i="25"/>
  <c r="G63" i="39" l="1"/>
  <c r="O34" i="25" s="1"/>
  <c r="P34" i="25" s="1"/>
  <c r="D63" i="39"/>
  <c r="Q34" i="25" s="1"/>
  <c r="D34" i="25"/>
  <c r="D65" i="25"/>
  <c r="R65" i="25"/>
  <c r="P65" i="25"/>
  <c r="AW199" i="89"/>
  <c r="AY199" i="89" s="1"/>
  <c r="T33" i="25"/>
  <c r="E63" i="39"/>
  <c r="G34" i="25" s="1"/>
  <c r="AT194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T64" i="25" s="1"/>
  <c r="C21" i="64"/>
  <c r="C17" i="64"/>
  <c r="B32" i="25"/>
  <c r="N33" i="25"/>
  <c r="D33" i="25"/>
  <c r="H33" i="25"/>
  <c r="R64" i="25" l="1"/>
  <c r="P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T63" i="25" s="1"/>
  <c r="F64" i="25"/>
  <c r="H64" i="25"/>
  <c r="N64" i="25"/>
  <c r="J64" i="25"/>
  <c r="E21" i="64"/>
  <c r="C18" i="64"/>
  <c r="B31" i="25"/>
  <c r="D32" i="25"/>
  <c r="L32" i="25"/>
  <c r="H32" i="25"/>
  <c r="N32" i="25"/>
  <c r="R63" i="25" l="1"/>
  <c r="P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T62" i="25" s="1"/>
  <c r="L63" i="25"/>
  <c r="F23" i="64"/>
  <c r="K48" i="39" s="1"/>
  <c r="C14" i="64"/>
  <c r="E18" i="64"/>
  <c r="K45" i="39"/>
  <c r="B30" i="25"/>
  <c r="D31" i="25"/>
  <c r="L31" i="25"/>
  <c r="N31" i="25"/>
  <c r="H31" i="25"/>
  <c r="R62" i="25" l="1"/>
  <c r="P62" i="25"/>
  <c r="V30" i="25"/>
  <c r="T30" i="25"/>
  <c r="J62" i="25"/>
  <c r="D62" i="25"/>
  <c r="P30" i="25"/>
  <c r="R30" i="25"/>
  <c r="BL257" i="89"/>
  <c r="K49" i="25"/>
  <c r="L33" i="25"/>
  <c r="AG15" i="89"/>
  <c r="F62" i="25"/>
  <c r="N62" i="25"/>
  <c r="L62" i="25"/>
  <c r="H62" i="25"/>
  <c r="B61" i="25"/>
  <c r="T61" i="25" s="1"/>
  <c r="B29" i="25"/>
  <c r="D30" i="25"/>
  <c r="L30" i="25"/>
  <c r="N30" i="25"/>
  <c r="H30" i="25"/>
  <c r="R61" i="25" l="1"/>
  <c r="P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52" i="89"/>
  <c r="J92" i="89"/>
  <c r="BL251" i="89"/>
  <c r="J87" i="89"/>
  <c r="J91" i="89"/>
  <c r="F61" i="25"/>
  <c r="H61" i="25"/>
  <c r="B60" i="25"/>
  <c r="T60" i="25" s="1"/>
  <c r="H29" i="25"/>
  <c r="B28" i="25"/>
  <c r="L29" i="25"/>
  <c r="D29" i="25"/>
  <c r="N29" i="25"/>
  <c r="R60" i="25" l="1"/>
  <c r="P60" i="25"/>
  <c r="V28" i="25"/>
  <c r="T28" i="25"/>
  <c r="H60" i="25"/>
  <c r="D60" i="25"/>
  <c r="P28" i="25"/>
  <c r="R28" i="25"/>
  <c r="L94" i="89"/>
  <c r="AT210" i="89"/>
  <c r="BL259" i="89"/>
  <c r="BN259" i="89" s="1"/>
  <c r="K90" i="89"/>
  <c r="L90" i="89"/>
  <c r="AT208" i="89"/>
  <c r="K88" i="89"/>
  <c r="L88" i="89"/>
  <c r="L91" i="89"/>
  <c r="K91" i="89"/>
  <c r="AT209" i="89"/>
  <c r="AW209" i="89" s="1"/>
  <c r="L93" i="89"/>
  <c r="K93" i="89"/>
  <c r="K92" i="89"/>
  <c r="L92" i="89"/>
  <c r="AT207" i="89"/>
  <c r="AW207" i="89" s="1"/>
  <c r="L87" i="89"/>
  <c r="K87" i="89"/>
  <c r="K89" i="89"/>
  <c r="L60" i="25"/>
  <c r="N60" i="25"/>
  <c r="B59" i="25"/>
  <c r="T59" i="25" s="1"/>
  <c r="J60" i="25"/>
  <c r="F60" i="25"/>
  <c r="H28" i="25"/>
  <c r="B27" i="25"/>
  <c r="D28" i="25"/>
  <c r="L28" i="25"/>
  <c r="N28" i="25"/>
  <c r="R59" i="25" l="1"/>
  <c r="P59" i="25"/>
  <c r="T27" i="25"/>
  <c r="V27" i="25"/>
  <c r="L59" i="25"/>
  <c r="D59" i="25"/>
  <c r="P27" i="25"/>
  <c r="R27" i="25"/>
  <c r="AY209" i="89"/>
  <c r="AV209" i="89"/>
  <c r="J59" i="25"/>
  <c r="H59" i="25"/>
  <c r="AT206" i="89"/>
  <c r="F59" i="25"/>
  <c r="N59" i="25"/>
  <c r="B58" i="25"/>
  <c r="T58" i="25" s="1"/>
  <c r="B26" i="25"/>
  <c r="H27" i="25"/>
  <c r="N27" i="25"/>
  <c r="D27" i="25"/>
  <c r="L27" i="25"/>
  <c r="D58" i="25" l="1"/>
  <c r="P58" i="25"/>
  <c r="R58" i="25"/>
  <c r="T26" i="25"/>
  <c r="V26" i="25"/>
  <c r="P26" i="25"/>
  <c r="R26" i="25"/>
  <c r="AT212" i="89"/>
  <c r="AT213" i="89" s="1"/>
  <c r="AY207" i="89"/>
  <c r="J58" i="25"/>
  <c r="N58" i="25"/>
  <c r="F58" i="25"/>
  <c r="H58" i="25"/>
  <c r="B57" i="25"/>
  <c r="T57" i="25" s="1"/>
  <c r="L58" i="25"/>
  <c r="B25" i="25"/>
  <c r="L26" i="25"/>
  <c r="D26" i="25"/>
  <c r="N26" i="25"/>
  <c r="H26" i="25"/>
  <c r="P57" i="25" l="1"/>
  <c r="R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T56" i="25" s="1"/>
  <c r="N57" i="25"/>
  <c r="BD247" i="89"/>
  <c r="BD243" i="89"/>
  <c r="BD244" i="89"/>
  <c r="BD245" i="89"/>
  <c r="BD246" i="89"/>
  <c r="L25" i="25"/>
  <c r="L49" i="25" s="1"/>
  <c r="D27" i="50" s="1"/>
  <c r="N25" i="25"/>
  <c r="N49" i="25" s="1"/>
  <c r="AN171" i="89" s="1"/>
  <c r="D25" i="25"/>
  <c r="D49" i="25" s="1"/>
  <c r="D10" i="50" s="1"/>
  <c r="H25" i="25"/>
  <c r="H49" i="25" s="1"/>
  <c r="D25" i="50" s="1"/>
  <c r="AN170" i="89" s="1"/>
  <c r="D12" i="137" l="1"/>
  <c r="P56" i="25"/>
  <c r="R56" i="25"/>
  <c r="T24" i="25"/>
  <c r="V24" i="25"/>
  <c r="AN172" i="89"/>
  <c r="AO172" i="89" s="1"/>
  <c r="Q100" i="49"/>
  <c r="P100" i="49" s="1"/>
  <c r="L56" i="25"/>
  <c r="D56" i="25"/>
  <c r="D80" i="25" s="1"/>
  <c r="P24" i="25"/>
  <c r="R24" i="25"/>
  <c r="N24" i="25"/>
  <c r="H24" i="25"/>
  <c r="B55" i="25"/>
  <c r="T55" i="25" s="1"/>
  <c r="T80" i="25" s="1"/>
  <c r="J24" i="25"/>
  <c r="L24" i="25"/>
  <c r="AO170" i="89"/>
  <c r="AU222" i="89"/>
  <c r="AW222" i="89" s="1"/>
  <c r="AU223" i="89"/>
  <c r="AW223" i="89" s="1"/>
  <c r="AO171" i="89"/>
  <c r="C51" i="64"/>
  <c r="D51" i="64" s="1"/>
  <c r="E51" i="64" s="1"/>
  <c r="D9" i="50"/>
  <c r="D11" i="50"/>
  <c r="AY225" i="89" s="1"/>
  <c r="C52" i="64"/>
  <c r="D52" i="64" s="1"/>
  <c r="E52" i="64" s="1"/>
  <c r="C50" i="64"/>
  <c r="D50" i="64" s="1"/>
  <c r="E50" i="64" s="1"/>
  <c r="Q99" i="49"/>
  <c r="P99" i="49" s="1"/>
  <c r="J56" i="25"/>
  <c r="C47" i="64"/>
  <c r="D47" i="64" s="1"/>
  <c r="E47" i="64" s="1"/>
  <c r="O21" i="50"/>
  <c r="M21" i="50" s="1"/>
  <c r="H56" i="25"/>
  <c r="F56" i="25"/>
  <c r="F80" i="25" s="1"/>
  <c r="N56" i="25"/>
  <c r="O49" i="25"/>
  <c r="BD242" i="89" s="1"/>
  <c r="BD248" i="89" s="1"/>
  <c r="P49" i="25"/>
  <c r="C89" i="85"/>
  <c r="E10" i="50" l="1"/>
  <c r="G32" i="135"/>
  <c r="D76" i="50" s="1"/>
  <c r="C98" i="64" s="1"/>
  <c r="D98" i="64" s="1"/>
  <c r="E98" i="64" s="1"/>
  <c r="G26" i="135"/>
  <c r="D62" i="50" s="1"/>
  <c r="G30" i="135"/>
  <c r="D68" i="50" s="1"/>
  <c r="C90" i="64" s="1"/>
  <c r="D90" i="64" s="1"/>
  <c r="E90" i="64" s="1"/>
  <c r="G31" i="135"/>
  <c r="D74" i="50" s="1"/>
  <c r="C96" i="64" s="1"/>
  <c r="D96" i="64" s="1"/>
  <c r="E96" i="64" s="1"/>
  <c r="G25" i="135"/>
  <c r="D61" i="50" s="1"/>
  <c r="C83" i="64" s="1"/>
  <c r="D83" i="64" s="1"/>
  <c r="E83" i="64" s="1"/>
  <c r="G27" i="135"/>
  <c r="G28" i="135"/>
  <c r="G29" i="135"/>
  <c r="D75" i="50" s="1"/>
  <c r="C97" i="64" s="1"/>
  <c r="D97" i="64" s="1"/>
  <c r="E97" i="64" s="1"/>
  <c r="P55" i="25"/>
  <c r="P80" i="25" s="1"/>
  <c r="R55" i="25"/>
  <c r="R80" i="25" s="1"/>
  <c r="AU224" i="89"/>
  <c r="AW224" i="89" s="1"/>
  <c r="P104" i="49"/>
  <c r="AU217" i="89"/>
  <c r="AN165" i="89"/>
  <c r="N55" i="25"/>
  <c r="N80" i="25" s="1"/>
  <c r="K29" i="51" s="1"/>
  <c r="D16" i="50" s="1"/>
  <c r="D55" i="25"/>
  <c r="F55" i="25"/>
  <c r="L55" i="25"/>
  <c r="L80" i="25" s="1"/>
  <c r="K31" i="51" s="1"/>
  <c r="H55" i="25"/>
  <c r="H80" i="25" s="1"/>
  <c r="K25" i="51" s="1"/>
  <c r="D12" i="50" s="1"/>
  <c r="J55" i="25"/>
  <c r="J80" i="25" s="1"/>
  <c r="BE242" i="89"/>
  <c r="E26" i="50"/>
  <c r="Q130" i="49" s="1"/>
  <c r="BE247" i="89"/>
  <c r="BE244" i="89"/>
  <c r="BE245" i="89"/>
  <c r="BE246" i="89"/>
  <c r="K28" i="51"/>
  <c r="D15" i="50" s="1"/>
  <c r="AY229" i="89" s="1"/>
  <c r="K30" i="51"/>
  <c r="D18" i="50" s="1"/>
  <c r="AN167" i="89" s="1"/>
  <c r="AU219" i="89" l="1"/>
  <c r="AW219" i="89" s="1"/>
  <c r="AO167" i="89"/>
  <c r="P112" i="49"/>
  <c r="Q115" i="49"/>
  <c r="Q227" i="49"/>
  <c r="P227" i="49" s="1"/>
  <c r="C84" i="64"/>
  <c r="D84" i="64" s="1"/>
  <c r="E84" i="64" s="1"/>
  <c r="Q91" i="49"/>
  <c r="P91" i="49" s="1"/>
  <c r="AY232" i="89"/>
  <c r="E75" i="50"/>
  <c r="Q240" i="49"/>
  <c r="P240" i="49" s="1"/>
  <c r="E68" i="50"/>
  <c r="Q233" i="49"/>
  <c r="P233" i="49" s="1"/>
  <c r="E74" i="50"/>
  <c r="Q239" i="49"/>
  <c r="P239" i="49" s="1"/>
  <c r="E61" i="50"/>
  <c r="Q226" i="49"/>
  <c r="P226" i="49" s="1"/>
  <c r="E76" i="50"/>
  <c r="Q241" i="49"/>
  <c r="P241" i="49" s="1"/>
  <c r="G33" i="135"/>
  <c r="E62" i="50"/>
  <c r="AO178" i="89"/>
  <c r="Q108" i="49"/>
  <c r="P108" i="49" s="1"/>
  <c r="C58" i="64"/>
  <c r="D58" i="64" s="1"/>
  <c r="E58" i="64" s="1"/>
  <c r="Q109" i="49"/>
  <c r="P109" i="49" s="1"/>
  <c r="C59" i="64"/>
  <c r="D59" i="64" s="1"/>
  <c r="E59" i="64" s="1"/>
  <c r="AY223" i="89"/>
  <c r="K26" i="51"/>
  <c r="Q85" i="49"/>
  <c r="P85" i="49" s="1"/>
  <c r="Q89" i="49"/>
  <c r="Q88" i="49"/>
  <c r="O12" i="50"/>
  <c r="M12" i="50" s="1"/>
  <c r="BE243" i="89"/>
  <c r="BE248" i="89" s="1"/>
  <c r="O15" i="50"/>
  <c r="M15" i="50" s="1"/>
  <c r="P96" i="49"/>
  <c r="O18" i="50"/>
  <c r="M18" i="50" s="1"/>
  <c r="O14" i="50"/>
  <c r="M14" i="50" s="1"/>
  <c r="D13" i="50" l="1"/>
  <c r="AN166" i="89" s="1"/>
  <c r="K32" i="51"/>
  <c r="P90" i="49"/>
  <c r="O16" i="50"/>
  <c r="M16" i="50" s="1"/>
  <c r="P94" i="49"/>
  <c r="E17" i="50"/>
  <c r="E21" i="50"/>
  <c r="Q126" i="49" s="1"/>
  <c r="E27" i="50"/>
  <c r="Q131" i="49" s="1"/>
  <c r="E22" i="50"/>
  <c r="Q127" i="49" s="1"/>
  <c r="E15" i="50"/>
  <c r="E18" i="50"/>
  <c r="E14" i="50"/>
  <c r="E16" i="50"/>
  <c r="E12" i="50"/>
  <c r="P114" i="49" s="1"/>
  <c r="AY224" i="89" l="1"/>
  <c r="E13" i="50"/>
  <c r="AY230" i="89"/>
  <c r="Q86" i="49"/>
  <c r="P86" i="49" s="1"/>
  <c r="O13" i="50"/>
  <c r="M13" i="50" s="1"/>
  <c r="BC247" i="89"/>
  <c r="BC242" i="89"/>
  <c r="BC243" i="89"/>
  <c r="P15" i="50"/>
  <c r="Q120" i="49"/>
  <c r="P120" i="49" s="1"/>
  <c r="N15" i="50"/>
  <c r="P12" i="50"/>
  <c r="Q117" i="49"/>
  <c r="P117" i="49" s="1"/>
  <c r="N12" i="50"/>
  <c r="P18" i="50"/>
  <c r="N18" i="50"/>
  <c r="Q123" i="49"/>
  <c r="P123" i="49" s="1"/>
  <c r="P131" i="49"/>
  <c r="P126" i="49"/>
  <c r="P21" i="50"/>
  <c r="N21" i="50"/>
  <c r="Q122" i="49"/>
  <c r="P122" i="49" s="1"/>
  <c r="N17" i="50"/>
  <c r="P17" i="50"/>
  <c r="P14" i="50"/>
  <c r="Q119" i="49"/>
  <c r="P119" i="49" s="1"/>
  <c r="N14" i="50"/>
  <c r="P22" i="50"/>
  <c r="P127" i="49"/>
  <c r="N22" i="50"/>
  <c r="P132" i="49"/>
  <c r="N16" i="50"/>
  <c r="Q121" i="49"/>
  <c r="P121" i="49" s="1"/>
  <c r="P16" i="50"/>
  <c r="AO166" i="89" l="1"/>
  <c r="AU218" i="89"/>
  <c r="N13" i="50"/>
  <c r="P13" i="50"/>
  <c r="Q118" i="49"/>
  <c r="P118" i="49" s="1"/>
  <c r="BC245" i="89"/>
  <c r="BC244" i="89"/>
  <c r="BC246" i="89"/>
  <c r="AW218" i="89" l="1"/>
  <c r="AY218" i="89" s="1"/>
  <c r="BC248" i="89"/>
  <c r="BI246" i="89"/>
  <c r="BI247" i="89" l="1"/>
  <c r="BI245" i="89"/>
  <c r="BI244" i="89"/>
  <c r="BI243" i="89"/>
  <c r="BI242" i="89"/>
  <c r="BI248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4" i="50" s="1"/>
  <c r="G72" i="82"/>
  <c r="D72" i="82" s="1"/>
  <c r="Q175" i="49"/>
  <c r="P175" i="49" s="1"/>
  <c r="E25" i="64"/>
  <c r="Q176" i="49"/>
  <c r="P176" i="49" s="1"/>
  <c r="Q178" i="49" l="1"/>
  <c r="P178" i="49" s="1"/>
  <c r="Q179" i="49"/>
  <c r="P179" i="49" s="1"/>
  <c r="P177" i="49" l="1"/>
  <c r="P180" i="49"/>
  <c r="C24" i="64"/>
  <c r="C34" i="64" l="1"/>
  <c r="E25" i="50"/>
  <c r="C45" i="64"/>
  <c r="D45" i="64" s="1"/>
  <c r="AF15" i="89"/>
  <c r="J86" i="89"/>
  <c r="P130" i="49" l="1"/>
  <c r="Q129" i="49"/>
  <c r="AY222" i="89"/>
  <c r="P97" i="49"/>
  <c r="E24" i="50"/>
  <c r="Q84" i="49"/>
  <c r="P84" i="49" s="1"/>
  <c r="Q83" i="49"/>
  <c r="P83" i="49" s="1"/>
  <c r="Q98" i="49"/>
  <c r="P98" i="49" s="1"/>
  <c r="O25" i="50"/>
  <c r="M25" i="50" s="1"/>
  <c r="E11" i="50"/>
  <c r="Q116" i="49" s="1"/>
  <c r="P89" i="49"/>
  <c r="O24" i="50"/>
  <c r="M24" i="50" s="1"/>
  <c r="AN169" i="89"/>
  <c r="C49" i="64"/>
  <c r="D49" i="64" s="1"/>
  <c r="E49" i="64" s="1"/>
  <c r="E9" i="50"/>
  <c r="AW217" i="89" s="1"/>
  <c r="P87" i="49"/>
  <c r="P82" i="49"/>
  <c r="P88" i="49"/>
  <c r="E45" i="64"/>
  <c r="C39" i="64"/>
  <c r="D39" i="64" s="1"/>
  <c r="J95" i="89"/>
  <c r="L86" i="89"/>
  <c r="K86" i="89"/>
  <c r="P116" i="49" l="1"/>
  <c r="P113" i="49"/>
  <c r="AO169" i="89"/>
  <c r="AU221" i="89"/>
  <c r="P111" i="49"/>
  <c r="N25" i="50"/>
  <c r="P129" i="49"/>
  <c r="P25" i="50"/>
  <c r="N24" i="50"/>
  <c r="P24" i="50"/>
  <c r="P128" i="49"/>
  <c r="P115" i="49"/>
  <c r="C46" i="64"/>
  <c r="AD15" i="89"/>
  <c r="K95" i="89"/>
  <c r="J96" i="89"/>
  <c r="K96" i="89" s="1"/>
  <c r="AW221" i="89" l="1"/>
  <c r="AY217" i="89"/>
  <c r="D46" i="64"/>
  <c r="E46" i="64" s="1"/>
  <c r="K97" i="89"/>
  <c r="P184" i="49" l="1"/>
  <c r="Q81" i="49"/>
  <c r="P81" i="49" s="1"/>
  <c r="Q154" i="49"/>
  <c r="P154" i="49" s="1"/>
  <c r="Q187" i="49"/>
  <c r="P187" i="49" s="1"/>
  <c r="O10" i="51"/>
  <c r="E39" i="64"/>
  <c r="L11" i="89" s="1"/>
  <c r="F39" i="64"/>
  <c r="AD16" i="89"/>
  <c r="AU213" i="89"/>
  <c r="AW213" i="89" s="1"/>
  <c r="AV213" i="89" l="1"/>
  <c r="U8" i="89"/>
  <c r="AY213" i="89" l="1"/>
  <c r="C100" i="39" l="1"/>
  <c r="C101" i="39" l="1"/>
  <c r="Q1722" i="49" l="1"/>
  <c r="P1722" i="49" s="1"/>
  <c r="E9" i="82"/>
  <c r="C10" i="82"/>
  <c r="Q1723" i="49" s="1"/>
  <c r="P1723" i="49" s="1"/>
  <c r="E10" i="82"/>
  <c r="Q1721" i="49" s="1"/>
  <c r="P1721" i="49" s="1"/>
  <c r="Q1720" i="49" l="1"/>
  <c r="P1720" i="49" s="1"/>
  <c r="D26" i="64"/>
  <c r="C27" i="95"/>
  <c r="D47" i="50" l="1"/>
  <c r="D49" i="50"/>
  <c r="D50" i="50"/>
  <c r="D48" i="50"/>
  <c r="D46" i="50"/>
  <c r="D64" i="50"/>
  <c r="D63" i="50"/>
  <c r="D65" i="50"/>
  <c r="D66" i="50"/>
  <c r="D67" i="50"/>
  <c r="D20" i="50"/>
  <c r="D19" i="50"/>
  <c r="F26" i="64"/>
  <c r="C104" i="39"/>
  <c r="BM252" i="89"/>
  <c r="BN252" i="89" s="1"/>
  <c r="AU208" i="89"/>
  <c r="AW208" i="89" s="1"/>
  <c r="Q24" i="49"/>
  <c r="P24" i="49" s="1"/>
  <c r="E26" i="64"/>
  <c r="C30" i="95"/>
  <c r="C21" i="95"/>
  <c r="Q211" i="49" l="1"/>
  <c r="P211" i="49" s="1"/>
  <c r="C68" i="64"/>
  <c r="D68" i="64" s="1"/>
  <c r="E68" i="64" s="1"/>
  <c r="Q213" i="49"/>
  <c r="P213" i="49" s="1"/>
  <c r="C70" i="64"/>
  <c r="D70" i="64" s="1"/>
  <c r="E70" i="64" s="1"/>
  <c r="Q215" i="49"/>
  <c r="P215" i="49" s="1"/>
  <c r="C72" i="64"/>
  <c r="D72" i="64" s="1"/>
  <c r="E72" i="64" s="1"/>
  <c r="Q214" i="49"/>
  <c r="P214" i="49" s="1"/>
  <c r="C71" i="64"/>
  <c r="D71" i="64" s="1"/>
  <c r="E71" i="64" s="1"/>
  <c r="Q212" i="49"/>
  <c r="P212" i="49" s="1"/>
  <c r="C69" i="64"/>
  <c r="D69" i="64" s="1"/>
  <c r="E69" i="64" s="1"/>
  <c r="Q228" i="49"/>
  <c r="P228" i="49" s="1"/>
  <c r="C85" i="64"/>
  <c r="D85" i="64" s="1"/>
  <c r="E85" i="64" s="1"/>
  <c r="Q232" i="49"/>
  <c r="P232" i="49" s="1"/>
  <c r="C89" i="64"/>
  <c r="D89" i="64" s="1"/>
  <c r="E89" i="64" s="1"/>
  <c r="Q229" i="49"/>
  <c r="P229" i="49" s="1"/>
  <c r="C86" i="64"/>
  <c r="D86" i="64" s="1"/>
  <c r="E86" i="64" s="1"/>
  <c r="Q230" i="49"/>
  <c r="P230" i="49" s="1"/>
  <c r="C87" i="64"/>
  <c r="D87" i="64" s="1"/>
  <c r="E87" i="64" s="1"/>
  <c r="Q231" i="49"/>
  <c r="P231" i="49" s="1"/>
  <c r="C88" i="64"/>
  <c r="D88" i="64" s="1"/>
  <c r="E88" i="64" s="1"/>
  <c r="Q93" i="49"/>
  <c r="P93" i="49" s="1"/>
  <c r="E20" i="50"/>
  <c r="Q125" i="49" s="1"/>
  <c r="O20" i="50"/>
  <c r="M20" i="50" s="1"/>
  <c r="Q92" i="49"/>
  <c r="P92" i="49" s="1"/>
  <c r="O19" i="50"/>
  <c r="M19" i="50" s="1"/>
  <c r="E19" i="50"/>
  <c r="Q124" i="49" s="1"/>
  <c r="BM259" i="89"/>
  <c r="AY208" i="89"/>
  <c r="C20" i="94"/>
  <c r="C35" i="95"/>
  <c r="P124" i="49" l="1"/>
  <c r="P19" i="50"/>
  <c r="N19" i="50"/>
  <c r="P125" i="49"/>
  <c r="P20" i="50"/>
  <c r="N20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88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66" i="89" s="1"/>
  <c r="G8" i="123"/>
  <c r="N8" i="123" s="1"/>
  <c r="L8" i="123"/>
  <c r="BP265" i="89" s="1"/>
  <c r="L7" i="123" l="1"/>
  <c r="BP264" i="89" s="1"/>
  <c r="BF244" i="89" s="1"/>
  <c r="L6" i="123"/>
  <c r="BP263" i="89" s="1"/>
  <c r="BF243" i="89" s="1"/>
  <c r="BF246" i="89"/>
  <c r="Q193" i="49"/>
  <c r="P193" i="49" s="1"/>
  <c r="BR266" i="89"/>
  <c r="BF245" i="89"/>
  <c r="BR265" i="89"/>
  <c r="Q192" i="49"/>
  <c r="P192" i="49" s="1"/>
  <c r="G9" i="123"/>
  <c r="N9" i="123" s="1"/>
  <c r="L5" i="123"/>
  <c r="G5" i="123"/>
  <c r="D11" i="123"/>
  <c r="Q191" i="49" l="1"/>
  <c r="P191" i="49" s="1"/>
  <c r="BR264" i="89"/>
  <c r="Q203" i="49" s="1"/>
  <c r="P203" i="49" s="1"/>
  <c r="Q190" i="49"/>
  <c r="P190" i="49" s="1"/>
  <c r="BR263" i="89"/>
  <c r="BS263" i="89" s="1"/>
  <c r="BH246" i="89"/>
  <c r="BJ246" i="89" s="1"/>
  <c r="BS266" i="89"/>
  <c r="Q205" i="49"/>
  <c r="P205" i="49" s="1"/>
  <c r="BP262" i="89"/>
  <c r="BH245" i="89"/>
  <c r="BJ245" i="89" s="1"/>
  <c r="BS265" i="89"/>
  <c r="Q204" i="49"/>
  <c r="P204" i="49" s="1"/>
  <c r="N5" i="123"/>
  <c r="BS264" i="89" l="1"/>
  <c r="BH244" i="89"/>
  <c r="BJ244" i="89" s="1"/>
  <c r="BH243" i="89"/>
  <c r="BJ243" i="89" s="1"/>
  <c r="Q202" i="49"/>
  <c r="P202" i="49" s="1"/>
  <c r="BF242" i="89"/>
  <c r="BR262" i="89"/>
  <c r="Q189" i="49"/>
  <c r="P189" i="49" s="1"/>
  <c r="BH242" i="89" l="1"/>
  <c r="BS262" i="89"/>
  <c r="Q201" i="49"/>
  <c r="P201" i="49" s="1"/>
  <c r="BJ242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10" i="89" l="1"/>
  <c r="AW210" i="89" s="1"/>
  <c r="AW206" i="89" s="1"/>
  <c r="E32" i="64"/>
  <c r="D24" i="64"/>
  <c r="F32" i="64"/>
  <c r="K52" i="39" s="1"/>
  <c r="AV210" i="89" l="1"/>
  <c r="AU206" i="89"/>
  <c r="Q156" i="49"/>
  <c r="P156" i="49" s="1"/>
  <c r="O8" i="51"/>
  <c r="E24" i="64"/>
  <c r="L9" i="89" s="1"/>
  <c r="F24" i="64"/>
  <c r="AF16" i="89"/>
  <c r="AY210" i="89" l="1"/>
  <c r="AY206" i="89"/>
  <c r="U10" i="89"/>
  <c r="AV206" i="89"/>
  <c r="AB141" i="89" l="1"/>
  <c r="L14" i="58" l="1"/>
  <c r="Q14" i="58" s="1"/>
  <c r="L17" i="58" l="1"/>
  <c r="P14" i="58" s="1"/>
  <c r="L21" i="58" l="1"/>
  <c r="L18" i="58"/>
  <c r="AD138" i="89" l="1"/>
  <c r="AC138" i="89" l="1"/>
  <c r="AY211" i="89" l="1"/>
  <c r="Q18" i="49"/>
  <c r="P18" i="49" s="1"/>
  <c r="N107" i="89" l="1"/>
  <c r="O107" i="89" s="1"/>
  <c r="F22" i="64"/>
  <c r="K47" i="39" s="1"/>
  <c r="AU202" i="89"/>
  <c r="E22" i="64"/>
  <c r="AW202" i="89" l="1"/>
  <c r="AV202" i="89"/>
  <c r="G23" i="123"/>
  <c r="H23" i="123"/>
  <c r="C10" i="123" l="1"/>
  <c r="E10" i="123" s="1"/>
  <c r="F23" i="123"/>
  <c r="C11" i="123" l="1"/>
  <c r="G10" i="123"/>
  <c r="L10" i="123"/>
  <c r="E11" i="123"/>
  <c r="L11" i="123" l="1"/>
  <c r="BP267" i="89"/>
  <c r="N10" i="123"/>
  <c r="N11" i="123" s="1"/>
  <c r="G11" i="123"/>
  <c r="Q194" i="49" l="1"/>
  <c r="P194" i="49" s="1"/>
  <c r="BP268" i="89"/>
  <c r="BR268" i="89" s="1"/>
  <c r="BS268" i="89" s="1"/>
  <c r="BR267" i="89"/>
  <c r="BF247" i="89"/>
  <c r="BF248" i="89" s="1"/>
  <c r="Q206" i="49" l="1"/>
  <c r="P206" i="49" s="1"/>
  <c r="BS267" i="89"/>
  <c r="BH247" i="89"/>
  <c r="BJ247" i="89" l="1"/>
  <c r="BH248" i="89"/>
  <c r="BJ248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29" i="50" s="1"/>
  <c r="P136" i="49"/>
  <c r="AY228" i="89"/>
  <c r="E46" i="50"/>
  <c r="E47" i="50"/>
  <c r="E48" i="50"/>
  <c r="E49" i="50"/>
  <c r="E50" i="50"/>
  <c r="E63" i="50"/>
  <c r="E64" i="50"/>
  <c r="E65" i="50"/>
  <c r="E66" i="50"/>
  <c r="E67" i="50"/>
  <c r="AY227" i="89" l="1"/>
  <c r="AY219" i="89"/>
  <c r="AY221" i="89"/>
  <c r="E29" i="50" l="1"/>
  <c r="C55" i="64" l="1"/>
  <c r="C44" i="64" s="1"/>
  <c r="D44" i="64" s="1"/>
  <c r="AN174" i="89"/>
  <c r="AO174" i="89" l="1"/>
  <c r="AN183" i="89"/>
  <c r="D55" i="64"/>
  <c r="E55" i="64" s="1"/>
  <c r="E44" i="64"/>
  <c r="AU226" i="89"/>
  <c r="AW226" i="89" l="1"/>
  <c r="AU235" i="89"/>
  <c r="AY226" i="89" l="1"/>
  <c r="AW235" i="89"/>
  <c r="C1101" i="85" l="1"/>
  <c r="C1551" i="85"/>
  <c r="C334" i="85"/>
  <c r="C1972" i="85"/>
  <c r="C592" i="85"/>
  <c r="C1764" i="85"/>
  <c r="C1821" i="85"/>
  <c r="C193" i="85"/>
  <c r="C174" i="85"/>
  <c r="C269" i="85"/>
  <c r="C685" i="85"/>
  <c r="C1709" i="85"/>
  <c r="C1691" i="85"/>
  <c r="C220" i="85"/>
  <c r="C607" i="85"/>
  <c r="C520" i="85"/>
  <c r="C1536" i="85"/>
  <c r="C748" i="85"/>
  <c r="C1454" i="85"/>
  <c r="C1560" i="85"/>
  <c r="C1602" i="85"/>
  <c r="C1762" i="85"/>
  <c r="C1724" i="85"/>
  <c r="C591" i="85"/>
  <c r="C1827" i="85"/>
  <c r="C1940" i="85"/>
  <c r="C1471" i="85"/>
  <c r="C337" i="85"/>
  <c r="C1984" i="85"/>
  <c r="C331" i="85"/>
  <c r="C700" i="85"/>
  <c r="C1019" i="85"/>
  <c r="C763" i="85"/>
  <c r="C633" i="85"/>
  <c r="C1775" i="85"/>
  <c r="C1743" i="85"/>
  <c r="C1504" i="85"/>
  <c r="C554" i="85"/>
  <c r="C403" i="85"/>
  <c r="C624" i="85"/>
  <c r="C856" i="85"/>
  <c r="C479" i="85"/>
  <c r="C1906" i="85"/>
  <c r="C1525" i="85"/>
  <c r="C976" i="85"/>
  <c r="C896" i="85"/>
  <c r="C1736" i="85"/>
  <c r="C911" i="85"/>
  <c r="C1458" i="85"/>
  <c r="C1178" i="85"/>
  <c r="C1068" i="85"/>
  <c r="C1353" i="85"/>
  <c r="C1888" i="85"/>
  <c r="C1230" i="85"/>
  <c r="C1939" i="85"/>
  <c r="C665" i="85"/>
  <c r="C1010" i="85"/>
  <c r="C402" i="85"/>
  <c r="C1012" i="85"/>
  <c r="C1222" i="85"/>
  <c r="C495" i="85"/>
  <c r="C545" i="85"/>
  <c r="C980" i="85"/>
  <c r="C1634" i="85"/>
  <c r="C926" i="85"/>
  <c r="C566" i="85"/>
  <c r="C208" i="85"/>
  <c r="C1473" i="85"/>
  <c r="C1203" i="85"/>
  <c r="C1335" i="85"/>
  <c r="C437" i="85"/>
  <c r="C1849" i="85"/>
  <c r="C1140" i="85"/>
  <c r="C561" i="85"/>
  <c r="C1462" i="85"/>
  <c r="C563" i="85"/>
  <c r="C705" i="85"/>
  <c r="C1401" i="85"/>
  <c r="C1712" i="85"/>
  <c r="C1794" i="85"/>
  <c r="C608" i="85"/>
  <c r="C1360" i="85"/>
  <c r="C1426" i="85"/>
  <c r="C971" i="85"/>
  <c r="C958" i="85"/>
  <c r="C669" i="85"/>
  <c r="C674" i="85"/>
  <c r="C1126" i="85"/>
  <c r="C1543" i="85"/>
  <c r="C1378" i="85"/>
  <c r="C568" i="85"/>
  <c r="C889" i="85"/>
  <c r="C1304" i="85"/>
  <c r="C1023" i="85"/>
  <c r="C1266" i="85"/>
  <c r="C447" i="85"/>
  <c r="C528" i="85"/>
  <c r="C754" i="85"/>
  <c r="C923" i="85"/>
  <c r="C1912" i="85"/>
  <c r="C371" i="85"/>
  <c r="C1740" i="85"/>
  <c r="C1404" i="85"/>
  <c r="C362" i="85"/>
  <c r="C453" i="85"/>
  <c r="C1895" i="85"/>
  <c r="C1857" i="85"/>
  <c r="C349" i="85"/>
  <c r="C1409" i="85"/>
  <c r="C854" i="85"/>
  <c r="C1355" i="85"/>
  <c r="C201" i="85"/>
  <c r="C342" i="85"/>
  <c r="C235" i="85"/>
  <c r="C622" i="85"/>
  <c r="C1568" i="85"/>
  <c r="C471" i="85"/>
  <c r="C611" i="85"/>
  <c r="C1910" i="85"/>
  <c r="C1116" i="85"/>
  <c r="C1253" i="85"/>
  <c r="C1661" i="85"/>
  <c r="C1278" i="85"/>
  <c r="C252" i="85"/>
  <c r="C59" i="85"/>
  <c r="C1998" i="85"/>
  <c r="C47" i="85"/>
  <c r="C1014" i="85"/>
  <c r="C671" i="85"/>
  <c r="C606" i="85"/>
  <c r="C247" i="85"/>
  <c r="C1365" i="85"/>
  <c r="C1866" i="85"/>
  <c r="C1615" i="85"/>
  <c r="C1391" i="85"/>
  <c r="C1777" i="85"/>
  <c r="C1513" i="85"/>
  <c r="C755" i="85"/>
  <c r="C172" i="85"/>
  <c r="C1718" i="85"/>
  <c r="C467" i="85"/>
  <c r="C1586" i="85"/>
  <c r="C1580" i="85"/>
  <c r="C828" i="85"/>
  <c r="C287" i="85"/>
  <c r="C1063" i="85"/>
  <c r="C1834" i="85"/>
  <c r="C1858" i="85"/>
  <c r="C1384" i="85"/>
  <c r="C1297" i="85"/>
  <c r="C394" i="85"/>
  <c r="C1381" i="85"/>
  <c r="C1722" i="85"/>
  <c r="C329" i="85"/>
  <c r="C1792" i="85"/>
  <c r="C982" i="85"/>
  <c r="C487" i="85"/>
  <c r="C299" i="85"/>
  <c r="C991" i="85"/>
  <c r="C1264" i="85"/>
  <c r="C745" i="85"/>
  <c r="C1813" i="85"/>
  <c r="C2000" i="85"/>
  <c r="C1859" i="85"/>
  <c r="C1694" i="85"/>
  <c r="C1001" i="85"/>
  <c r="C1444" i="85"/>
  <c r="C1705" i="85"/>
  <c r="C1565" i="85"/>
  <c r="C662" i="85"/>
  <c r="C392" i="85"/>
  <c r="C627" i="85"/>
  <c r="C457" i="85"/>
  <c r="C794" i="85"/>
  <c r="C1455" i="85"/>
  <c r="C1084" i="85"/>
  <c r="C1318" i="85"/>
  <c r="C628" i="85"/>
  <c r="C251" i="85"/>
  <c r="C1184" i="85"/>
  <c r="C1805" i="85"/>
  <c r="C340" i="85"/>
  <c r="C1112" i="85"/>
  <c r="C881" i="85"/>
  <c r="C1658" i="85"/>
  <c r="C446" i="85"/>
  <c r="C1261" i="85"/>
  <c r="C1708" i="85"/>
  <c r="C307" i="85"/>
  <c r="C1284" i="85"/>
  <c r="C245" i="85"/>
  <c r="C284" i="85"/>
  <c r="C1034" i="85"/>
  <c r="C1635" i="85"/>
  <c r="C1990" i="85"/>
  <c r="C1750" i="85"/>
  <c r="C688" i="85"/>
  <c r="C737" i="85"/>
  <c r="C321" i="85"/>
  <c r="C907" i="85"/>
  <c r="C1326" i="85"/>
  <c r="C1807" i="85"/>
  <c r="C1459" i="85"/>
  <c r="C1171" i="85"/>
  <c r="C443" i="85"/>
  <c r="C483" i="85"/>
  <c r="C994" i="85"/>
  <c r="C168" i="85"/>
  <c r="C929" i="85"/>
  <c r="C844" i="85"/>
  <c r="C865" i="85"/>
  <c r="C1038" i="85"/>
  <c r="C1746" i="85"/>
  <c r="C1466" i="85"/>
  <c r="C1431" i="85"/>
  <c r="C1865" i="85"/>
  <c r="C1036" i="85"/>
  <c r="C1668" i="85"/>
  <c r="C1029" i="85"/>
  <c r="C939" i="85"/>
  <c r="C979" i="85"/>
  <c r="C866" i="85"/>
  <c r="C1516" i="85"/>
  <c r="C1345" i="85"/>
  <c r="C590" i="85"/>
  <c r="C293" i="85"/>
  <c r="C1965" i="85"/>
  <c r="C1992" i="85"/>
  <c r="C411" i="85"/>
  <c r="C1946" i="85"/>
  <c r="C637" i="85"/>
  <c r="C675" i="85"/>
  <c r="C506" i="85"/>
  <c r="C1579" i="85"/>
  <c r="C629" i="85"/>
  <c r="C1061" i="85"/>
  <c r="C964" i="85"/>
  <c r="C236" i="85"/>
  <c r="C217" i="85"/>
  <c r="C1898" i="85"/>
  <c r="C703" i="85"/>
  <c r="C1904" i="85"/>
  <c r="C285" i="85"/>
  <c r="C375" i="85"/>
  <c r="C771" i="85"/>
  <c r="C1192" i="85"/>
  <c r="C756" i="85"/>
  <c r="C1218" i="85"/>
  <c r="C365" i="85"/>
  <c r="C242" i="85"/>
  <c r="C551" i="85"/>
  <c r="C343" i="85"/>
  <c r="C877" i="85"/>
  <c r="C1289" i="85"/>
  <c r="C744" i="85"/>
  <c r="C773" i="85"/>
  <c r="C1089" i="85"/>
  <c r="C657" i="85"/>
  <c r="C211" i="85"/>
  <c r="C1094" i="85"/>
  <c r="C1759" i="85"/>
  <c r="C636" i="85"/>
  <c r="C1527" i="85"/>
  <c r="C1511" i="85"/>
  <c r="C577" i="85"/>
  <c r="C1124" i="85"/>
  <c r="C1488" i="85"/>
  <c r="C741" i="85"/>
  <c r="C1305" i="85"/>
  <c r="C1787" i="85"/>
  <c r="C1588" i="85"/>
  <c r="C582" i="85"/>
  <c r="C1555" i="85"/>
  <c r="C1367" i="85"/>
  <c r="C960" i="85"/>
  <c r="C782" i="85"/>
  <c r="C1257" i="85"/>
  <c r="C227" i="85"/>
  <c r="C1440" i="85"/>
  <c r="C1751" i="85"/>
  <c r="C518" i="85"/>
  <c r="C853" i="85"/>
  <c r="C934" i="85"/>
  <c r="C85" i="85"/>
  <c r="C1505" i="85"/>
  <c r="C1954" i="85"/>
  <c r="C455" i="85"/>
  <c r="C1515" i="85"/>
  <c r="C34" i="85"/>
  <c r="C917" i="85"/>
  <c r="C1651" i="85"/>
  <c r="C989" i="85"/>
  <c r="C616" i="85"/>
  <c r="C186" i="85"/>
  <c r="C1825" i="85"/>
  <c r="C842" i="85"/>
  <c r="C654" i="85"/>
  <c r="C925" i="85"/>
  <c r="C1085" i="85"/>
  <c r="C787" i="85"/>
  <c r="C1960" i="85"/>
  <c r="C861" i="85"/>
  <c r="C267" i="85"/>
  <c r="C430" i="85"/>
  <c r="C423" i="85"/>
  <c r="C1430" i="85"/>
  <c r="C268" i="85"/>
  <c r="C1548" i="85"/>
  <c r="C341" i="85"/>
  <c r="C630" i="85"/>
  <c r="C996" i="85"/>
  <c r="C1008" i="85"/>
  <c r="C604" i="85"/>
  <c r="C770" i="85"/>
  <c r="C324" i="85"/>
  <c r="C1434" i="85"/>
  <c r="C921" i="85"/>
  <c r="C760" i="85"/>
  <c r="C1494" i="85"/>
  <c r="C873" i="85"/>
  <c r="C1057" i="85"/>
  <c r="C463" i="85"/>
  <c r="C1499" i="85"/>
  <c r="C292" i="85"/>
  <c r="C850" i="85"/>
  <c r="C556" i="85"/>
  <c r="C1242" i="85"/>
  <c r="C1144" i="85"/>
  <c r="C550" i="85"/>
  <c r="C1622" i="85"/>
  <c r="C1824" i="85"/>
  <c r="C885" i="85"/>
  <c r="C83" i="85"/>
  <c r="C817" i="85"/>
  <c r="C542" i="85"/>
  <c r="C354" i="85"/>
  <c r="C243" i="85"/>
  <c r="C522" i="85"/>
  <c r="C1368" i="85"/>
  <c r="C772" i="85"/>
  <c r="C725" i="85"/>
  <c r="C1754" i="85"/>
  <c r="C1496" i="85"/>
  <c r="C512" i="85"/>
  <c r="C1642" i="85"/>
  <c r="C1693" i="85"/>
  <c r="C1414" i="85"/>
  <c r="C301" i="85"/>
  <c r="C1182" i="85"/>
  <c r="C1540" i="85"/>
  <c r="C1374" i="85"/>
  <c r="C984" i="85"/>
  <c r="C184" i="85"/>
  <c r="C1666" i="85"/>
  <c r="C1249" i="85"/>
  <c r="C420" i="85"/>
  <c r="C1263" i="85"/>
  <c r="C169" i="85"/>
  <c r="C326" i="85"/>
  <c r="C1522" i="85"/>
  <c r="C1187" i="85"/>
  <c r="C739" i="85"/>
  <c r="C1079" i="85"/>
  <c r="C425" i="85"/>
  <c r="C800" i="85"/>
  <c r="C1550" i="85"/>
  <c r="C1623" i="85"/>
  <c r="C715" i="85"/>
  <c r="C1684" i="85"/>
  <c r="C1875" i="85"/>
  <c r="C1120" i="85"/>
  <c r="C333" i="85"/>
  <c r="C692" i="85"/>
  <c r="C1347" i="85"/>
  <c r="C1632" i="85"/>
  <c r="C1174" i="85"/>
  <c r="C1429" i="85"/>
  <c r="C476" i="85"/>
  <c r="C356" i="85"/>
  <c r="C1670" i="85"/>
  <c r="C1957" i="85"/>
  <c r="C240" i="85"/>
  <c r="C643" i="85"/>
  <c r="C391" i="85"/>
  <c r="C1292" i="85"/>
  <c r="C1980" i="85"/>
  <c r="C783" i="85"/>
  <c r="C1461" i="85"/>
  <c r="C190" i="85"/>
  <c r="C1151" i="85"/>
  <c r="C279" i="85"/>
  <c r="C1396" i="85"/>
  <c r="C648" i="85"/>
  <c r="C1822" i="85"/>
  <c r="C978" i="85"/>
  <c r="C1024" i="85"/>
  <c r="C793" i="85"/>
  <c r="C1105" i="85"/>
  <c r="C188" i="85"/>
  <c r="C1817" i="85"/>
  <c r="C1853" i="85"/>
  <c r="C1582" i="85"/>
  <c r="C1110" i="85"/>
  <c r="C777" i="85"/>
  <c r="C819" i="85"/>
  <c r="C946" i="85"/>
  <c r="C80" i="85"/>
  <c r="C54" i="85"/>
  <c r="C1362" i="85"/>
  <c r="C1060" i="85"/>
  <c r="C33" i="85"/>
  <c r="C1176" i="85"/>
  <c r="C1307" i="85"/>
  <c r="C1046" i="85"/>
  <c r="C1907" i="85"/>
  <c r="C1042" i="85"/>
  <c r="C1566" i="85"/>
  <c r="C693" i="85"/>
  <c r="C458" i="85"/>
  <c r="C1964" i="85"/>
  <c r="C529" i="85"/>
  <c r="C667" i="85"/>
  <c r="C920" i="85"/>
  <c r="C225" i="85"/>
  <c r="C296" i="85"/>
  <c r="C1975" i="85"/>
  <c r="C513" i="85"/>
  <c r="C1884" i="85"/>
  <c r="C1398" i="85"/>
  <c r="C484" i="85"/>
  <c r="C1531" i="85"/>
  <c r="C494" i="85"/>
  <c r="C1926" i="85"/>
  <c r="C351" i="85"/>
  <c r="C1675" i="85"/>
  <c r="C468" i="85"/>
  <c r="C1887" i="85"/>
  <c r="C818" i="85"/>
  <c r="C683" i="85"/>
  <c r="C1701" i="85"/>
  <c r="C1021" i="85"/>
  <c r="C488" i="85"/>
  <c r="C1676" i="85"/>
  <c r="C1855" i="85"/>
  <c r="C1179" i="85"/>
  <c r="C841" i="85"/>
  <c r="C1930" i="85"/>
  <c r="C1248" i="85"/>
  <c r="C767" i="85"/>
  <c r="C1198" i="85"/>
  <c r="C807" i="85"/>
  <c r="C1851" i="85"/>
  <c r="C1846" i="85"/>
  <c r="C1096" i="85"/>
  <c r="C1272" i="85"/>
  <c r="C1030" i="85"/>
  <c r="C1854" i="85"/>
  <c r="C178" i="85"/>
  <c r="C1860" i="85"/>
  <c r="C689" i="85"/>
  <c r="C573" i="85"/>
  <c r="C472" i="85"/>
  <c r="C1900" i="85"/>
  <c r="C1532" i="85"/>
  <c r="C1952" i="85"/>
  <c r="C589" i="85"/>
  <c r="C1478" i="85"/>
  <c r="C1262" i="85"/>
  <c r="C1677" i="85"/>
  <c r="C810" i="85"/>
  <c r="C1726" i="85"/>
  <c r="C1687" i="85"/>
  <c r="C1088" i="85"/>
  <c r="C1037" i="85"/>
  <c r="C310" i="85"/>
  <c r="C918" i="85"/>
  <c r="C1075" i="85"/>
  <c r="C451" i="85"/>
  <c r="C1733" i="85"/>
  <c r="C1915" i="85"/>
  <c r="C532" i="85"/>
  <c r="C798" i="85"/>
  <c r="C1325" i="85"/>
  <c r="C1123" i="85"/>
  <c r="C1897" i="85"/>
  <c r="C1637" i="85"/>
  <c r="C721" i="85"/>
  <c r="C1490" i="85"/>
  <c r="C538" i="85"/>
  <c r="C835" i="85"/>
  <c r="C228" i="85"/>
  <c r="C1428" i="85"/>
  <c r="C1412" i="85"/>
  <c r="C1199" i="85"/>
  <c r="C1343" i="85"/>
  <c r="C1225" i="85"/>
  <c r="C258" i="85"/>
  <c r="C1678" i="85"/>
  <c r="C502" i="85"/>
  <c r="C609" i="85"/>
  <c r="C393" i="85"/>
  <c r="C1181" i="85"/>
  <c r="C1562" i="85"/>
  <c r="C753" i="85"/>
  <c r="C1487" i="85"/>
  <c r="C1526" i="85"/>
  <c r="C29" i="85"/>
  <c r="C1005" i="85"/>
  <c r="C116" i="85"/>
  <c r="C1996" i="85"/>
  <c r="C1648" i="85"/>
  <c r="C1988" i="85"/>
  <c r="C1719" i="85"/>
  <c r="C1158" i="85"/>
  <c r="C804" i="85"/>
  <c r="C1876" i="85"/>
  <c r="C1507" i="85"/>
  <c r="C992" i="85"/>
  <c r="C1970" i="85"/>
  <c r="C1130" i="85"/>
  <c r="C1961" i="85"/>
  <c r="C845" i="85"/>
  <c r="C1690" i="85"/>
  <c r="C1364" i="85"/>
  <c r="C384" i="85"/>
  <c r="C1152" i="85"/>
  <c r="C374" i="85"/>
  <c r="C1450" i="85"/>
  <c r="C1370" i="85"/>
  <c r="C1442" i="85"/>
  <c r="C891" i="85"/>
  <c r="C673" i="85"/>
  <c r="C1955" i="85"/>
  <c r="C1936" i="85"/>
  <c r="C1352" i="85"/>
  <c r="C902" i="85"/>
  <c r="C1169" i="85"/>
  <c r="C1685" i="85"/>
  <c r="C1229" i="85"/>
  <c r="C1206" i="85"/>
  <c r="C775" i="85"/>
  <c r="C1890" i="85"/>
  <c r="C594" i="85"/>
  <c r="C1783" i="85"/>
  <c r="C1587" i="85"/>
  <c r="C694" i="85"/>
  <c r="C1102" i="85"/>
  <c r="C1415" i="85"/>
  <c r="C1156" i="85"/>
  <c r="C1022" i="85"/>
  <c r="C1735" i="85"/>
  <c r="C1800" i="85"/>
  <c r="C1131" i="85"/>
  <c r="C1323" i="85"/>
  <c r="C1681" i="85"/>
  <c r="C1375" i="85"/>
  <c r="C723" i="85"/>
  <c r="C1419" i="85"/>
  <c r="C1732" i="85"/>
  <c r="C396" i="85"/>
  <c r="C1247" i="85"/>
  <c r="C780" i="85"/>
  <c r="C1295" i="85"/>
  <c r="C86" i="85"/>
  <c r="C1389" i="85"/>
  <c r="C652" i="85"/>
  <c r="C1216" i="85"/>
  <c r="C1308" i="85"/>
  <c r="C1371" i="85"/>
  <c r="C954" i="85"/>
  <c r="C1337" i="85"/>
  <c r="C450" i="85"/>
  <c r="C1663" i="85"/>
  <c r="C874" i="85"/>
  <c r="C790" i="85"/>
  <c r="C1228" i="85"/>
  <c r="C377" i="85"/>
  <c r="C1611" i="85"/>
  <c r="C1641" i="85"/>
  <c r="C232" i="85"/>
  <c r="C313" i="85"/>
  <c r="C617" i="85"/>
  <c r="C1108" i="85"/>
  <c r="C1432" i="85"/>
  <c r="C1241" i="85"/>
  <c r="C249" i="85"/>
  <c r="C618" i="85"/>
  <c r="C1971" i="85"/>
  <c r="C658" i="85"/>
  <c r="C1073" i="85"/>
  <c r="C1288" i="85"/>
  <c r="C1369" i="85"/>
  <c r="C1891" i="85"/>
  <c r="C360" i="85"/>
  <c r="C1630" i="85"/>
  <c r="C677" i="85"/>
  <c r="C549" i="85"/>
  <c r="C548" i="85"/>
  <c r="C421" i="85"/>
  <c r="C1896" i="85"/>
  <c r="C1882" i="85"/>
  <c r="C1559" i="85"/>
  <c r="C1509" i="85"/>
  <c r="C1769" i="85"/>
  <c r="C852" i="85"/>
  <c r="C1925" i="85"/>
  <c r="C1342" i="85"/>
  <c r="C752" i="85"/>
  <c r="C602" i="85"/>
  <c r="C1785" i="85"/>
  <c r="C684" i="85"/>
  <c r="C1745" i="85"/>
  <c r="C1756" i="85"/>
  <c r="C1207" i="85"/>
  <c r="C803" i="85"/>
  <c r="C796" i="85"/>
  <c r="C330" i="85"/>
  <c r="C846" i="85"/>
  <c r="C1416" i="85"/>
  <c r="C94" i="85"/>
  <c r="C1159" i="85"/>
  <c r="C696" i="85"/>
  <c r="C1567" i="85"/>
  <c r="C1457" i="85"/>
  <c r="C661" i="85"/>
  <c r="C58" i="85"/>
  <c r="C672" i="85"/>
  <c r="C1138" i="85"/>
  <c r="C701" i="85"/>
  <c r="C192" i="85"/>
  <c r="C965" i="85"/>
  <c r="C1660" i="85"/>
  <c r="C1344" i="85"/>
  <c r="C389" i="85"/>
  <c r="C1330" i="85"/>
  <c r="C325" i="85"/>
  <c r="C173" i="85"/>
  <c r="C1237" i="85"/>
  <c r="C381" i="85"/>
  <c r="C1016" i="85"/>
  <c r="C1411" i="85"/>
  <c r="C1274" i="85"/>
  <c r="C1082" i="85"/>
  <c r="C1820" i="85"/>
  <c r="C1533" i="85"/>
  <c r="C535" i="85"/>
  <c r="C517" i="85"/>
  <c r="C1485" i="85"/>
  <c r="C785" i="85"/>
  <c r="C1447" i="85"/>
  <c r="C1104" i="85"/>
  <c r="C1260" i="85"/>
  <c r="C1413" i="85"/>
  <c r="C1329" i="85"/>
  <c r="C1572" i="85"/>
  <c r="C759" i="85"/>
  <c r="C363" i="85"/>
  <c r="C779" i="85"/>
  <c r="C286" i="85"/>
  <c r="C1267" i="85"/>
  <c r="C1363" i="85"/>
  <c r="C897" i="85"/>
  <c r="C274" i="85"/>
  <c r="C1547" i="85"/>
  <c r="C711" i="85"/>
  <c r="C1373" i="85"/>
  <c r="C28" i="85"/>
  <c r="C231" i="85"/>
  <c r="C280" i="85"/>
  <c r="C519" i="85"/>
  <c r="C634" i="85"/>
  <c r="C1113" i="85"/>
  <c r="C1166" i="85"/>
  <c r="C1403" i="85"/>
  <c r="C1711" i="85"/>
  <c r="C1503" i="85"/>
  <c r="C1423" i="85"/>
  <c r="C187" i="85"/>
  <c r="C1916" i="85"/>
  <c r="C1336" i="85"/>
  <c r="C1889" i="85"/>
  <c r="C1647" i="85"/>
  <c r="C802" i="85"/>
  <c r="C1226" i="85"/>
  <c r="C788" i="85"/>
  <c r="C1869" i="85"/>
  <c r="C419" i="85"/>
  <c r="C922" i="85"/>
  <c r="C1052" i="85"/>
  <c r="C1311" i="85"/>
  <c r="C1273" i="85"/>
  <c r="C323" i="85"/>
  <c r="C1969" i="85"/>
  <c r="C427" i="85"/>
  <c r="C1290" i="85"/>
  <c r="C1791" i="85"/>
  <c r="C1321" i="85"/>
  <c r="C1986" i="85"/>
  <c r="C255" i="85"/>
  <c r="C302" i="85"/>
  <c r="C1618" i="85"/>
  <c r="C434" i="85"/>
  <c r="C1460" i="85"/>
  <c r="C272" i="85"/>
  <c r="C1039" i="85"/>
  <c r="C1217" i="85"/>
  <c r="C894" i="85"/>
  <c r="C1193" i="85"/>
  <c r="C1781" i="85"/>
  <c r="C412" i="85"/>
  <c r="C344" i="85"/>
  <c r="C1433" i="85"/>
  <c r="C743" i="85"/>
  <c r="C1118" i="85"/>
  <c r="C734" i="85"/>
  <c r="C1467" i="85"/>
  <c r="C1893" i="85"/>
  <c r="C1808" i="85"/>
  <c r="C932" i="85"/>
  <c r="C1571" i="85"/>
  <c r="C1236" i="85"/>
  <c r="C1053" i="85"/>
  <c r="C300" i="85"/>
  <c r="C1146" i="85"/>
  <c r="C610" i="85"/>
  <c r="C1445" i="85"/>
  <c r="C1214" i="85"/>
  <c r="C862" i="85"/>
  <c r="C1737" i="85"/>
  <c r="C948" i="85"/>
  <c r="C1380" i="85"/>
  <c r="C1420" i="85"/>
  <c r="C973" i="85"/>
  <c r="C1465" i="85"/>
  <c r="C1999" i="85"/>
  <c r="C379" i="85"/>
  <c r="C1048" i="85"/>
  <c r="C1864" i="85"/>
  <c r="C530" i="85"/>
  <c r="C1716" i="85"/>
  <c r="C294" i="85"/>
  <c r="C1872" i="85"/>
  <c r="C1256" i="85"/>
  <c r="C1664" i="85"/>
  <c r="C465" i="85"/>
  <c r="C170" i="85"/>
  <c r="C1816" i="85"/>
  <c r="C454" i="85"/>
  <c r="C378" i="85"/>
  <c r="C373" i="85"/>
  <c r="C1778" i="85"/>
  <c r="C1346" i="85"/>
  <c r="C1189" i="85"/>
  <c r="C593" i="85"/>
  <c r="C729" i="85"/>
  <c r="C1901" i="85"/>
  <c r="C1886" i="85"/>
  <c r="C1595" i="85"/>
  <c r="C1339" i="85"/>
  <c r="C1255" i="85"/>
  <c r="C1798" i="85"/>
  <c r="C557" i="85"/>
  <c r="C1259" i="85"/>
  <c r="C660" i="85"/>
  <c r="C336" i="85"/>
  <c r="C1424" i="85"/>
  <c r="C632" i="85"/>
  <c r="C1938" i="85"/>
  <c r="C1376" i="85"/>
  <c r="C237" i="85"/>
  <c r="C1476" i="85"/>
  <c r="C1682" i="85"/>
  <c r="C829" i="85"/>
  <c r="C1041" i="85"/>
  <c r="C1575" i="85"/>
  <c r="C872" i="85"/>
  <c r="C1400" i="85"/>
  <c r="C1219" i="85"/>
  <c r="C385" i="85"/>
  <c r="C277" i="85"/>
  <c r="C1397" i="85"/>
  <c r="C1524" i="85"/>
  <c r="C69" i="85"/>
  <c r="C580" i="85"/>
  <c r="C509" i="85"/>
  <c r="C1441" i="85"/>
  <c r="C1177" i="85"/>
  <c r="C1861" i="85"/>
  <c r="C868" i="85"/>
  <c r="C969" i="85"/>
  <c r="C724" i="85"/>
  <c r="C124" i="85"/>
  <c r="C433" i="85"/>
  <c r="C776" i="85"/>
  <c r="C1291" i="85"/>
  <c r="C970" i="85"/>
  <c r="C372" i="85"/>
  <c r="C328" i="85"/>
  <c r="C1958" i="85"/>
  <c r="C357" i="85"/>
  <c r="C765" i="85"/>
  <c r="C1164" i="85"/>
  <c r="C1506" i="85"/>
  <c r="C1763" i="85"/>
  <c r="C1578" i="85"/>
  <c r="C942" i="85"/>
  <c r="C847" i="85"/>
  <c r="C1644" i="85"/>
  <c r="C311" i="85"/>
  <c r="C1620" i="85"/>
  <c r="C987" i="85"/>
  <c r="C1167" i="85"/>
  <c r="C578" i="85"/>
  <c r="C304" i="85"/>
  <c r="C1749" i="85"/>
  <c r="C686" i="85"/>
  <c r="C1361" i="85"/>
  <c r="C387" i="85"/>
  <c r="C1451" i="85"/>
  <c r="C1867" i="85"/>
  <c r="C204" i="85"/>
  <c r="C540" i="85"/>
  <c r="C639" i="85"/>
  <c r="C51" i="85"/>
  <c r="C1624" i="85"/>
  <c r="C732" i="85"/>
  <c r="C462" i="85"/>
  <c r="C1279" i="85"/>
  <c r="C1799" i="85"/>
  <c r="C1640" i="85"/>
  <c r="C503" i="85"/>
  <c r="C1027" i="85"/>
  <c r="C1552" i="85"/>
  <c r="C1577" i="85"/>
  <c r="C536" i="85"/>
  <c r="C860" i="85"/>
  <c r="C781" i="85"/>
  <c r="C441" i="85"/>
  <c r="C680" i="85"/>
  <c r="C1251" i="85"/>
  <c r="C813" i="85"/>
  <c r="C670" i="85"/>
  <c r="C951" i="85"/>
  <c r="C668" i="85"/>
  <c r="C823" i="85"/>
  <c r="C560" i="85"/>
  <c r="C404" i="85"/>
  <c r="C1796" i="85"/>
  <c r="C406" i="85"/>
  <c r="C1091" i="85"/>
  <c r="C1922" i="85"/>
  <c r="C1069" i="85"/>
  <c r="C1968" i="85"/>
  <c r="C1443" i="85"/>
  <c r="C499" i="85"/>
  <c r="C1491" i="85"/>
  <c r="C1626" i="85"/>
  <c r="C1826" i="85"/>
  <c r="C504" i="85"/>
  <c r="C859" i="85"/>
  <c r="C1702" i="85"/>
  <c r="C1310" i="85"/>
  <c r="C1394" i="85"/>
  <c r="C198" i="85"/>
  <c r="C1044" i="85"/>
  <c r="C681" i="85"/>
  <c r="C940" i="85"/>
  <c r="C596" i="85"/>
  <c r="C1927" i="85"/>
  <c r="C631" i="85"/>
  <c r="C1172" i="85"/>
  <c r="C1322" i="85"/>
  <c r="C1115" i="85"/>
  <c r="C275" i="85"/>
  <c r="C515" i="85"/>
  <c r="C864" i="85"/>
  <c r="C1842" i="85"/>
  <c r="C1768" i="85"/>
  <c r="C1500" i="85"/>
  <c r="C1495" i="85"/>
  <c r="C1283" i="85"/>
  <c r="C547" i="85"/>
  <c r="C1080" i="85"/>
  <c r="C464" i="85"/>
  <c r="C1841" i="85"/>
  <c r="C1928" i="85"/>
  <c r="C704" i="85"/>
  <c r="C1028" i="85"/>
  <c r="C1359" i="85"/>
  <c r="C679" i="85"/>
  <c r="C1689" i="85"/>
  <c r="C588" i="85"/>
  <c r="C1204" i="85"/>
  <c r="C1065" i="85"/>
  <c r="C789" i="85"/>
  <c r="C1502" i="85"/>
  <c r="C983" i="85"/>
  <c r="C1276" i="85"/>
  <c r="C1830" i="85"/>
  <c r="C1542" i="85"/>
  <c r="C953" i="85"/>
  <c r="C1843" i="85"/>
  <c r="C290" i="85"/>
  <c r="C1013" i="85"/>
  <c r="C1067" i="85"/>
  <c r="C291" i="85"/>
  <c r="C805" i="85"/>
  <c r="C736" i="85"/>
  <c r="C698" i="85"/>
  <c r="C1633" i="85"/>
  <c r="C195" i="85"/>
  <c r="C1512" i="85"/>
  <c r="C888" i="85"/>
  <c r="C1483" i="85"/>
  <c r="C687" i="85"/>
  <c r="C27" i="85"/>
  <c r="C1950" i="85"/>
  <c r="C758" i="85"/>
  <c r="C478" i="85"/>
  <c r="C1947" i="85"/>
  <c r="C1449" i="85"/>
  <c r="C1475" i="85"/>
  <c r="C415" i="85"/>
  <c r="C1425" i="85"/>
  <c r="C183" i="85"/>
  <c r="C1453" i="85"/>
  <c r="C432" i="85"/>
  <c r="C1333" i="85"/>
  <c r="C1201" i="85"/>
  <c r="C1815" i="85"/>
  <c r="C444" i="85"/>
  <c r="C126" i="85"/>
  <c r="C1015" i="85"/>
  <c r="C749" i="85"/>
  <c r="C1393" i="85"/>
  <c r="C91" i="85"/>
  <c r="C361" i="85"/>
  <c r="C880" i="85"/>
  <c r="C824" i="85"/>
  <c r="C1121" i="85"/>
  <c r="C1501" i="85"/>
  <c r="C899" i="85"/>
  <c r="C1358" i="85"/>
  <c r="C1544" i="85"/>
  <c r="C1282" i="85"/>
  <c r="C1004" i="85"/>
  <c r="C303" i="85"/>
  <c r="C305" i="85"/>
  <c r="C956" i="85"/>
  <c r="C738" i="85"/>
  <c r="C1480" i="85"/>
  <c r="C1137" i="85"/>
  <c r="C915" i="85"/>
  <c r="C1109" i="85"/>
  <c r="C1529" i="85"/>
  <c r="C1755" i="85"/>
  <c r="C219" i="85"/>
  <c r="C857" i="85"/>
  <c r="C1921" i="85"/>
  <c r="C1220" i="85"/>
  <c r="C1470" i="85"/>
  <c r="C1760" i="85"/>
  <c r="C952" i="85"/>
  <c r="C1914" i="85"/>
  <c r="C1942" i="85"/>
  <c r="C1386" i="85"/>
  <c r="C359" i="85"/>
  <c r="C1235" i="85"/>
  <c r="C702" i="85"/>
  <c r="C645" i="85"/>
  <c r="C1739" i="85"/>
  <c r="C1948" i="85"/>
  <c r="C1727" i="85"/>
  <c r="C1744" i="85"/>
  <c r="C1231" i="85"/>
  <c r="C799" i="85"/>
  <c r="C278" i="85"/>
  <c r="C1224" i="85"/>
  <c r="C1686" i="85"/>
  <c r="C533" i="85"/>
  <c r="C1563" i="85"/>
  <c r="C884" i="85"/>
  <c r="C470" i="85"/>
  <c r="C1747" i="85"/>
  <c r="C1592" i="85"/>
  <c r="C1874" i="85"/>
  <c r="C1806" i="85"/>
  <c r="C1833" i="85"/>
  <c r="C1596" i="85"/>
  <c r="C1258" i="85"/>
  <c r="C1649" i="85"/>
  <c r="C1879" i="85"/>
  <c r="C1026" i="85"/>
  <c r="C1801" i="85"/>
  <c r="C1557" i="85"/>
  <c r="C1937" i="85"/>
  <c r="C944" i="85"/>
  <c r="C1317" i="85"/>
  <c r="C791" i="85"/>
  <c r="C200" i="85"/>
  <c r="C1301" i="85"/>
  <c r="C1604" i="85"/>
  <c r="C905" i="85"/>
  <c r="C598" i="85"/>
  <c r="C757" i="85"/>
  <c r="C541" i="85"/>
  <c r="C1468" i="85"/>
  <c r="C1392" i="85"/>
  <c r="C1692" i="85"/>
  <c r="C1134" i="85"/>
  <c r="C977" i="85"/>
  <c r="C587" i="85"/>
  <c r="C962" i="85"/>
  <c r="C442" i="85"/>
  <c r="C613" i="85"/>
  <c r="C1832" i="85"/>
  <c r="C1209" i="85"/>
  <c r="C84" i="85"/>
  <c r="C428" i="85"/>
  <c r="C919" i="85"/>
  <c r="C205" i="85"/>
  <c r="C369" i="85"/>
  <c r="C642" i="85"/>
  <c r="C1481" i="85"/>
  <c r="C901" i="85"/>
  <c r="C1163" i="85"/>
  <c r="C595" i="85"/>
  <c r="C1497" i="85"/>
  <c r="C346" i="85"/>
  <c r="C1653" i="85"/>
  <c r="C1534" i="85"/>
  <c r="C1831" i="85"/>
  <c r="C244" i="85"/>
  <c r="C656" i="85"/>
  <c r="C1250" i="85"/>
  <c r="C1076" i="85"/>
  <c r="C945" i="85"/>
  <c r="C1107" i="85"/>
  <c r="C1324" i="85"/>
  <c r="C492" i="85"/>
  <c r="C315" i="85"/>
  <c r="C612" i="85"/>
  <c r="C821" i="85"/>
  <c r="C833" i="85"/>
  <c r="C626" i="85"/>
  <c r="C806" i="85"/>
  <c r="C947" i="85"/>
  <c r="C260" i="85"/>
  <c r="C1617" i="85"/>
  <c r="C1006" i="85"/>
  <c r="C1446" i="85"/>
  <c r="C707" i="85"/>
  <c r="C276" i="85"/>
  <c r="C1944" i="85"/>
  <c r="C1239" i="85"/>
  <c r="C820" i="85"/>
  <c r="C1911" i="85"/>
  <c r="C1320" i="85"/>
  <c r="C1064" i="85"/>
  <c r="C663" i="85"/>
  <c r="C1155" i="85"/>
  <c r="C1009" i="85"/>
  <c r="C1696" i="85"/>
  <c r="C747" i="85"/>
  <c r="C469" i="85"/>
  <c r="C1987" i="85"/>
  <c r="C1286" i="85"/>
  <c r="C480" i="85"/>
  <c r="C830" i="85"/>
  <c r="C1221" i="85"/>
  <c r="C1173" i="85"/>
  <c r="C1576" i="85"/>
  <c r="C319" i="85"/>
  <c r="C316" i="85"/>
  <c r="C1956" i="85"/>
  <c r="C213" i="85"/>
  <c r="C1191" i="85"/>
  <c r="C1129" i="85"/>
  <c r="C644" i="85"/>
  <c r="C1315" i="85"/>
  <c r="C182" i="85"/>
  <c r="C1779" i="85"/>
  <c r="C501" i="85"/>
  <c r="C1422" i="85"/>
  <c r="C1933" i="85"/>
  <c r="C1007" i="85"/>
  <c r="C390" i="85"/>
  <c r="C1087" i="85"/>
  <c r="C64" i="85"/>
  <c r="C539" i="85"/>
  <c r="C1814" i="85"/>
  <c r="C257" i="85"/>
  <c r="C189" i="85"/>
  <c r="C1348" i="85"/>
  <c r="C1782" i="85"/>
  <c r="C491" i="85"/>
  <c r="C651" i="85"/>
  <c r="C1665" i="85"/>
  <c r="C559" i="85"/>
  <c r="C1607" i="85"/>
  <c r="C534" i="85"/>
  <c r="C283" i="85"/>
  <c r="C1017" i="85"/>
  <c r="C1752" i="85"/>
  <c r="C809" i="85"/>
  <c r="C615" i="85"/>
  <c r="C1070" i="85"/>
  <c r="C834" i="85"/>
  <c r="C413" i="85"/>
  <c r="C1918" i="85"/>
  <c r="C1669" i="85"/>
  <c r="C1498" i="85"/>
  <c r="C318" i="85"/>
  <c r="C1408" i="85"/>
  <c r="C938" i="85"/>
  <c r="C646" i="85"/>
  <c r="C1271" i="85"/>
  <c r="C1810" i="85"/>
  <c r="C552" i="85"/>
  <c r="C273" i="85"/>
  <c r="C1097" i="85"/>
  <c r="C383" i="85"/>
  <c r="C408" i="85"/>
  <c r="C400" i="85"/>
  <c r="C355" i="85"/>
  <c r="C306" i="85"/>
  <c r="C1934" i="85"/>
  <c r="C816" i="85"/>
  <c r="C1601" i="85"/>
  <c r="C1395" i="85"/>
  <c r="C666" i="85"/>
  <c r="C985" i="85"/>
  <c r="C1328" i="85"/>
  <c r="C1613" i="85"/>
  <c r="C448" i="85"/>
  <c r="C473" i="85"/>
  <c r="C1383" i="85"/>
  <c r="C863" i="85"/>
  <c r="C407" i="85"/>
  <c r="C1892" i="85"/>
  <c r="C500" i="85"/>
  <c r="C1160" i="85"/>
  <c r="C1055" i="85"/>
  <c r="C620" i="85"/>
  <c r="C751" i="85"/>
  <c r="C1183" i="85"/>
  <c r="C1909" i="85"/>
  <c r="C181" i="85"/>
  <c r="C900" i="85"/>
  <c r="C1989" i="85"/>
  <c r="C768" i="85"/>
  <c r="C216" i="85"/>
  <c r="C1098" i="85"/>
  <c r="C525" i="85"/>
  <c r="C1287" i="85"/>
  <c r="C524" i="85"/>
  <c r="C733" i="85"/>
  <c r="C839" i="85"/>
  <c r="C941" i="85"/>
  <c r="C250" i="85"/>
  <c r="C35" i="85"/>
  <c r="C1905" i="85"/>
  <c r="C1729" i="85"/>
  <c r="C1585" i="85"/>
  <c r="C1836" i="85"/>
  <c r="C712" i="85"/>
  <c r="C196" i="85"/>
  <c r="C928" i="85"/>
  <c r="C1233" i="85"/>
  <c r="C1385" i="85"/>
  <c r="C1312" i="85"/>
  <c r="C792" i="85"/>
  <c r="C288" i="85"/>
  <c r="C722" i="85"/>
  <c r="C1929" i="85"/>
  <c r="C1208" i="85"/>
  <c r="C1828" i="85"/>
  <c r="C1162" i="85"/>
  <c r="C1066" i="85"/>
  <c r="C690" i="85"/>
  <c r="C797" i="85"/>
  <c r="C1976" i="85"/>
  <c r="C1556" i="85"/>
  <c r="C1983" i="85"/>
  <c r="C224" i="85"/>
  <c r="C714" i="85"/>
  <c r="C546" i="85"/>
  <c r="C1742" i="85"/>
  <c r="C1303" i="85"/>
  <c r="C486" i="85"/>
  <c r="C281" i="85"/>
  <c r="C1734" i="85"/>
  <c r="C347" i="85"/>
  <c r="C1590" i="85"/>
  <c r="C746" i="85"/>
  <c r="C910" i="85"/>
  <c r="C1673" i="85"/>
  <c r="C1518" i="85"/>
  <c r="C892" i="85"/>
  <c r="C179" i="85"/>
  <c r="C815" i="85"/>
  <c r="C957" i="85"/>
  <c r="C41" i="85"/>
  <c r="C676" i="85"/>
  <c r="C1730" i="85"/>
  <c r="C460" i="85"/>
  <c r="C1294" i="85"/>
  <c r="C1351" i="85"/>
  <c r="C67" i="85"/>
  <c r="C1456" i="85"/>
  <c r="C855" i="85"/>
  <c r="C120" i="85"/>
  <c r="C435" i="85"/>
  <c r="C1153" i="85"/>
  <c r="C445" i="85"/>
  <c r="C1043" i="85"/>
  <c r="C1327" i="85"/>
  <c r="C720" i="85"/>
  <c r="C511" i="85"/>
  <c r="C869" i="85"/>
  <c r="C730" i="85"/>
  <c r="C1477" i="85"/>
  <c r="C1402" i="85"/>
  <c r="C935" i="85"/>
  <c r="C930" i="85"/>
  <c r="C586" i="85"/>
  <c r="C710" i="85"/>
  <c r="C1377" i="85"/>
  <c r="C1319" i="85"/>
  <c r="C368" i="85"/>
  <c r="C1710" i="85"/>
  <c r="C1119" i="85"/>
  <c r="C1421" i="85"/>
  <c r="C887" i="85"/>
  <c r="C1309" i="85"/>
  <c r="C849" i="85"/>
  <c r="C943" i="85"/>
  <c r="C558" i="85"/>
  <c r="C735" i="85"/>
  <c r="C233" i="85"/>
  <c r="C350" i="85"/>
  <c r="C1202" i="85"/>
  <c r="C1683" i="85"/>
  <c r="C1688" i="85"/>
  <c r="C298" i="85"/>
  <c r="C727" i="85"/>
  <c r="C614" i="85"/>
  <c r="C493" i="85"/>
  <c r="C878" i="85"/>
  <c r="C981" i="85"/>
  <c r="C1953" i="85"/>
  <c r="C1662" i="85"/>
  <c r="C338" i="85"/>
  <c r="C1979" i="85"/>
  <c r="C1612" i="85"/>
  <c r="C836" i="85"/>
  <c r="C1190" i="85"/>
  <c r="C774" i="85"/>
  <c r="C728" i="85"/>
  <c r="C418" i="85"/>
  <c r="C562" i="85"/>
  <c r="C128" i="85"/>
  <c r="C1194" i="85"/>
  <c r="C1357" i="85"/>
  <c r="C1545" i="85"/>
  <c r="C417" i="85"/>
  <c r="C1212" i="85"/>
  <c r="C1674" i="85"/>
  <c r="C623" i="85"/>
  <c r="C1593" i="85"/>
  <c r="C963" i="85"/>
  <c r="C1720" i="85"/>
  <c r="C1908" i="85"/>
  <c r="C1002" i="85"/>
  <c r="C1974" i="85"/>
  <c r="C1125" i="85"/>
  <c r="C1020" i="85"/>
  <c r="C848" i="85"/>
  <c r="C309" i="85"/>
  <c r="C1270" i="85"/>
  <c r="C215" i="85"/>
  <c r="C505" i="85"/>
  <c r="C1717" i="85"/>
  <c r="C1771" i="85"/>
  <c r="C1188" i="85"/>
  <c r="C784" i="85"/>
  <c r="C485" i="85"/>
  <c r="C399" i="85"/>
  <c r="C1773" i="85"/>
  <c r="C1296" i="85"/>
  <c r="C600" i="85"/>
  <c r="C66" i="85"/>
  <c r="C1707" i="85"/>
  <c r="C950" i="85"/>
  <c r="C1161" i="85"/>
  <c r="C1050" i="85"/>
  <c r="C1246" i="85"/>
  <c r="C1977" i="85"/>
  <c r="C226" i="85"/>
  <c r="C993" i="85"/>
  <c r="C1157" i="85"/>
  <c r="C837" i="85"/>
  <c r="C1643" i="85"/>
  <c r="C1410" i="85"/>
  <c r="C1366" i="85"/>
  <c r="C1793" i="85"/>
  <c r="C903" i="85"/>
  <c r="C764" i="85"/>
  <c r="C1427" i="85"/>
  <c r="C1803" i="85"/>
  <c r="C786" i="85"/>
  <c r="C1519" i="85"/>
  <c r="C282" i="85"/>
  <c r="C1894" i="85"/>
  <c r="C118" i="85"/>
  <c r="C1809" i="85"/>
  <c r="C194" i="85"/>
  <c r="C1463" i="85"/>
  <c r="C1100" i="85"/>
  <c r="C1387" i="85"/>
  <c r="C851" i="85"/>
  <c r="C1196" i="85"/>
  <c r="C1132" i="85"/>
  <c r="C221" i="85"/>
  <c r="C898" i="85"/>
  <c r="C53" i="85"/>
  <c r="C1479" i="85"/>
  <c r="C883" i="85"/>
  <c r="C254" i="85"/>
  <c r="C1331" i="85"/>
  <c r="C398" i="85"/>
  <c r="C825" i="85"/>
  <c r="C401" i="85"/>
  <c r="C664" i="85"/>
  <c r="C1299" i="85"/>
  <c r="C1180" i="85"/>
  <c r="C1573" i="85"/>
  <c r="C1437" i="85"/>
  <c r="C949" i="85"/>
  <c r="C452" i="85"/>
  <c r="C906" i="85"/>
  <c r="C571" i="85"/>
  <c r="C697" i="85"/>
  <c r="C601" i="85"/>
  <c r="C1943" i="85"/>
  <c r="C1175" i="85"/>
  <c r="C382" i="85"/>
  <c r="C912" i="85"/>
  <c r="C1275" i="85"/>
  <c r="C1850" i="85"/>
  <c r="C1215" i="85"/>
  <c r="C1090" i="85"/>
  <c r="C1700" i="85"/>
  <c r="C1051" i="85"/>
  <c r="C1382" i="85"/>
  <c r="C1967" i="85"/>
  <c r="C1561" i="85"/>
  <c r="C1790" i="85"/>
  <c r="C576" i="85"/>
  <c r="C1056" i="85"/>
  <c r="C565" i="85"/>
  <c r="C1959" i="85"/>
  <c r="C1753" i="85"/>
  <c r="C1655" i="85"/>
  <c r="C597" i="85"/>
  <c r="C1603" i="85"/>
  <c r="C870" i="85"/>
  <c r="C191" i="85"/>
  <c r="C185" i="85"/>
  <c r="C678" i="85"/>
  <c r="C1546" i="85"/>
  <c r="C1350" i="85"/>
  <c r="C691" i="85"/>
  <c r="C214" i="85"/>
  <c r="C380" i="85"/>
  <c r="C1074" i="85"/>
  <c r="C1770" i="85"/>
  <c r="C975" i="85"/>
  <c r="C879" i="85"/>
  <c r="C761" i="85"/>
  <c r="C1223" i="85"/>
  <c r="C713" i="85"/>
  <c r="C1136" i="85"/>
  <c r="C1997" i="85"/>
  <c r="C335" i="85"/>
  <c r="C475" i="85"/>
  <c r="C1071" i="85"/>
  <c r="C1054" i="85"/>
  <c r="C1452" i="85"/>
  <c r="C1306" i="85"/>
  <c r="C265" i="85"/>
  <c r="C1903" i="85"/>
  <c r="C1313" i="85"/>
  <c r="C209" i="85"/>
  <c r="C218" i="85"/>
  <c r="C388" i="85"/>
  <c r="C1570" i="85"/>
  <c r="C1142" i="85"/>
  <c r="C482" i="85"/>
  <c r="C206" i="85"/>
  <c r="C508" i="85"/>
  <c r="C1388" i="85"/>
  <c r="C933" i="85"/>
  <c r="C1332" i="85"/>
  <c r="C1245" i="85"/>
  <c r="C1338" i="85"/>
  <c r="C1981" i="85"/>
  <c r="C1765" i="85"/>
  <c r="C831" i="85"/>
  <c r="C740" i="85"/>
  <c r="C997" i="85"/>
  <c r="C1081" i="85"/>
  <c r="C1741" i="85"/>
  <c r="C1390" i="85"/>
  <c r="C909" i="85"/>
  <c r="C497" i="85"/>
  <c r="C1268" i="85"/>
  <c r="C248" i="85"/>
  <c r="C1553" i="85"/>
  <c r="C353" i="85"/>
  <c r="C1728" i="85"/>
  <c r="C266" i="85"/>
  <c r="C1788" i="85"/>
  <c r="C1993" i="85"/>
  <c r="C1761" i="85"/>
  <c r="C1399" i="85"/>
  <c r="C297" i="85"/>
  <c r="C526" i="85"/>
  <c r="C1103" i="85"/>
  <c r="C1106" i="85"/>
  <c r="C1092" i="85"/>
  <c r="C1625" i="85"/>
  <c r="C1697" i="85"/>
  <c r="C1170" i="85"/>
  <c r="C1210" i="85"/>
  <c r="C890" i="85"/>
  <c r="C1847" i="85"/>
  <c r="C579" i="85"/>
  <c r="C808" i="85"/>
  <c r="C1293" i="85"/>
  <c r="C422" i="85"/>
  <c r="C585" i="85"/>
  <c r="C370" i="85"/>
  <c r="C1569" i="85"/>
  <c r="C429" i="85"/>
  <c r="C1656" i="85"/>
  <c r="C1035" i="85"/>
  <c r="C1448" i="85"/>
  <c r="C544" i="85"/>
  <c r="C1549" i="85"/>
  <c r="C832" i="85"/>
  <c r="C1767" i="85"/>
  <c r="C386" i="85"/>
  <c r="C332" i="85"/>
  <c r="C795" i="85"/>
  <c r="C1748" i="85"/>
  <c r="C234" i="85"/>
  <c r="C1510" i="85"/>
  <c r="C1147" i="85"/>
  <c r="C1583" i="85"/>
  <c r="C575" i="85"/>
  <c r="C222" i="85"/>
  <c r="C886" i="85"/>
  <c r="C229" i="85"/>
  <c r="C241" i="85"/>
  <c r="C1628" i="85"/>
  <c r="C1591" i="85"/>
  <c r="C640" i="85"/>
  <c r="C1143" i="85"/>
  <c r="C858" i="85"/>
  <c r="C838" i="85"/>
  <c r="C1978" i="85"/>
  <c r="C1871" i="85"/>
  <c r="C955" i="85"/>
  <c r="C1139" i="85"/>
  <c r="C1919" i="85"/>
  <c r="C1757" i="85"/>
  <c r="C1300" i="85"/>
  <c r="C1128" i="85"/>
  <c r="C1554" i="85"/>
  <c r="C1154" i="85"/>
  <c r="C498" i="85"/>
  <c r="C1049" i="85"/>
  <c r="C489" i="85"/>
  <c r="C1614" i="85"/>
  <c r="C1638" i="85"/>
  <c r="C1058" i="85"/>
  <c r="C882" i="85"/>
  <c r="C914" i="85"/>
  <c r="C927" i="85"/>
  <c r="C972" i="85"/>
  <c r="C1629" i="85"/>
  <c r="C553" i="85"/>
  <c r="C1469" i="85"/>
  <c r="C1715" i="85"/>
  <c r="C352" i="85"/>
  <c r="C1302" i="85"/>
  <c r="C1868" i="85"/>
  <c r="C731" i="85"/>
  <c r="C1804" i="85"/>
  <c r="C230" i="85"/>
  <c r="C1045" i="85"/>
  <c r="C682" i="85"/>
  <c r="C295" i="85"/>
  <c r="C619" i="85"/>
  <c r="C1654" i="85"/>
  <c r="C527" i="85"/>
  <c r="C1802" i="85"/>
  <c r="C1608" i="85"/>
  <c r="C459" i="85"/>
  <c r="C1141" i="85"/>
  <c r="C1982" i="85"/>
  <c r="C1405" i="85"/>
  <c r="C1489" i="85"/>
  <c r="C1077" i="85"/>
  <c r="C1032" i="85"/>
  <c r="C270" i="85"/>
  <c r="C812" i="85"/>
  <c r="C1646" i="85"/>
  <c r="C81" i="85"/>
  <c r="C1652" i="85"/>
  <c r="C937" i="85"/>
  <c r="C1599" i="85"/>
  <c r="C1435" i="85"/>
  <c r="C719" i="85"/>
  <c r="C742" i="85"/>
  <c r="C1252" i="85"/>
  <c r="C176" i="85"/>
  <c r="C968" i="85"/>
  <c r="C931" i="85"/>
  <c r="C1517" i="85"/>
  <c r="C1600" i="85"/>
  <c r="C1619" i="85"/>
  <c r="C43" i="85"/>
  <c r="C1616" i="85"/>
  <c r="C1923" i="85"/>
  <c r="C1135" i="85"/>
  <c r="C995" i="85"/>
  <c r="C1920" i="85"/>
  <c r="C647" i="85"/>
  <c r="C1695" i="85"/>
  <c r="C203" i="85"/>
  <c r="C584" i="85"/>
  <c r="C1848" i="85"/>
  <c r="C1659" i="85"/>
  <c r="C1880" i="85"/>
  <c r="C320" i="85"/>
  <c r="C416" i="85"/>
  <c r="C1127" i="85"/>
  <c r="C1725" i="85"/>
  <c r="C1514" i="85"/>
  <c r="C1523" i="85"/>
  <c r="C1636" i="85"/>
  <c r="C1706" i="85"/>
  <c r="C42" i="85"/>
  <c r="C1149" i="85"/>
  <c r="C1486" i="85"/>
  <c r="C1786" i="85"/>
  <c r="C1609" i="85"/>
  <c r="C531" i="85"/>
  <c r="C1195" i="85"/>
  <c r="C239" i="85"/>
  <c r="C1962" i="85"/>
  <c r="C431" i="85"/>
  <c r="C456" i="85"/>
  <c r="C1621" i="85"/>
  <c r="C223" i="85"/>
  <c r="C1277" i="85"/>
  <c r="C1558" i="85"/>
  <c r="C1645" i="85"/>
  <c r="C1838" i="85"/>
  <c r="C1995" i="85"/>
  <c r="C366" i="85"/>
  <c r="C1537" i="85"/>
  <c r="C695" i="85"/>
  <c r="C496" i="85"/>
  <c r="C345" i="85"/>
  <c r="C1598" i="85"/>
  <c r="C1845" i="85"/>
  <c r="C867" i="85"/>
  <c r="C621" i="85"/>
  <c r="C314" i="85"/>
  <c r="C1713" i="85"/>
  <c r="C1594" i="85"/>
  <c r="C414" i="85"/>
  <c r="C572" i="85"/>
  <c r="C1973" i="85"/>
  <c r="C1639" i="85"/>
  <c r="C716" i="85"/>
  <c r="C1150" i="85"/>
  <c r="C1698" i="85"/>
  <c r="C1298" i="85"/>
  <c r="C175" i="85"/>
  <c r="C510" i="85"/>
  <c r="C555" i="85"/>
  <c r="C893" i="85"/>
  <c r="C1083" i="85"/>
  <c r="C826" i="85"/>
  <c r="C1657" i="85"/>
  <c r="C210" i="85"/>
  <c r="C1025" i="85"/>
  <c r="C410" i="85"/>
  <c r="C1099" i="85"/>
  <c r="C1605" i="85"/>
  <c r="C1334" i="85"/>
  <c r="C1780" i="85"/>
  <c r="C523" i="85"/>
  <c r="C543" i="85"/>
  <c r="C936" i="85"/>
  <c r="C1520" i="85"/>
  <c r="C1714" i="85"/>
  <c r="C1966" i="85"/>
  <c r="C699" i="85"/>
  <c r="C537" i="85"/>
  <c r="C769" i="85"/>
  <c r="C1766" i="85"/>
  <c r="C52" i="85"/>
  <c r="C1840" i="85"/>
  <c r="C1438" i="85"/>
  <c r="C256" i="85"/>
  <c r="C1254" i="85"/>
  <c r="C1407" i="85"/>
  <c r="C1072" i="85"/>
  <c r="C1667" i="85"/>
  <c r="C1671" i="85"/>
  <c r="C709" i="85"/>
  <c r="C339" i="85"/>
  <c r="C1535" i="85"/>
  <c r="C1797" i="85"/>
  <c r="C1406" i="85"/>
  <c r="C924" i="85"/>
  <c r="C264" i="85"/>
  <c r="C706" i="85"/>
  <c r="C1000" i="85"/>
  <c r="C1417" i="85"/>
  <c r="C1913" i="85"/>
  <c r="C822" i="85"/>
  <c r="C1935" i="85"/>
  <c r="C1581" i="85"/>
  <c r="C358" i="85"/>
  <c r="C1703" i="85"/>
  <c r="C574" i="85"/>
  <c r="C180" i="85"/>
  <c r="C569" i="85"/>
  <c r="C1949" i="85"/>
  <c r="C474" i="85"/>
  <c r="C605" i="85"/>
  <c r="C312" i="85"/>
  <c r="C289" i="85"/>
  <c r="C1062" i="85"/>
  <c r="C1528" i="85"/>
  <c r="C967" i="85"/>
  <c r="C1862" i="85"/>
  <c r="C490" i="85"/>
  <c r="C1059" i="85"/>
  <c r="C1776" i="85"/>
  <c r="C1472" i="85"/>
  <c r="C653" i="85"/>
  <c r="C1881" i="85"/>
  <c r="C567" i="85"/>
  <c r="C895" i="85"/>
  <c r="C177" i="85"/>
  <c r="C1117" i="85"/>
  <c r="C271" i="85"/>
  <c r="C1610" i="85"/>
  <c r="C1314" i="85"/>
  <c r="C1589" i="85"/>
  <c r="C908" i="85"/>
  <c r="C1114" i="85"/>
  <c r="C1818" i="85"/>
  <c r="C1870" i="85"/>
  <c r="C397" i="85"/>
  <c r="C1650" i="85"/>
  <c r="C986" i="85"/>
  <c r="C1111" i="85"/>
  <c r="C916" i="85"/>
  <c r="C603" i="85"/>
  <c r="C638" i="85"/>
  <c r="C1234" i="85"/>
  <c r="C1093" i="85"/>
  <c r="C1493" i="85"/>
  <c r="C1606" i="85"/>
  <c r="C1186" i="85"/>
  <c r="C1538" i="85"/>
  <c r="C405" i="85"/>
  <c r="C1789" i="85"/>
  <c r="C1211" i="85"/>
  <c r="C1829" i="85"/>
  <c r="C988" i="85"/>
  <c r="C1774" i="85"/>
  <c r="C1244" i="85"/>
  <c r="C659" i="85"/>
  <c r="C961" i="85"/>
  <c r="C1197" i="85"/>
  <c r="C1379" i="85"/>
  <c r="C449" i="85"/>
  <c r="C171" i="85"/>
  <c r="C246" i="85"/>
  <c r="C1883" i="85"/>
  <c r="C1018" i="85"/>
  <c r="C1484" i="85"/>
  <c r="C717" i="85"/>
  <c r="C1238" i="85"/>
  <c r="C1584" i="85"/>
  <c r="C122" i="85"/>
  <c r="C843" i="85"/>
  <c r="C599" i="85"/>
  <c r="C1795" i="85"/>
  <c r="C1723" i="85"/>
  <c r="C625" i="85"/>
  <c r="C1835" i="85"/>
  <c r="C1482" i="85"/>
  <c r="C1285" i="85"/>
  <c r="C376" i="85"/>
  <c r="C875" i="85"/>
  <c r="C1033" i="85"/>
  <c r="C426" i="85"/>
  <c r="C1539" i="85"/>
  <c r="C570" i="85"/>
  <c r="C827" i="85"/>
  <c r="C1812" i="85"/>
  <c r="C1280" i="85"/>
  <c r="C1521" i="85"/>
  <c r="C40" i="85"/>
  <c r="C317" i="85"/>
  <c r="C1902" i="85"/>
  <c r="C1924" i="85"/>
  <c r="C1564" i="85"/>
  <c r="C1047" i="85"/>
  <c r="C1240" i="85"/>
  <c r="C1856" i="85"/>
  <c r="C1738" i="85"/>
  <c r="C1436" i="85"/>
  <c r="C1281" i="85"/>
  <c r="C1758" i="85"/>
  <c r="C766" i="85"/>
  <c r="C1932" i="85"/>
  <c r="C726" i="85"/>
  <c r="C1086" i="85"/>
  <c r="C814" i="85"/>
  <c r="C1492" i="85"/>
  <c r="C507" i="85"/>
  <c r="C1316" i="85"/>
  <c r="C1873" i="85"/>
  <c r="C1721" i="85"/>
  <c r="C1731" i="85"/>
  <c r="C1530" i="85"/>
  <c r="C439" i="85"/>
  <c r="C1994" i="85"/>
  <c r="C1699" i="85"/>
  <c r="C871" i="85"/>
  <c r="C998" i="85"/>
  <c r="C801" i="85"/>
  <c r="C436" i="85"/>
  <c r="C655" i="85"/>
  <c r="C1541" i="85"/>
  <c r="C1040" i="85"/>
  <c r="C212" i="85"/>
  <c r="C259" i="85"/>
  <c r="C564" i="85"/>
  <c r="C395" i="85"/>
  <c r="C521" i="85"/>
  <c r="C750" i="85"/>
  <c r="C1227" i="85"/>
  <c r="C1837" i="85"/>
  <c r="C1885" i="85"/>
  <c r="C811" i="85"/>
  <c r="C840" i="85"/>
  <c r="C649" i="85"/>
  <c r="C1672" i="85"/>
  <c r="C650" i="85"/>
  <c r="C1265" i="85"/>
  <c r="C364" i="85"/>
  <c r="C1963" i="85"/>
  <c r="C1819" i="85"/>
  <c r="C1078" i="85"/>
  <c r="C1852" i="85"/>
  <c r="C1464" i="85"/>
  <c r="C1839" i="85"/>
  <c r="C477" i="85"/>
  <c r="C913" i="85"/>
  <c r="C1474" i="85"/>
  <c r="C1243" i="85"/>
  <c r="C1095" i="85"/>
  <c r="C1356" i="85"/>
  <c r="C581" i="85"/>
  <c r="C440" i="85"/>
  <c r="C1878" i="85"/>
  <c r="C1631" i="85"/>
  <c r="C1200" i="85"/>
  <c r="C1917" i="85"/>
  <c r="C1574" i="85"/>
  <c r="C718" i="85"/>
  <c r="C348" i="85"/>
  <c r="C367" i="85"/>
  <c r="C959" i="85"/>
  <c r="C1877" i="85"/>
  <c r="C1122" i="85"/>
  <c r="C1772" i="85"/>
  <c r="C1349" i="85"/>
  <c r="C1784" i="85"/>
  <c r="C1168" i="85"/>
  <c r="C904" i="85"/>
  <c r="C1985" i="85"/>
  <c r="C1133" i="85"/>
  <c r="C708" i="85"/>
  <c r="C516" i="85"/>
  <c r="C1991" i="85"/>
  <c r="C238" i="85"/>
  <c r="C583" i="85"/>
  <c r="C261" i="85"/>
  <c r="C1165" i="85"/>
  <c r="C1627" i="85"/>
  <c r="C481" i="85"/>
  <c r="C990" i="85"/>
  <c r="C1145" i="85"/>
  <c r="C1148" i="85"/>
  <c r="C1679" i="85"/>
  <c r="C1941" i="85"/>
  <c r="C1205" i="85"/>
  <c r="C1844" i="85"/>
  <c r="C641" i="85"/>
  <c r="C1945" i="85"/>
  <c r="C308" i="85"/>
  <c r="C1811" i="85"/>
  <c r="C202" i="85"/>
  <c r="C1232" i="85"/>
  <c r="C466" i="85"/>
  <c r="C1269" i="85"/>
  <c r="C999" i="85"/>
  <c r="C263" i="85"/>
  <c r="C1508" i="85"/>
  <c r="C438" i="85"/>
  <c r="C1597" i="85"/>
  <c r="C1031" i="85"/>
  <c r="C1863" i="85"/>
  <c r="C253" i="85"/>
  <c r="C424" i="85"/>
  <c r="C1213" i="85"/>
  <c r="C1011" i="85"/>
  <c r="C1931" i="85"/>
  <c r="C1354" i="85"/>
  <c r="C197" i="85"/>
  <c r="C207" i="85"/>
  <c r="C1418" i="85"/>
  <c r="C1823" i="85"/>
  <c r="C514" i="85"/>
  <c r="C635" i="85"/>
  <c r="C1185" i="85"/>
  <c r="C327" i="85"/>
  <c r="C262" i="85"/>
  <c r="C1951" i="85"/>
  <c r="C461" i="85"/>
  <c r="C1372" i="85"/>
  <c r="C1340" i="85"/>
  <c r="C762" i="85"/>
  <c r="C1680" i="85"/>
  <c r="C1439" i="85"/>
  <c r="C876" i="85"/>
  <c r="C1704" i="85"/>
  <c r="C778" i="85"/>
  <c r="C322" i="85"/>
  <c r="C1899" i="85"/>
  <c r="C974" i="85"/>
  <c r="C1341" i="85"/>
  <c r="C1003" i="85"/>
  <c r="C966" i="85"/>
  <c r="C409" i="85"/>
  <c r="C199" i="85"/>
  <c r="F1" i="71" l="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2" i="49"/>
  <c r="Q102" i="49"/>
  <c r="P103" i="49"/>
  <c r="Q103" i="49"/>
  <c r="P133" i="49"/>
  <c r="Q133" i="49"/>
  <c r="P134" i="49"/>
  <c r="Q134" i="49"/>
  <c r="P135" i="49"/>
  <c r="Q135" i="49"/>
  <c r="P151" i="49"/>
  <c r="Q151" i="49"/>
  <c r="P152" i="49"/>
  <c r="Q152" i="49"/>
  <c r="P153" i="49"/>
  <c r="Q153" i="49"/>
  <c r="P155" i="49"/>
  <c r="Q155" i="49"/>
  <c r="P157" i="49"/>
  <c r="Q157" i="49"/>
  <c r="P158" i="49"/>
  <c r="Q158" i="49"/>
  <c r="P159" i="49"/>
  <c r="Q159" i="49"/>
  <c r="P162" i="49"/>
  <c r="Q162" i="49"/>
  <c r="P163" i="49"/>
  <c r="Q163" i="49"/>
  <c r="P164" i="49"/>
  <c r="Q164" i="49"/>
  <c r="P170" i="49"/>
  <c r="Q170" i="49"/>
  <c r="P171" i="49"/>
  <c r="Q171" i="49"/>
  <c r="P172" i="49"/>
  <c r="Q172" i="49"/>
  <c r="P217" i="49"/>
  <c r="Q217" i="49"/>
  <c r="P218" i="49"/>
  <c r="Q218" i="49"/>
  <c r="P219" i="49"/>
  <c r="Q219" i="49"/>
  <c r="P220" i="49"/>
  <c r="Q220" i="49"/>
  <c r="P221" i="49"/>
  <c r="Q221" i="49"/>
  <c r="P222" i="49"/>
  <c r="Q222" i="49"/>
  <c r="P234" i="49"/>
  <c r="Q234" i="49"/>
  <c r="P235" i="49"/>
  <c r="Q235" i="49"/>
  <c r="P236" i="49"/>
  <c r="Q236" i="49"/>
  <c r="P237" i="49"/>
  <c r="Q237" i="49"/>
  <c r="P238" i="49"/>
  <c r="Q238" i="49"/>
  <c r="P261" i="49"/>
  <c r="Q261" i="49"/>
  <c r="P262" i="49"/>
  <c r="Q262" i="49"/>
  <c r="P263" i="49"/>
  <c r="Q263" i="49"/>
  <c r="P264" i="49"/>
  <c r="Q264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P11" i="58"/>
  <c r="Q11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M29" i="58"/>
  <c r="N29" i="58"/>
  <c r="S29" i="58"/>
  <c r="T29" i="58"/>
  <c r="V29" i="58"/>
  <c r="T32" i="58"/>
  <c r="V32" i="58"/>
  <c r="V34" i="58"/>
  <c r="V38" i="58"/>
  <c r="M39" i="58"/>
  <c r="N39" i="58"/>
  <c r="M40" i="58"/>
  <c r="N40" i="58"/>
  <c r="M41" i="58"/>
  <c r="N41" i="58"/>
  <c r="M42" i="58"/>
  <c r="N42" i="58"/>
  <c r="V42" i="58"/>
  <c r="M43" i="58"/>
  <c r="N43" i="58"/>
  <c r="M44" i="58"/>
  <c r="N44" i="58"/>
  <c r="M45" i="58"/>
  <c r="N45" i="58"/>
  <c r="K46" i="58"/>
  <c r="M46" i="58"/>
  <c r="N46" i="58"/>
  <c r="C54" i="58"/>
  <c r="H1" i="50"/>
  <c r="H2" i="50"/>
  <c r="D5" i="50"/>
  <c r="D7" i="50"/>
  <c r="E7" i="50"/>
  <c r="D30" i="50"/>
  <c r="E30" i="50"/>
  <c r="D31" i="50"/>
  <c r="E31" i="50"/>
  <c r="D52" i="50"/>
  <c r="E52" i="50"/>
  <c r="D53" i="50"/>
  <c r="E53" i="50"/>
  <c r="D54" i="50"/>
  <c r="E54" i="50"/>
  <c r="D55" i="50"/>
  <c r="E55" i="50"/>
  <c r="D56" i="50"/>
  <c r="E56" i="50"/>
  <c r="D57" i="50"/>
  <c r="E57" i="50"/>
  <c r="D69" i="50"/>
  <c r="E69" i="50"/>
  <c r="D70" i="50"/>
  <c r="E70" i="50"/>
  <c r="D71" i="50"/>
  <c r="E71" i="50"/>
  <c r="D72" i="50"/>
  <c r="E72" i="50"/>
  <c r="D73" i="50"/>
  <c r="E73" i="50"/>
  <c r="E77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91" i="64"/>
  <c r="D91" i="64"/>
  <c r="E91" i="64"/>
  <c r="C92" i="64"/>
  <c r="D92" i="64"/>
  <c r="E92" i="64"/>
  <c r="C93" i="64"/>
  <c r="D93" i="64"/>
  <c r="E93" i="64"/>
  <c r="C94" i="64"/>
  <c r="D94" i="64"/>
  <c r="E94" i="64"/>
  <c r="C95" i="64"/>
  <c r="D95" i="64"/>
  <c r="E95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U194" i="89"/>
  <c r="AV194" i="89"/>
  <c r="AW194" i="89"/>
  <c r="AX194" i="89"/>
  <c r="AX195" i="89"/>
  <c r="AX196" i="89"/>
  <c r="AU197" i="89"/>
  <c r="AV197" i="89"/>
  <c r="AW197" i="89"/>
  <c r="AX197" i="89"/>
  <c r="AY197" i="89"/>
  <c r="AX198" i="89"/>
  <c r="AX199" i="89"/>
  <c r="AX200" i="89"/>
  <c r="AX201" i="89"/>
  <c r="AX202" i="89"/>
  <c r="AX203" i="89"/>
  <c r="AU204" i="89"/>
  <c r="AV204" i="89"/>
  <c r="AW204" i="89"/>
  <c r="AX204" i="89"/>
  <c r="AY204" i="89"/>
  <c r="AU205" i="89"/>
  <c r="AV205" i="89"/>
  <c r="AW205" i="89"/>
  <c r="AX205" i="89"/>
  <c r="AY205" i="89"/>
  <c r="AX206" i="89"/>
  <c r="AX207" i="89"/>
  <c r="AX208" i="89"/>
  <c r="AX209" i="89"/>
  <c r="AX210" i="89"/>
  <c r="AU211" i="89"/>
  <c r="AX211" i="89"/>
  <c r="AU212" i="89"/>
  <c r="AV212" i="89"/>
  <c r="AW212" i="89"/>
  <c r="AX212" i="89"/>
  <c r="AY212" i="89"/>
  <c r="AX213" i="89"/>
  <c r="AW214" i="89"/>
  <c r="AW236" i="89"/>
  <c r="AW237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tc={21FE724B-6C8D-47EF-9E2D-129E0FFDEA25}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21FE724B-6C8D-47EF-9E2D-129E0FFDEA2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DSP SGT nº 521/2022, base dezembro/2021, atualizado paro o mês anterior ao reajuste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tc={6A5830D5-958A-4680-883E-CBF05E661428}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6A5830D5-958A-4680-883E-CBF05E66142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REH 3.034/2022</t>
      </text>
    </comment>
    <comment ref="J54" authorId="3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<sst xmlns="http://schemas.openxmlformats.org/spreadsheetml/2006/main" count="18009" uniqueCount="2273">
  <si>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</si>
  <si>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</si>
  <si>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</si>
  <si>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</si>
  <si>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</si>
  <si>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</si>
  <si>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</si>
  <si>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</si>
  <si>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</si>
  <si>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</si>
  <si>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</si>
  <si>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</si>
  <si>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</si>
  <si>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</si>
  <si>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</si>
  <si>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</si>
  <si>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</si>
  <si>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</si>
  <si>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</si>
  <si>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</si>
  <si>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</si>
  <si>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</si>
  <si>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</si>
  <si>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</si>
  <si>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</si>
  <si>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</si>
  <si>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</si>
  <si>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</si>
  <si>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</si>
  <si>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</si>
  <si>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</si>
  <si>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</si>
  <si>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</si>
  <si>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</si>
  <si>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</si>
  <si>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</si>
  <si>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</si>
  <si>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</si>
  <si>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</si>
  <si>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</si>
  <si>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</si>
  <si>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</si>
  <si>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</si>
  <si>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</si>
  <si>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</si>
  <si>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</si>
  <si>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</si>
  <si>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</si>
  <si>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</si>
  <si>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</si>
  <si>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</si>
  <si>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</si>
  <si>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</si>
  <si>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</si>
  <si>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</si>
  <si>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</si>
  <si>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</si>
  <si>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</si>
  <si>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</si>
  <si>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</si>
  <si>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</si>
  <si>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</si>
  <si>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</si>
  <si>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</si>
  <si>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</si>
  <si>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</si>
  <si>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</si>
  <si>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</si>
  <si>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</si>
  <si>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</si>
  <si>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</si>
  <si>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</si>
  <si>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</si>
  <si>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</si>
  <si>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</si>
  <si>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</si>
  <si>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</si>
  <si>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</si>
  <si>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</si>
  <si>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</si>
  <si>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</si>
  <si>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</si>
  <si>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</si>
  <si>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</si>
  <si>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</si>
  <si>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</si>
  <si>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</si>
  <si>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</si>
  <si>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</si>
  <si>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</si>
  <si>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</si>
  <si>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</si>
  <si>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</si>
  <si>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</si>
  <si>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</si>
  <si>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</si>
  <si>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</si>
  <si>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</si>
  <si>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</si>
  <si>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</si>
  <si>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</si>
  <si>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</si>
  <si>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</si>
  <si>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</si>
  <si>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</si>
  <si>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</si>
  <si>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</si>
  <si>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</si>
  <si>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</si>
  <si>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</si>
  <si>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</si>
  <si>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</si>
  <si>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</si>
  <si>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</si>
  <si>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</si>
  <si>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</si>
  <si>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</si>
  <si>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</si>
  <si>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</si>
  <si>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</si>
  <si>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</si>
  <si>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</si>
  <si>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</si>
  <si>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</si>
  <si>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</si>
  <si>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</si>
  <si>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</si>
  <si>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</si>
  <si>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</si>
  <si>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</si>
  <si>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</si>
  <si>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</si>
  <si>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</si>
  <si>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</si>
  <si>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</si>
  <si>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</si>
  <si>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</si>
  <si>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</si>
  <si>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</si>
  <si>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</si>
  <si>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</si>
  <si>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</si>
  <si>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</si>
  <si>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</si>
  <si>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</si>
  <si>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</si>
  <si>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</si>
  <si>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</si>
  <si>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</si>
  <si>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</si>
  <si>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</si>
  <si>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</si>
  <si>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</si>
  <si>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</si>
  <si>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</si>
  <si>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</si>
  <si>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</si>
  <si>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</si>
  <si>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</si>
  <si>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</si>
  <si>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</si>
  <si>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</si>
  <si>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</si>
  <si>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</si>
  <si>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</si>
  <si>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</si>
  <si>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</si>
  <si>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</si>
  <si>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</si>
  <si>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</si>
  <si>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</si>
  <si>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</si>
  <si>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</si>
  <si>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</si>
  <si>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</si>
  <si>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</si>
  <si>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</si>
  <si>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</si>
  <si>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</si>
  <si>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</si>
  <si>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</si>
  <si>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</si>
  <si>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</si>
  <si>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</si>
  <si>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</si>
  <si>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</si>
  <si>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</si>
  <si>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</si>
  <si>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</si>
  <si>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</si>
  <si>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</si>
  <si>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</si>
  <si>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</si>
  <si>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</si>
  <si>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</si>
  <si>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</si>
  <si>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</si>
  <si>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</si>
  <si>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</si>
  <si>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</si>
  <si>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</si>
  <si>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</si>
  <si>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</si>
  <si>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</si>
  <si>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</si>
  <si>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</si>
  <si>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</si>
  <si>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</si>
  <si>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</si>
  <si>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</si>
  <si>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</si>
  <si>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</si>
  <si>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</si>
  <si>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</si>
  <si>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</si>
  <si>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</si>
  <si>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</si>
  <si>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</si>
  <si>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</si>
  <si>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</si>
  <si>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</si>
  <si>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</si>
  <si>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</si>
  <si>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</si>
  <si>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</si>
  <si>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</si>
  <si>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</si>
  <si>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</si>
  <si>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</si>
  <si>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</si>
  <si>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</si>
  <si>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</si>
  <si>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</si>
  <si>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</si>
  <si>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</si>
  <si>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</si>
  <si>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</si>
  <si>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</si>
  <si>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</si>
  <si>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</si>
  <si>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</si>
  <si>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</si>
  <si>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</si>
  <si>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</si>
  <si>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</si>
  <si>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</si>
  <si>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</si>
  <si>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</si>
  <si>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</si>
  <si>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</si>
  <si>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</si>
  <si>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</si>
  <si>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</si>
  <si>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</si>
  <si>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</si>
  <si>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</si>
  <si>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</si>
  <si>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</si>
  <si>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</si>
  <si>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</si>
  <si>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</si>
  <si>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</si>
  <si>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</si>
  <si>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</si>
  <si>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</si>
  <si>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</si>
  <si>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</si>
  <si>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</si>
  <si>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</si>
  <si>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</si>
  <si>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</si>
  <si>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</si>
  <si>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</si>
  <si>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</si>
  <si>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</si>
  <si>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</si>
  <si>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</si>
  <si>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</si>
  <si>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</si>
  <si>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</si>
  <si>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</si>
  <si>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</si>
  <si>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</si>
  <si>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</si>
  <si>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</si>
  <si>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</si>
  <si>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</si>
  <si>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</si>
  <si>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</si>
  <si>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</si>
  <si>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</si>
  <si>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</si>
  <si>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</si>
  <si>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</si>
  <si>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</si>
  <si>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</si>
  <si>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</si>
  <si>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</si>
  <si>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</si>
  <si>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</si>
  <si>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</si>
  <si>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</si>
  <si>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</si>
  <si>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</si>
  <si>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</si>
  <si>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</si>
  <si>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</si>
  <si>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</si>
  <si>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</si>
  <si>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</si>
  <si>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</si>
  <si>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</si>
  <si>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</si>
  <si>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</si>
  <si>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</si>
  <si>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</si>
  <si>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</si>
  <si>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</si>
  <si>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</si>
  <si>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</si>
  <si>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</si>
  <si>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</si>
  <si>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</si>
  <si>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</si>
  <si>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</si>
  <si>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</si>
  <si>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</si>
  <si>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</si>
  <si>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</si>
  <si>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</si>
  <si>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</si>
  <si>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</si>
  <si>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</si>
  <si>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</si>
  <si>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</si>
  <si>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</si>
  <si>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</si>
  <si>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</si>
  <si>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</si>
  <si>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</si>
  <si>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</si>
  <si>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</si>
  <si>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</si>
  <si>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</si>
  <si>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</si>
  <si>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</si>
  <si>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</si>
  <si>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</si>
  <si>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</si>
  <si>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</si>
  <si>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</si>
  <si>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</si>
  <si>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</si>
  <si>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</si>
  <si>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</si>
  <si>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</si>
  <si>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</si>
  <si>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</si>
  <si>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</si>
  <si>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</si>
  <si>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</si>
  <si>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</si>
  <si>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</si>
  <si>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</si>
  <si>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</si>
  <si>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</si>
  <si>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</si>
  <si>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</si>
  <si>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</si>
  <si>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</si>
  <si>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</si>
  <si>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</si>
  <si>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</si>
  <si>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</si>
  <si>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</si>
  <si>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</si>
  <si>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</si>
  <si>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</si>
  <si>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</si>
  <si>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</si>
  <si>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</si>
  <si>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</si>
  <si>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</si>
  <si>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</si>
  <si>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</si>
  <si>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</si>
  <si>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</si>
  <si>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</si>
  <si>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</si>
  <si>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</si>
  <si>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</si>
  <si>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</si>
  <si>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</si>
  <si>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</si>
  <si>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</si>
  <si>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</si>
  <si>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</si>
  <si>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</si>
  <si>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</si>
  <si>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</si>
  <si>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</si>
  <si>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</si>
  <si>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</si>
  <si>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</si>
  <si>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</si>
  <si>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</si>
  <si>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</si>
  <si>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</si>
  <si>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</si>
  <si>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</si>
  <si>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</si>
  <si>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</si>
  <si>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</si>
  <si>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</si>
  <si>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</si>
  <si>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</si>
  <si>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</si>
  <si>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</si>
  <si>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</si>
  <si>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</si>
  <si>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</si>
  <si>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</si>
  <si>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</si>
  <si>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</si>
  <si>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</si>
  <si>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</si>
  <si>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</si>
  <si>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</si>
  <si>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</si>
  <si>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</si>
  <si>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</si>
  <si>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</si>
  <si>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</si>
  <si>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</si>
  <si>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</si>
  <si>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</si>
  <si>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</si>
  <si>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</si>
  <si>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</si>
  <si>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</si>
  <si>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</si>
  <si>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</si>
  <si>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</si>
  <si>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</si>
  <si>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</si>
  <si>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</si>
  <si>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</si>
  <si>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</si>
  <si>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</si>
  <si>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</si>
  <si>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</si>
  <si>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</si>
  <si>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</si>
  <si>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</si>
  <si>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</si>
  <si>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</si>
  <si>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</si>
  <si>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</si>
  <si>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</si>
  <si>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</si>
  <si>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</si>
  <si>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</si>
  <si>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</si>
  <si>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</si>
  <si>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</si>
  <si>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</si>
  <si>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</si>
  <si>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</si>
  <si>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</si>
  <si>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</si>
  <si>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</si>
  <si>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</si>
  <si>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</si>
  <si>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</si>
  <si>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</si>
  <si>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</si>
  <si>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</si>
  <si>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</si>
  <si>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</si>
  <si>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</si>
  <si>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</si>
  <si>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</si>
  <si>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</si>
  <si>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</si>
  <si>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</si>
  <si>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</si>
  <si>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</si>
  <si>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</si>
  <si>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</si>
  <si>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</si>
  <si>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</si>
  <si>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</si>
  <si>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</si>
  <si>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</si>
  <si>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</si>
  <si>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</si>
  <si>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</si>
  <si>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</si>
  <si>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</si>
  <si>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</si>
  <si>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</si>
  <si>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</si>
  <si>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</si>
  <si>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</si>
  <si>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</si>
  <si>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</si>
  <si>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</si>
  <si>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</si>
  <si>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</si>
  <si>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</si>
  <si>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</si>
  <si>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</si>
  <si>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</si>
  <si>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</si>
  <si>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</si>
  <si>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</si>
  <si>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</si>
  <si>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</si>
  <si>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</si>
  <si>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</si>
  <si>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</si>
  <si>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</si>
  <si>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</si>
  <si>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</si>
  <si>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</si>
  <si>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</si>
  <si>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</si>
  <si>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</si>
  <si>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</si>
  <si>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</si>
  <si>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</si>
  <si>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</si>
  <si>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</si>
  <si>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</si>
  <si>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</si>
  <si>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</si>
  <si>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</si>
  <si>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</si>
  <si>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</si>
  <si>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</si>
  <si>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</si>
  <si>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</si>
  <si>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</si>
  <si>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</si>
  <si>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</si>
  <si>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</si>
  <si>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</si>
  <si>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</si>
  <si>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</si>
  <si>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</si>
  <si>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</si>
  <si>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</si>
  <si>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</si>
  <si>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</si>
  <si>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</si>
  <si>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</si>
  <si>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</si>
  <si>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</si>
  <si>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</si>
  <si>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</si>
  <si>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</si>
  <si>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</si>
  <si>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</si>
  <si>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</si>
  <si>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</si>
  <si>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</si>
  <si>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</si>
  <si>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</si>
  <si>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</si>
  <si>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</si>
  <si>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</si>
  <si>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</si>
  <si>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</si>
  <si>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</si>
  <si>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</si>
  <si>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</si>
  <si>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</si>
  <si>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</si>
  <si>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</si>
  <si>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</si>
  <si>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</si>
  <si>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</si>
  <si>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</si>
  <si>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</si>
  <si>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</si>
  <si>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</si>
  <si>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</si>
  <si>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</si>
  <si>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</si>
  <si>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</si>
  <si>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</si>
  <si>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</si>
  <si>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</si>
  <si>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</si>
  <si>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</si>
  <si>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</si>
  <si>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</si>
  <si>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</si>
  <si>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</si>
  <si>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</si>
  <si>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</si>
  <si>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</si>
  <si>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</si>
  <si>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</si>
  <si>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</si>
  <si>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</si>
  <si>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</si>
  <si>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</si>
  <si>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</si>
  <si>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</si>
  <si>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</si>
  <si>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</si>
  <si>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</si>
  <si>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</si>
  <si>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</si>
  <si>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</si>
  <si>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</si>
  <si>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</si>
  <si>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</si>
  <si>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</si>
  <si>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</si>
  <si>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</si>
  <si>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</si>
  <si>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</si>
  <si>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</si>
  <si>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</si>
  <si>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</si>
  <si>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</si>
  <si>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</si>
  <si>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</si>
  <si>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</si>
  <si>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</si>
  <si>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</si>
  <si>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</si>
  <si>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</si>
  <si>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</si>
  <si>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</si>
  <si>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</si>
  <si>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</si>
  <si>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</si>
  <si>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</si>
  <si>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</si>
  <si>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</si>
  <si>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</si>
  <si>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</si>
  <si>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</si>
  <si>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</si>
  <si>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</si>
  <si>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</si>
  <si>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</si>
  <si>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</si>
  <si>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</si>
  <si>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</si>
  <si>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</si>
  <si>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</si>
  <si>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</si>
  <si>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</si>
  <si>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</si>
  <si>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</si>
  <si>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</si>
  <si>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</si>
  <si>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</si>
  <si>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</si>
  <si>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</si>
  <si>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</si>
  <si>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</si>
  <si>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</si>
  <si>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</si>
  <si>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</si>
  <si>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</si>
  <si>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</si>
  <si>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</si>
  <si>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</si>
  <si>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</si>
  <si>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</si>
  <si>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</si>
  <si>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</si>
  <si>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</si>
  <si>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</si>
  <si>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</si>
  <si>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</si>
  <si>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</si>
  <si>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</si>
  <si>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</si>
  <si>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</si>
  <si>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</si>
  <si>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</si>
  <si>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</si>
  <si>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</si>
  <si>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</si>
  <si>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</si>
  <si>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</si>
  <si>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</si>
  <si>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</si>
  <si>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</si>
  <si>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</si>
  <si>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</si>
  <si>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</si>
  <si>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</si>
  <si>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</si>
  <si>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</si>
  <si>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</si>
  <si>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</si>
  <si>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</si>
  <si>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</si>
  <si>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</si>
  <si>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</si>
  <si>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</si>
  <si>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</si>
  <si>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</si>
  <si>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</si>
  <si>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</si>
  <si>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</si>
  <si>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</si>
  <si>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</si>
  <si>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</si>
  <si>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</si>
  <si>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</si>
  <si>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</si>
  <si>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</si>
  <si>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</si>
  <si>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</si>
  <si>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</si>
  <si>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</si>
  <si>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</si>
  <si>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</si>
  <si>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</si>
  <si>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</si>
  <si>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</si>
  <si>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</si>
  <si>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</si>
  <si>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</si>
  <si>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</si>
  <si>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</si>
  <si>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</si>
  <si>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</si>
  <si>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</si>
  <si>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</si>
  <si>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</si>
  <si>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</si>
  <si>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</si>
  <si>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</si>
  <si>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</si>
  <si>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</si>
  <si>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</si>
  <si>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</si>
  <si>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</si>
  <si>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</si>
  <si>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</si>
  <si>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</si>
  <si>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</si>
  <si>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</si>
  <si>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</si>
  <si>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</si>
  <si>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</si>
  <si>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</si>
  <si>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</si>
  <si>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</si>
  <si>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</si>
  <si>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</si>
  <si>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</si>
  <si>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</si>
  <si>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</si>
  <si>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</si>
  <si>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</si>
  <si>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</si>
  <si>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</si>
  <si>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</si>
  <si>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</si>
  <si>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</si>
  <si>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</si>
  <si>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</si>
  <si>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</si>
  <si>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</si>
  <si>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</si>
  <si>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</si>
  <si>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</si>
  <si>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</si>
  <si>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</si>
  <si>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</si>
  <si>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</si>
  <si>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</si>
  <si>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</si>
  <si>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</si>
  <si>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</si>
  <si>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</si>
  <si>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</si>
  <si>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</si>
  <si>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Compensação financeira - CFURH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</si>
  <si>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</si>
  <si>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</si>
  <si>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</si>
  <si>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</si>
  <si>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</si>
  <si>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</si>
  <si>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</si>
  <si>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</si>
  <si>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</si>
  <si>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</si>
  <si>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</si>
  <si>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</si>
  <si>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</si>
  <si>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</si>
  <si>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</si>
  <si>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</si>
  <si>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</si>
  <si>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</si>
  <si>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</si>
  <si>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</si>
  <si>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</si>
  <si>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</si>
  <si>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</si>
  <si>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</si>
  <si>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</si>
  <si>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</si>
  <si>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</si>
  <si>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</si>
  <si>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</si>
  <si>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</si>
  <si>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</si>
  <si>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</si>
  <si>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</si>
  <si>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</si>
  <si>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</si>
  <si>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</si>
  <si>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</si>
  <si>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</si>
  <si>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</si>
  <si>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</si>
  <si>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</si>
  <si>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</si>
  <si>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</si>
  <si>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</si>
  <si>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</si>
  <si>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</si>
  <si>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</si>
  <si>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</si>
  <si>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</si>
  <si>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</si>
  <si>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</si>
  <si>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</si>
  <si>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</si>
  <si>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</si>
  <si>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</si>
  <si>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</si>
  <si>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</si>
  <si>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</si>
  <si>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</si>
  <si>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</si>
  <si>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</si>
  <si>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</si>
  <si>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</si>
  <si>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</si>
  <si>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</si>
  <si>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</si>
  <si>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</si>
  <si>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</si>
  <si>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</si>
  <si>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</si>
  <si>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</si>
  <si>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</si>
  <si>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</si>
  <si>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</si>
  <si>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</si>
  <si>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</si>
  <si>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</si>
  <si>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</si>
  <si>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</si>
  <si>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</si>
  <si>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</si>
  <si>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</si>
  <si>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</si>
  <si>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</si>
  <si>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</si>
  <si>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</si>
  <si>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</si>
  <si>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</si>
  <si>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</si>
  <si>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</si>
  <si>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</si>
  <si>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</si>
  <si>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</si>
  <si>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</si>
  <si>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</si>
  <si>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</si>
  <si>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</si>
  <si>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</si>
  <si>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</si>
  <si>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</si>
  <si>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</si>
  <si>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</si>
  <si>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</si>
  <si>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</si>
  <si>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</si>
  <si>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</si>
  <si>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</si>
  <si>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</si>
  <si>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</si>
  <si>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</si>
  <si>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</si>
  <si>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</si>
  <si>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</si>
  <si>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</si>
  <si>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</si>
  <si>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</si>
  <si>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</si>
  <si>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</si>
  <si>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</si>
  <si>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</si>
  <si>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</si>
  <si>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</si>
  <si>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</si>
  <si>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</si>
  <si>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</si>
  <si>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</si>
  <si>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</si>
  <si>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</si>
  <si>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</si>
  <si>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</si>
  <si>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</si>
  <si>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</si>
  <si>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</si>
  <si>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</si>
  <si>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</si>
  <si>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</si>
  <si>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</si>
  <si>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</si>
  <si>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</si>
  <si>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</si>
  <si>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</si>
  <si>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</si>
  <si>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</si>
  <si>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</si>
  <si>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</si>
  <si>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</si>
  <si>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</si>
  <si>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</si>
  <si>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</si>
  <si>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</si>
  <si>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</si>
  <si>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</si>
  <si>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</si>
  <si>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</si>
  <si>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</si>
  <si>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</si>
  <si>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</si>
  <si>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</si>
  <si>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</si>
  <si>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</si>
  <si>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</si>
  <si>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</si>
  <si>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</si>
  <si>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</si>
  <si>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</si>
  <si>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</si>
  <si>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</si>
  <si>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</si>
  <si>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</si>
  <si>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</si>
  <si>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</si>
  <si>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</si>
  <si>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</si>
  <si>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</si>
  <si>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</si>
  <si>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</si>
  <si>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</si>
  <si>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</si>
  <si>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</si>
  <si>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</si>
  <si>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</si>
  <si>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</si>
  <si>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</si>
  <si>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</si>
  <si>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</si>
  <si>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</si>
  <si>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</si>
  <si>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</si>
  <si>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</si>
  <si>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</si>
  <si>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</si>
  <si>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</si>
  <si>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</si>
  <si>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</si>
  <si>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</si>
  <si>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</si>
  <si>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</si>
  <si>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</si>
  <si>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</si>
  <si>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</si>
  <si>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</si>
  <si>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</si>
  <si>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</si>
  <si>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</si>
  <si>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</si>
  <si>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</si>
  <si>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</si>
  <si>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</si>
  <si>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</si>
  <si>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</si>
  <si>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</si>
  <si>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</si>
  <si>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</si>
  <si>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</si>
  <si>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</si>
  <si>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</si>
  <si>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</si>
  <si>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</si>
  <si>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</si>
  <si>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</si>
  <si>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</si>
  <si>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</si>
  <si>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</si>
  <si>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</si>
  <si>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</si>
  <si>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</si>
  <si>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</si>
  <si>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</si>
  <si>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</si>
  <si>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</si>
  <si>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</si>
  <si>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</si>
  <si>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</si>
  <si>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</si>
  <si>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</si>
  <si>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</si>
  <si>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</si>
  <si>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</si>
  <si>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</si>
  <si>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</si>
  <si>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</si>
  <si>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</si>
  <si>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</si>
  <si>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</si>
  <si>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</si>
  <si>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</si>
  <si>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</si>
  <si>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</si>
  <si>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</si>
  <si>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</si>
  <si>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</si>
  <si>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</si>
  <si>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</si>
  <si>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</si>
  <si>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</si>
  <si>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</si>
  <si>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</si>
  <si>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</si>
  <si>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</si>
  <si>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</si>
  <si>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</si>
  <si>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</si>
  <si>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</si>
  <si>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</si>
  <si>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</si>
  <si>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</si>
  <si>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</si>
  <si>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</si>
  <si>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</si>
  <si>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</si>
  <si>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</si>
  <si>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</si>
  <si>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</si>
  <si>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</si>
  <si>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</si>
  <si>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</si>
  <si>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</si>
  <si>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</si>
  <si>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</si>
  <si>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</si>
  <si>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</si>
  <si>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</si>
  <si>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</si>
  <si>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</si>
  <si>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</si>
  <si>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</si>
  <si>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</si>
  <si>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</si>
  <si>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</si>
  <si>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</si>
  <si>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</si>
  <si>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</si>
  <si>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</si>
  <si>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</si>
  <si>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</si>
  <si>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</si>
  <si>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</si>
  <si>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</si>
  <si>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</si>
  <si>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</si>
  <si>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</si>
  <si>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</si>
  <si>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</si>
  <si>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</si>
  <si>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</si>
  <si>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</si>
  <si>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</si>
  <si>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</si>
  <si>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</si>
  <si>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</si>
  <si>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</si>
  <si>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</si>
  <si>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</si>
  <si>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</si>
  <si>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</si>
  <si>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</si>
  <si>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</si>
  <si>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</si>
  <si>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</si>
  <si>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</si>
  <si>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</si>
  <si>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</si>
  <si>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</si>
  <si>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</si>
  <si>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</si>
  <si>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</si>
  <si>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</si>
  <si>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</si>
  <si>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</si>
  <si>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</si>
  <si>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</si>
  <si>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</si>
  <si>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</si>
  <si>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</si>
  <si>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</si>
  <si>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</si>
  <si>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</si>
  <si>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</si>
  <si>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</si>
  <si>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</si>
  <si>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</si>
  <si>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</si>
  <si>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</si>
  <si>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</si>
  <si>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</si>
  <si>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</si>
  <si>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</si>
  <si>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</si>
  <si>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</si>
  <si>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</si>
  <si>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</si>
  <si>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</si>
  <si>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</si>
  <si>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</si>
  <si>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</si>
  <si>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</si>
  <si>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</si>
  <si>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</si>
  <si>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</si>
  <si>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</si>
  <si>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</si>
  <si>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</si>
  <si>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</si>
  <si>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</si>
  <si>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</si>
  <si>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</si>
  <si>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</si>
  <si>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</si>
  <si>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</si>
  <si>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</si>
  <si>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</si>
  <si>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</si>
  <si>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</si>
  <si>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</si>
  <si>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</si>
  <si>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</si>
  <si>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</si>
  <si>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Suprimento (Mercado TE)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</si>
  <si>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</si>
  <si>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</si>
  <si>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</si>
  <si>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</si>
  <si>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</si>
  <si>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</si>
  <si>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</si>
  <si>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</si>
  <si>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</si>
  <si>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</si>
  <si>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</si>
  <si>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</si>
  <si>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</si>
  <si>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</si>
  <si>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</si>
  <si>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</si>
  <si>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</si>
  <si>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</si>
  <si>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</si>
  <si>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</si>
  <si>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</si>
  <si>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</si>
  <si>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</si>
  <si>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</si>
  <si>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</si>
  <si>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</si>
  <si>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</si>
  <si>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</si>
  <si>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</si>
  <si>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</si>
  <si>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</si>
  <si>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</si>
  <si>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</si>
  <si>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</si>
  <si>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</si>
  <si>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</si>
  <si>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</si>
  <si>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</si>
  <si>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</si>
  <si>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</si>
  <si>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</si>
  <si>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</si>
  <si>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</si>
  <si>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</si>
  <si>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</si>
  <si>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</si>
  <si>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</si>
  <si>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</si>
  <si>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Contratos Bilaterais ( preencher em caso de ACL)- substituir as informações de suprimento pelos valores contratados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</si>
  <si>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</si>
  <si>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</si>
  <si>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</si>
  <si>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</si>
  <si>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</si>
  <si>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</si>
  <si>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</si>
  <si>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</si>
  <si>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</si>
  <si>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</si>
  <si>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</si>
  <si>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</si>
  <si>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</si>
  <si>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</si>
  <si>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</si>
  <si>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</si>
  <si>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</si>
  <si>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</si>
  <si>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</si>
  <si>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</si>
  <si>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</si>
  <si>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</si>
  <si>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</si>
  <si>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</si>
  <si>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</si>
  <si>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</si>
  <si>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</si>
  <si>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</si>
  <si>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</si>
  <si>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</si>
  <si>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</si>
  <si>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</si>
  <si>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</si>
  <si>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</si>
  <si>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</si>
  <si>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</si>
  <si>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</si>
  <si>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</si>
  <si>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</si>
  <si>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</si>
  <si>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</si>
  <si>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</si>
  <si>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</si>
  <si>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</si>
  <si>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</si>
  <si>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</si>
  <si>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</si>
  <si>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</si>
  <si>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</si>
  <si>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</si>
  <si>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</si>
  <si>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</si>
  <si>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</si>
  <si>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</si>
  <si>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</si>
  <si>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</si>
  <si>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</si>
  <si>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</si>
  <si>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</si>
  <si>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</si>
  <si>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</si>
  <si>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</si>
  <si>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</si>
  <si>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</si>
  <si>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</si>
  <si>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</si>
  <si>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</si>
  <si>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</si>
  <si>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</si>
  <si>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</si>
  <si>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</si>
  <si>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</si>
  <si>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</si>
  <si>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</si>
  <si>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</si>
  <si>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</si>
  <si>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</si>
  <si>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</si>
  <si>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</si>
  <si>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</si>
  <si>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</si>
  <si>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</si>
  <si>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</si>
  <si>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</si>
  <si>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</si>
  <si>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</si>
  <si>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</si>
  <si>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</si>
  <si>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</si>
  <si>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</si>
  <si>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</si>
  <si>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</si>
  <si>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</si>
  <si>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</si>
  <si>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</si>
  <si>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</si>
  <si>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</si>
  <si>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</si>
  <si>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</si>
  <si>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</si>
  <si>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</si>
  <si>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</si>
  <si>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</si>
  <si>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</si>
  <si>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</si>
  <si>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</si>
  <si>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</si>
  <si>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</si>
  <si>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</si>
  <si>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</si>
  <si>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</si>
  <si>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</si>
  <si>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</si>
  <si>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</si>
  <si>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</si>
  <si>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</si>
  <si>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</si>
  <si>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</si>
  <si>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</si>
  <si>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</si>
  <si>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</si>
  <si>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</si>
  <si>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</si>
  <si>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</si>
  <si>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</si>
  <si>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</si>
  <si>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</si>
  <si>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</si>
  <si>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</si>
  <si>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</si>
  <si>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</si>
  <si>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</si>
  <si>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</si>
  <si>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</si>
  <si>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</si>
  <si>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</si>
  <si>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</si>
  <si>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</si>
  <si>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</si>
  <si>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</si>
  <si>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</si>
  <si>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</si>
  <si>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</si>
  <si>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</si>
  <si>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</si>
  <si>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</si>
  <si>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</si>
  <si>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</si>
  <si>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</si>
  <si>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</si>
  <si>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</si>
  <si>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</si>
  <si>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</si>
  <si>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</si>
  <si>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</si>
  <si>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</si>
  <si>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</si>
  <si>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</si>
  <si>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</si>
  <si>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</si>
  <si>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</si>
  <si>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</si>
  <si>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</si>
  <si>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</si>
  <si>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</si>
  <si>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</si>
  <si>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</si>
  <si>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</si>
  <si>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</si>
  <si>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</si>
  <si>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</si>
  <si>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</si>
  <si>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</si>
  <si>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</si>
  <si>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</si>
  <si>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</si>
  <si>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</si>
  <si>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</si>
  <si>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</si>
  <si>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</si>
  <si>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</si>
  <si>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</si>
  <si>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ccc</t>
  </si>
  <si>
    <t>CVA cde</t>
  </si>
  <si>
    <t>CVA cde energia</t>
  </si>
  <si>
    <t>CVA RB - Nodal</t>
  </si>
  <si>
    <t>CVA RB - Fronteira</t>
  </si>
  <si>
    <t>CVA RB - TUSDg EXP</t>
  </si>
  <si>
    <t>CVA RB - TUSDg ONS</t>
  </si>
  <si>
    <t>CVA RB - EUST Itaipu</t>
  </si>
  <si>
    <t>CVA - Transporte Itaipu</t>
  </si>
  <si>
    <t>CVA - Energia - Energia de Revenda</t>
  </si>
  <si>
    <t>CVA - Energia - Perda Não Técnica</t>
  </si>
  <si>
    <t>CVA - Energia - Perda Técnica</t>
  </si>
  <si>
    <t>CVA - Energia -  Perda de RB sobre a distribuição</t>
  </si>
  <si>
    <t>CVA - Energia -  Perda de RB sobre o mercado cativo</t>
  </si>
  <si>
    <t>CVA - Encargos - PROINFA</t>
  </si>
  <si>
    <t>CVA - Encargos - CFURH</t>
  </si>
  <si>
    <t>CVA - Encargos - ESS/EER</t>
  </si>
  <si>
    <t>Saldo a Compensar CVAccc</t>
  </si>
  <si>
    <t>Saldo a Compensar CVAcde</t>
  </si>
  <si>
    <t>Saldo a Compensar CVA cde energia</t>
  </si>
  <si>
    <t>Saldo a Compensar CVA RB - Nodal</t>
  </si>
  <si>
    <t>Saldo a Compensar CVA RB - Fronteira</t>
  </si>
  <si>
    <t>Saldo a Compensar CVA RB - TUSDg EXP</t>
  </si>
  <si>
    <t>Saldo a Compensar CVA RB - TUSDg ONS</t>
  </si>
  <si>
    <t>Saldo a Compensar CVA RB - EUST Itaipu</t>
  </si>
  <si>
    <t>Saldo a Compensar CVA - Transporte Itaipu</t>
  </si>
  <si>
    <t>Saldo a Compensar CVA - Energia - Energia de Revenda</t>
  </si>
  <si>
    <t>Saldo a Compensar CVA - Energia - Perda Não Técnica</t>
  </si>
  <si>
    <t>Saldo a Compensar CVA - Energia - Perda Técnica</t>
  </si>
  <si>
    <t>Saldo a Compensar CVA - Energia -  Perda de RB sobre a distribuição</t>
  </si>
  <si>
    <t>Saldo a Compensar CVA - Energia -  Perda de RB sobre o mercado cativo</t>
  </si>
  <si>
    <t>Saldo a Compensar CVA - Encargos - PROINFA</t>
  </si>
  <si>
    <t>Saldo a Compensar CVA - Encargos - CFURH</t>
  </si>
  <si>
    <t>Saldo a Compensar CVA - Encargos - ESS/EER</t>
  </si>
  <si>
    <t>Reversão de Risco Hidrológico</t>
  </si>
  <si>
    <t>CVA em Processamento e Saldo a Compensar</t>
  </si>
  <si>
    <t xml:space="preserve"> Dados da CVA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</si>
  <si>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</si>
  <si>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</si>
  <si>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</si>
  <si>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</si>
  <si>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</si>
  <si>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</si>
  <si>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</si>
  <si>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</si>
  <si>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</si>
  <si>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</si>
  <si>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</si>
  <si>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</si>
  <si>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</si>
  <si>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</si>
  <si>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</si>
  <si>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</si>
  <si>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</si>
  <si>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</si>
  <si>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</si>
  <si>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</si>
  <si>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</si>
  <si>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</si>
  <si>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</si>
  <si>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</si>
  <si>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</si>
  <si>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</si>
  <si>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</si>
  <si>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</si>
  <si>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</si>
  <si>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</si>
  <si>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</si>
  <si>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</si>
  <si>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</si>
  <si>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</si>
  <si>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</si>
  <si>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</si>
  <si>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</si>
  <si>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</si>
  <si>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</si>
  <si>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</si>
  <si>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</si>
  <si>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</si>
  <si>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</si>
  <si>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</si>
  <si>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</si>
  <si>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</si>
  <si>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</si>
  <si>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</si>
  <si>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</si>
  <si>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</si>
  <si>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</si>
  <si>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</si>
  <si>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</si>
  <si>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</si>
  <si>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</si>
  <si>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</si>
  <si>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</si>
  <si>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</si>
  <si>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</si>
  <si>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</si>
  <si>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</si>
  <si>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</si>
  <si>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</si>
  <si>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</si>
  <si>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</si>
  <si>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</si>
  <si>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</si>
  <si>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</si>
  <si>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</si>
  <si>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</si>
  <si>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</si>
  <si>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</si>
  <si>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</si>
  <si>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</si>
  <si>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</si>
  <si>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</si>
  <si>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</si>
  <si>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</si>
  <si>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</si>
  <si>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</si>
  <si>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</si>
  <si>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 xml:space="preserve">Neutralidade ONS 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</si>
  <si>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</si>
  <si>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</si>
  <si>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</si>
  <si>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</si>
  <si>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</si>
  <si>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</si>
  <si>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</si>
  <si>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</si>
  <si>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</si>
  <si>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</si>
  <si>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</si>
  <si>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</si>
  <si>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</si>
  <si>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</si>
  <si>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</si>
  <si>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</si>
  <si>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</si>
  <si>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</si>
  <si>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</si>
  <si>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</si>
  <si>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</si>
  <si>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</si>
  <si>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</si>
  <si>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</si>
  <si>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</si>
  <si>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</si>
  <si>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</si>
  <si>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</si>
  <si>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</si>
  <si>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</si>
  <si>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</si>
  <si>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</si>
  <si>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</si>
  <si>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</si>
  <si>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</si>
  <si>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</si>
  <si>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</si>
  <si>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</si>
  <si>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</si>
  <si>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</si>
  <si>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</si>
  <si>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</si>
  <si>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</si>
  <si>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</si>
  <si>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</si>
  <si>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</si>
  <si>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</si>
  <si>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</si>
  <si>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</si>
  <si>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</si>
  <si>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</si>
  <si>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</si>
  <si>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</si>
  <si>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</si>
  <si>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</si>
  <si>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</si>
  <si>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</si>
  <si>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</si>
  <si>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</si>
  <si>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</si>
  <si>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</si>
  <si>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</si>
  <si>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</si>
  <si>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</si>
  <si>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</si>
  <si>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</si>
  <si>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</si>
  <si>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</si>
  <si>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</si>
  <si>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</si>
  <si>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</si>
  <si>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</si>
  <si>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</si>
  <si>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</si>
  <si>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</si>
  <si>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</si>
  <si>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</si>
  <si>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</si>
  <si>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</si>
  <si>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</si>
  <si>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</si>
  <si>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</si>
  <si>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</si>
  <si>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</si>
  <si>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</si>
  <si>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</si>
  <si>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</si>
  <si>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</si>
  <si>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</si>
  <si>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</si>
  <si>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</si>
  <si>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</si>
  <si>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</si>
  <si>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</si>
  <si>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</si>
  <si>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</si>
  <si>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</si>
  <si>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</si>
  <si>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</si>
  <si>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</si>
  <si>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</si>
  <si>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</si>
  <si>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</si>
  <si>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</si>
  <si>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</si>
  <si>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</si>
  <si>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</si>
  <si>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</si>
  <si>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</si>
  <si>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</si>
  <si>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</si>
  <si>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</si>
  <si>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</si>
  <si>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</si>
  <si>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</si>
  <si>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</si>
  <si>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</si>
  <si>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</si>
  <si>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</si>
  <si>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</si>
  <si>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</si>
  <si>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</si>
  <si>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</si>
  <si>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</si>
  <si>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</si>
  <si>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</si>
  <si>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</si>
  <si>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</si>
  <si>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</si>
  <si>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</si>
  <si>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</si>
  <si>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</si>
  <si>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</si>
  <si>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</si>
  <si>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</si>
  <si>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</si>
  <si>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</si>
  <si>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</si>
  <si>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</si>
  <si>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</si>
  <si>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</si>
  <si>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</si>
  <si>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</si>
  <si>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</si>
  <si>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</si>
  <si>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</si>
  <si>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</si>
  <si>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</si>
  <si>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</si>
  <si>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</si>
  <si>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</si>
  <si>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</si>
  <si>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</si>
  <si>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</si>
  <si>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</si>
  <si>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</si>
  <si>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</si>
  <si>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</si>
  <si>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</si>
  <si>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</si>
  <si>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</si>
  <si>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</si>
  <si>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</si>
  <si>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</si>
  <si>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</si>
  <si>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</si>
  <si>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</si>
  <si>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</si>
  <si>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</si>
  <si>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</si>
  <si>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</si>
  <si>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</si>
  <si>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</si>
  <si>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</si>
  <si>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</si>
  <si>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</si>
  <si>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</si>
  <si>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</si>
  <si>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</si>
  <si>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</si>
  <si>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</si>
  <si>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</si>
  <si>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</si>
  <si>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</si>
  <si>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</si>
  <si>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</si>
  <si>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</si>
  <si>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</si>
  <si>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</si>
  <si>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</si>
  <si>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</si>
  <si>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</si>
  <si>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</si>
  <si>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</si>
  <si>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</si>
  <si>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</si>
  <si>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</si>
  <si>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</si>
  <si>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</si>
  <si>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</si>
  <si>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</si>
  <si>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</si>
  <si>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</si>
  <si>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</si>
  <si>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</si>
  <si>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</si>
  <si>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</si>
  <si>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</si>
  <si>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</si>
  <si>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</si>
  <si>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</si>
  <si>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</si>
  <si>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</si>
  <si>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</si>
  <si>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</si>
  <si>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</si>
  <si>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</si>
  <si>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</si>
  <si>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</si>
  <si>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</si>
  <si>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</si>
  <si>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</si>
  <si>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</si>
  <si>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</si>
  <si>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</si>
  <si>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</si>
  <si>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</si>
  <si>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</si>
  <si>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</si>
  <si>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</si>
  <si>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</si>
  <si>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</si>
  <si>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</si>
  <si>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</si>
  <si>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</si>
  <si>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</si>
  <si>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</si>
  <si>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</si>
  <si>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</si>
  <si>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</si>
  <si>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</si>
  <si>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</si>
  <si>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</si>
  <si>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</si>
  <si>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</si>
  <si>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</si>
  <si>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</si>
  <si>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</si>
  <si>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</si>
  <si>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</si>
  <si>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</si>
  <si>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</si>
  <si>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</si>
  <si>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</si>
  <si>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</si>
  <si>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</si>
  <si>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</si>
  <si>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</si>
  <si>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</si>
  <si>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</si>
  <si>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</si>
  <si>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</si>
  <si>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</si>
  <si>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</si>
  <si>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</si>
  <si>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</si>
  <si>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</si>
  <si>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</si>
  <si>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</si>
  <si>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</si>
  <si>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</si>
  <si>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</si>
  <si>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</si>
  <si>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</si>
  <si>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</si>
  <si>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</si>
  <si>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</si>
  <si>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</si>
  <si>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</si>
  <si>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</si>
  <si>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</si>
  <si>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</si>
  <si>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</si>
  <si>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</si>
  <si>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</si>
  <si>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</si>
  <si>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</si>
  <si>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</si>
  <si>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</si>
  <si>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</si>
  <si>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</si>
  <si>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</si>
  <si>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</si>
  <si>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</si>
  <si>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</si>
  <si>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</si>
  <si>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</si>
  <si>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</si>
  <si>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</si>
  <si>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</si>
  <si>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</si>
  <si>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</si>
  <si>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</si>
  <si>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</si>
  <si>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</si>
  <si>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</si>
  <si>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</si>
  <si>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</si>
  <si>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</si>
  <si>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</si>
  <si>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</si>
  <si>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</si>
  <si>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</si>
  <si>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</si>
  <si>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</si>
  <si>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</si>
  <si>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</si>
  <si>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</si>
  <si>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</si>
  <si>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</si>
  <si>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</si>
  <si>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</si>
  <si>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</si>
  <si>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</si>
  <si>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</si>
  <si>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</si>
  <si>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</si>
  <si>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</si>
  <si>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</si>
  <si>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</si>
  <si>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</si>
  <si>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</si>
  <si>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</si>
  <si>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</si>
  <si>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</si>
  <si>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</si>
  <si>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</si>
  <si>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</si>
  <si>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</si>
  <si>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</si>
  <si>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</si>
  <si>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</si>
  <si>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</si>
  <si>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</si>
  <si>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</si>
  <si>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</si>
  <si>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</si>
  <si>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</si>
  <si>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</si>
  <si>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</si>
  <si>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</si>
  <si>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</si>
  <si>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</si>
  <si>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</si>
  <si>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</si>
  <si>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</si>
  <si>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</si>
  <si>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</si>
  <si>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</si>
  <si>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</si>
  <si>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</si>
  <si>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</si>
  <si>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</si>
  <si>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</si>
  <si>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</si>
  <si>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</si>
  <si>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</si>
  <si>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</si>
  <si>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</si>
  <si>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</si>
  <si>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</si>
  <si>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</si>
  <si>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</si>
  <si>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</si>
  <si>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</si>
  <si>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</si>
  <si>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</si>
  <si>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</si>
  <si>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</si>
  <si>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</si>
  <si>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</si>
  <si>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</si>
  <si>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</si>
  <si>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</si>
  <si>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</si>
  <si>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</si>
  <si>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</si>
  <si>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</si>
  <si>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</si>
  <si>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</si>
  <si>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</si>
  <si>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</si>
  <si>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</si>
  <si>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</si>
  <si>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</si>
  <si>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</si>
  <si>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</si>
  <si>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</si>
  <si>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</si>
  <si>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</si>
  <si>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</si>
  <si>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</si>
  <si>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</si>
  <si>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</si>
  <si>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</si>
  <si>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</si>
  <si>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</si>
  <si>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</si>
  <si>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</si>
  <si>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</si>
  <si>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</si>
  <si>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</si>
  <si>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</si>
  <si>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</si>
  <si>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</si>
  <si>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</si>
  <si>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</si>
  <si>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</si>
  <si>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</si>
  <si>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</si>
  <si>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</si>
  <si>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</si>
  <si>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</si>
  <si>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</si>
  <si>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</si>
  <si>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</si>
  <si>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</si>
  <si>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</si>
  <si>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</si>
  <si>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</si>
  <si>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</si>
  <si>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</si>
  <si>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</si>
  <si>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</si>
  <si>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</si>
  <si>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</si>
  <si>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</si>
  <si>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</si>
  <si>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</si>
  <si>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</si>
  <si>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</si>
  <si>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</si>
  <si>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</si>
  <si>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</si>
  <si>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</si>
  <si>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</si>
  <si>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</si>
  <si>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</si>
  <si>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</si>
  <si>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</si>
  <si>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</si>
  <si>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</si>
  <si>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</si>
  <si>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</si>
  <si>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</si>
  <si>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</si>
  <si>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</si>
  <si>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</si>
  <si>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</si>
  <si>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</si>
  <si>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</si>
  <si>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</si>
  <si>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</si>
  <si>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</si>
  <si>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</si>
  <si>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</si>
  <si>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</si>
  <si>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</si>
  <si>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</si>
  <si>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</si>
  <si>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</si>
  <si>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</si>
  <si>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</si>
  <si>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</si>
  <si>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</si>
  <si>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</si>
  <si>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</si>
  <si>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</si>
  <si>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</si>
  <si>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</si>
  <si>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</si>
  <si>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</si>
  <si>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</si>
  <si>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</si>
  <si>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</si>
  <si>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</si>
  <si>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</si>
  <si>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</si>
  <si>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</si>
  <si>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</si>
  <si>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</si>
  <si>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</si>
  <si>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</si>
  <si>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</si>
  <si>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</si>
  <si>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</si>
  <si>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</si>
  <si>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</si>
  <si>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</si>
  <si>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</si>
  <si>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</si>
  <si>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</si>
  <si>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</si>
  <si>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</si>
  <si>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</si>
  <si>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</si>
  <si>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</si>
  <si>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</si>
  <si>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</si>
  <si>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</si>
  <si>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</si>
  <si>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</si>
  <si>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</si>
  <si>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</si>
  <si>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</si>
  <si>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</si>
  <si>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</si>
  <si>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</si>
  <si>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</si>
  <si>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</si>
  <si>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</si>
  <si>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</si>
  <si>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</si>
  <si>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</si>
  <si>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</si>
  <si>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</si>
  <si>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</si>
  <si>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</si>
  <si>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</si>
  <si>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</si>
  <si>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</si>
  <si>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</si>
  <si>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</si>
  <si>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</si>
  <si>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</si>
  <si>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</si>
  <si>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</si>
  <si>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</si>
  <si>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</si>
  <si>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</si>
  <si>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</si>
  <si>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</si>
  <si>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</si>
  <si>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</si>
  <si>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</si>
  <si>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</si>
  <si>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</si>
  <si>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</si>
  <si>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</si>
  <si>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</si>
  <si>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</si>
  <si>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</si>
  <si>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</si>
  <si>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</si>
  <si>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</si>
  <si>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</si>
  <si>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</si>
  <si>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</si>
  <si>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</si>
  <si>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</si>
  <si>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</si>
  <si>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</si>
  <si>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</si>
  <si>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</si>
  <si>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</si>
  <si>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</si>
  <si>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</si>
  <si>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</si>
  <si>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</si>
  <si>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</si>
  <si>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</si>
  <si>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</si>
  <si>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</si>
  <si>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</si>
  <si>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</si>
  <si>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</si>
  <si>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</si>
  <si>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</si>
  <si>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</si>
  <si>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</si>
  <si>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</si>
  <si>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</si>
  <si>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</si>
  <si>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</si>
  <si>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</si>
  <si>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</si>
  <si>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</si>
  <si>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</si>
  <si>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</si>
  <si>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</si>
  <si>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</si>
  <si>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</si>
  <si>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</si>
  <si>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</si>
  <si>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</si>
  <si>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</si>
  <si>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</si>
  <si>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</si>
  <si>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</si>
  <si>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</si>
  <si>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</si>
  <si>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</si>
  <si>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</si>
  <si>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</si>
  <si>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</si>
  <si>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</si>
  <si>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</si>
  <si>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</si>
  <si>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</si>
  <si>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</si>
  <si>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</si>
  <si>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</si>
  <si>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</si>
  <si>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</si>
  <si>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</si>
  <si>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</si>
  <si>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</si>
  <si>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</si>
  <si>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</si>
  <si>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</si>
  <si>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</si>
  <si>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</si>
  <si>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</si>
  <si>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</si>
  <si>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</si>
  <si>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</si>
  <si>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</si>
  <si>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</si>
  <si>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</si>
  <si>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</si>
  <si>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</si>
  <si>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</si>
  <si>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</si>
  <si>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</si>
  <si>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</si>
  <si>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</si>
  <si>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</si>
  <si>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</si>
  <si>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</si>
  <si>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</si>
  <si>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</si>
  <si>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</si>
  <si>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</si>
  <si>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</si>
  <si>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</si>
  <si>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</si>
  <si>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</si>
  <si>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</si>
  <si>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</si>
  <si>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</si>
  <si>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</si>
  <si>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</si>
  <si>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</si>
  <si>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</si>
  <si>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</si>
  <si>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</si>
  <si>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</si>
  <si>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</si>
  <si>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</si>
  <si>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</si>
  <si>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</si>
  <si>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</si>
  <si>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</si>
  <si>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</si>
  <si>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</si>
  <si>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</si>
  <si>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</si>
  <si>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</si>
  <si>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</si>
  <si>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</si>
  <si>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</si>
  <si>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</si>
  <si>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</si>
  <si>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</si>
  <si>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</si>
  <si>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</si>
  <si>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</si>
  <si>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</si>
  <si>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</si>
  <si>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</si>
  <si>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</si>
  <si>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</si>
  <si>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</si>
  <si>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</si>
  <si>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</si>
  <si>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</si>
  <si>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Contrato de suprimento 1</t>
  </si>
  <si>
    <t>Contrato de suprimento 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</si>
  <si>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</si>
  <si>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</si>
  <si>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</si>
  <si>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</si>
  <si>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</si>
  <si>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</si>
  <si>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</si>
  <si>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</si>
  <si>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</si>
  <si>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</si>
  <si>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CDE Covid</t>
  </si>
  <si>
    <t>CDE Covid TE%</t>
  </si>
  <si>
    <t>CDE Covid TUSD%</t>
  </si>
  <si>
    <t>A4 (2,3 a 25 kV)</t>
  </si>
  <si>
    <t>COVID</t>
  </si>
  <si>
    <t>Conta Covid -19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</si>
  <si>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</si>
  <si>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</si>
  <si>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</si>
  <si>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</si>
  <si>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</si>
  <si>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</si>
  <si>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</si>
  <si>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</si>
  <si>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</si>
  <si>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</si>
  <si>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</si>
  <si>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Neutralidade Conta Covid</t>
  </si>
  <si>
    <t>RESOLUÇÃO HOMOLOGATÓRIA Nº 3.018, DE 5 DE ABRIL DE 2022</t>
  </si>
  <si>
    <t>Fora ponta</t>
  </si>
  <si>
    <t>Energia suprimento permissionária</t>
  </si>
  <si>
    <t>5384</t>
  </si>
  <si>
    <t>COOPERATIVA DE ELETRIFICACAO RURAL DA REGIAO DE PROMISSAO</t>
  </si>
  <si>
    <t>63</t>
  </si>
  <si>
    <t>COMPANHIA PAULISTA DE FORÇA E LUZ</t>
  </si>
  <si>
    <t>Sistema de Compensação</t>
  </si>
  <si>
    <t>Convencional</t>
  </si>
  <si>
    <t>CATIVO</t>
  </si>
  <si>
    <t>Residencial baixa renda – faixa 01</t>
  </si>
  <si>
    <t>Residencial baixa renda – faixa 02</t>
  </si>
  <si>
    <t>Residencial baixa renda – faixa 03</t>
  </si>
  <si>
    <t>Verde</t>
  </si>
  <si>
    <t>B2</t>
  </si>
  <si>
    <t>Branca</t>
  </si>
  <si>
    <t>Poder público</t>
  </si>
  <si>
    <t>B4</t>
  </si>
  <si>
    <t>Iluminação pública</t>
  </si>
  <si>
    <t>Iluminação pública – B4b</t>
  </si>
  <si>
    <t>Água, esgoto e saneamento</t>
  </si>
  <si>
    <t>Agropecuária rural</t>
  </si>
  <si>
    <t>IRRIG./AQUIC.</t>
  </si>
  <si>
    <t>IRRIG./AQUIC. PR</t>
  </si>
  <si>
    <t>Refaturamento - Regular</t>
  </si>
  <si>
    <t>Residencial baixa renda – faixa 04</t>
  </si>
  <si>
    <t>Intermediário</t>
  </si>
  <si>
    <t>PROJETADO</t>
  </si>
  <si>
    <t>Fonte incentivada</t>
  </si>
  <si>
    <t>LIVRE</t>
  </si>
  <si>
    <t>FinCT_Subsidio</t>
  </si>
  <si>
    <t>Reversão fin. postergação 2021 (TUSD)</t>
  </si>
  <si>
    <t>Reversão fin. postergação 2021 (TE)</t>
  </si>
  <si>
    <t>Sandoval de Araújo Feitosa</t>
  </si>
  <si>
    <t>48500.004969/2021-88</t>
  </si>
  <si>
    <t>Carta nº 09, de 28/04/2022</t>
  </si>
  <si>
    <t>PERSAS 123</t>
  </si>
  <si>
    <t>Reversão Postergação Covid TUSD em 2021</t>
  </si>
  <si>
    <t>Reversão Postergação Covid TE em 2021</t>
  </si>
  <si>
    <t>Promissão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</si>
</sst>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19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2"/>
      <color rgb="FFFF0000"/>
      <name val="Arial Narrow"/>
      <family val="2"/>
    </font>
    <font>
      <sz val="10"/>
      <name val="Microsoft New Tai Lue"/>
      <family val="2"/>
    </font>
  </fonts>
  <fills count="130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lightGray">
        <bgColor theme="0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20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3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787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0" fontId="0" fillId="100" borderId="0" xfId="0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219" fontId="217" fillId="109" borderId="0" xfId="863" applyNumberFormat="1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2" borderId="0" xfId="0" applyFont="1" applyFill="1" applyAlignment="1">
      <alignment horizontal="center"/>
    </xf>
    <xf numFmtId="0" fontId="29" fillId="112" borderId="0" xfId="0" applyFont="1" applyFill="1"/>
    <xf numFmtId="14" fontId="29" fillId="112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2" borderId="0" xfId="847" applyNumberFormat="1" applyFont="1" applyFill="1" applyBorder="1"/>
    <xf numFmtId="168" fontId="204" fillId="112" borderId="0" xfId="863" applyFont="1" applyFill="1" applyBorder="1"/>
    <xf numFmtId="168" fontId="204" fillId="112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4" borderId="16" xfId="815" applyFont="1" applyFill="1" applyBorder="1" applyAlignment="1">
      <alignment horizontal="left"/>
    </xf>
    <xf numFmtId="3" fontId="29" fillId="114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2" borderId="0" xfId="863" applyNumberFormat="1" applyFont="1" applyFill="1" applyBorder="1" applyAlignment="1">
      <alignment horizontal="left"/>
    </xf>
    <xf numFmtId="230" fontId="29" fillId="112" borderId="0" xfId="0" applyNumberFormat="1" applyFont="1" applyFill="1"/>
    <xf numFmtId="230" fontId="29" fillId="112" borderId="0" xfId="0" applyNumberFormat="1" applyFont="1" applyFill="1" applyAlignment="1">
      <alignment horizontal="left"/>
    </xf>
    <xf numFmtId="230" fontId="115" fillId="112" borderId="0" xfId="0" applyNumberFormat="1" applyFont="1" applyFill="1" applyAlignment="1">
      <alignment horizontal="left"/>
    </xf>
    <xf numFmtId="0" fontId="270" fillId="114" borderId="16" xfId="0" applyFont="1" applyFill="1" applyBorder="1"/>
    <xf numFmtId="165" fontId="29" fillId="0" borderId="0" xfId="863" applyNumberFormat="1" applyFont="1" applyFill="1" applyBorder="1"/>
    <xf numFmtId="168" fontId="29" fillId="112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4" borderId="159" xfId="0" applyFont="1" applyFill="1" applyBorder="1"/>
    <xf numFmtId="0" fontId="42" fillId="114" borderId="16" xfId="0" applyFont="1" applyFill="1" applyBorder="1"/>
    <xf numFmtId="0" fontId="42" fillId="114" borderId="16" xfId="907" applyFont="1" applyFill="1" applyBorder="1"/>
    <xf numFmtId="10" fontId="42" fillId="114" borderId="16" xfId="847" applyNumberFormat="1" applyFont="1" applyFill="1" applyBorder="1" applyAlignment="1"/>
    <xf numFmtId="14" fontId="42" fillId="114" borderId="16" xfId="0" applyNumberFormat="1" applyFont="1" applyFill="1" applyBorder="1"/>
    <xf numFmtId="0" fontId="274" fillId="114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4" borderId="159" xfId="0" applyFont="1" applyFill="1" applyBorder="1"/>
    <xf numFmtId="0" fontId="270" fillId="114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2" borderId="0" xfId="815" applyFont="1" applyFill="1" applyBorder="1" applyAlignment="1"/>
    <xf numFmtId="10" fontId="29" fillId="112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2" borderId="0" xfId="863" applyNumberFormat="1" applyFont="1" applyFill="1" applyBorder="1" applyAlignment="1">
      <alignment horizontal="left"/>
    </xf>
    <xf numFmtId="10" fontId="29" fillId="112" borderId="0" xfId="847" applyNumberFormat="1" applyFont="1" applyFill="1" applyBorder="1" applyAlignment="1">
      <alignment horizontal="left"/>
    </xf>
    <xf numFmtId="260" fontId="29" fillId="112" borderId="0" xfId="0" applyNumberFormat="1" applyFont="1" applyFill="1" applyAlignment="1">
      <alignment horizontal="left"/>
    </xf>
    <xf numFmtId="260" fontId="29" fillId="112" borderId="0" xfId="0" applyNumberFormat="1" applyFont="1" applyFill="1"/>
    <xf numFmtId="257" fontId="29" fillId="112" borderId="0" xfId="863" applyNumberFormat="1" applyFont="1" applyFill="1" applyBorder="1" applyAlignment="1">
      <alignment horizontal="left"/>
    </xf>
    <xf numFmtId="258" fontId="29" fillId="112" borderId="0" xfId="847" applyNumberFormat="1" applyFont="1" applyFill="1" applyBorder="1" applyAlignment="1">
      <alignment horizontal="left"/>
    </xf>
    <xf numFmtId="259" fontId="29" fillId="112" borderId="0" xfId="0" applyNumberFormat="1" applyFont="1" applyFill="1" applyAlignment="1">
      <alignment horizontal="left"/>
    </xf>
    <xf numFmtId="230" fontId="29" fillId="112" borderId="0" xfId="2697" applyNumberFormat="1" applyFill="1"/>
    <xf numFmtId="257" fontId="29" fillId="112" borderId="0" xfId="847" applyNumberFormat="1" applyFont="1" applyFill="1" applyBorder="1" applyAlignment="1">
      <alignment horizontal="left"/>
    </xf>
    <xf numFmtId="4" fontId="29" fillId="112" borderId="0" xfId="863" applyNumberFormat="1" applyFont="1" applyFill="1" applyBorder="1" applyAlignment="1">
      <alignment horizontal="left"/>
    </xf>
    <xf numFmtId="0" fontId="29" fillId="112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8" borderId="0" xfId="0" applyFont="1" applyFill="1"/>
    <xf numFmtId="165" fontId="282" fillId="118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6" borderId="161" xfId="0" applyFont="1" applyFill="1" applyBorder="1" applyAlignment="1">
      <alignment horizontal="center" vertical="distributed"/>
    </xf>
    <xf numFmtId="0" fontId="29" fillId="117" borderId="161" xfId="0" applyFont="1" applyFill="1" applyBorder="1" applyAlignment="1">
      <alignment horizontal="center" vertical="distributed"/>
    </xf>
    <xf numFmtId="0" fontId="29" fillId="117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9" borderId="20" xfId="2697" applyNumberFormat="1" applyFont="1" applyFill="1" applyBorder="1" applyAlignment="1">
      <alignment vertical="center"/>
    </xf>
    <xf numFmtId="270" fontId="42" fillId="119" borderId="0" xfId="2697" applyNumberFormat="1" applyFont="1" applyFill="1" applyAlignment="1">
      <alignment vertical="center"/>
    </xf>
    <xf numFmtId="270" fontId="42" fillId="119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2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49" fontId="29" fillId="0" borderId="0" xfId="0" applyNumberFormat="1" applyFont="1" applyAlignment="1">
      <alignment horizontal="center" vertical="distributed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1" borderId="167" xfId="907" applyNumberFormat="1" applyFill="1" applyBorder="1"/>
    <xf numFmtId="171" fontId="29" fillId="111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1" borderId="172" xfId="907" applyNumberFormat="1" applyFill="1" applyBorder="1"/>
    <xf numFmtId="167" fontId="29" fillId="112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2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2" borderId="166" xfId="0" applyFont="1" applyFill="1" applyBorder="1" applyAlignment="1">
      <alignment horizontal="left" wrapText="1"/>
    </xf>
    <xf numFmtId="14" fontId="29" fillId="112" borderId="178" xfId="0" applyNumberFormat="1" applyFont="1" applyFill="1" applyBorder="1" applyAlignment="1">
      <alignment horizontal="left" wrapText="1"/>
    </xf>
    <xf numFmtId="0" fontId="29" fillId="112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20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4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168" fontId="29" fillId="0" borderId="0" xfId="863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Alignment="1">
      <alignment horizontal="center"/>
    </xf>
    <xf numFmtId="0" fontId="29" fillId="0" borderId="152" xfId="0" applyFont="1" applyBorder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Border="1" applyAlignment="1">
      <alignment horizontal="center" vertical="distributed"/>
    </xf>
    <xf numFmtId="9" fontId="29" fillId="0" borderId="0" xfId="847" applyFont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2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9" borderId="0" xfId="43408" applyFont="1" applyFill="1"/>
    <xf numFmtId="205" fontId="0" fillId="0" borderId="0" xfId="0" applyNumberFormat="1"/>
    <xf numFmtId="168" fontId="204" fillId="42" borderId="0" xfId="863" applyFont="1" applyFill="1"/>
    <xf numFmtId="14" fontId="204" fillId="42" borderId="0" xfId="847" applyNumberFormat="1" applyFont="1" applyFill="1"/>
    <xf numFmtId="14" fontId="204" fillId="42" borderId="0" xfId="0" applyNumberFormat="1" applyFont="1" applyFill="1"/>
    <xf numFmtId="167" fontId="204" fillId="112" borderId="0" xfId="815" applyFont="1" applyFill="1"/>
    <xf numFmtId="168" fontId="207" fillId="59" borderId="0" xfId="863" applyFont="1" applyFill="1"/>
    <xf numFmtId="0" fontId="294" fillId="0" borderId="0" xfId="907" applyFont="1"/>
    <xf numFmtId="217" fontId="295" fillId="0" borderId="0" xfId="847" applyNumberFormat="1" applyFont="1" applyFill="1" applyBorder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2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4" borderId="152" xfId="43431" applyFont="1" applyFill="1" applyBorder="1"/>
    <xf numFmtId="4" fontId="42" fillId="42" borderId="152" xfId="815" applyNumberFormat="1" applyFont="1" applyFill="1" applyBorder="1"/>
    <xf numFmtId="168" fontId="29" fillId="112" borderId="0" xfId="863" applyFont="1" applyFill="1" applyAlignment="1">
      <alignment horizontal="center" vertical="distributed"/>
    </xf>
    <xf numFmtId="14" fontId="29" fillId="112" borderId="0" xfId="0" applyNumberFormat="1" applyFont="1" applyFill="1" applyAlignment="1">
      <alignment horizontal="center" vertical="distributed"/>
    </xf>
    <xf numFmtId="167" fontId="204" fillId="112" borderId="0" xfId="815" applyFont="1" applyFill="1" applyBorder="1"/>
    <xf numFmtId="168" fontId="0" fillId="0" borderId="0" xfId="863" applyFont="1" applyFill="1"/>
    <xf numFmtId="168" fontId="29" fillId="112" borderId="0" xfId="0" applyNumberFormat="1" applyFont="1" applyFill="1" applyAlignment="1">
      <alignment horizontal="center" vertical="distributed"/>
    </xf>
    <xf numFmtId="168" fontId="0" fillId="112" borderId="0" xfId="863" applyFont="1" applyFill="1"/>
    <xf numFmtId="0" fontId="301" fillId="0" borderId="0" xfId="0" applyFont="1"/>
    <xf numFmtId="168" fontId="29" fillId="112" borderId="178" xfId="863" applyFont="1" applyFill="1" applyBorder="1"/>
    <xf numFmtId="168" fontId="29" fillId="112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2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8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9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9" borderId="0" xfId="0" applyFont="1" applyFill="1" applyAlignment="1">
      <alignment vertical="center"/>
    </xf>
    <xf numFmtId="174" fontId="249" fillId="119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9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0" fontId="249" fillId="123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5" borderId="0" xfId="2697" applyFont="1" applyFill="1" applyAlignment="1">
      <alignment vertical="center" wrapText="1"/>
    </xf>
    <xf numFmtId="43" fontId="249" fillId="124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4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9" borderId="0" xfId="0" applyNumberFormat="1" applyFont="1" applyFill="1" applyAlignment="1">
      <alignment vertical="center"/>
    </xf>
    <xf numFmtId="174" fontId="312" fillId="119" borderId="0" xfId="0" applyNumberFormat="1" applyFont="1" applyFill="1" applyAlignment="1">
      <alignment vertical="center"/>
    </xf>
    <xf numFmtId="0" fontId="248" fillId="0" borderId="0" xfId="0" applyFont="1"/>
    <xf numFmtId="14" fontId="248" fillId="119" borderId="0" xfId="0" applyNumberFormat="1" applyFont="1" applyFill="1" applyAlignment="1">
      <alignment vertical="center"/>
    </xf>
    <xf numFmtId="174" fontId="248" fillId="119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6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8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7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8" borderId="0" xfId="0" applyNumberFormat="1" applyFill="1"/>
    <xf numFmtId="0" fontId="29" fillId="0" borderId="0" xfId="0" applyFont="1" applyAlignment="1">
      <alignment horizontal="center" vertical="center" wrapText="1"/>
    </xf>
    <xf numFmtId="168" fontId="249" fillId="119" borderId="0" xfId="863" applyFont="1" applyFill="1" applyAlignment="1">
      <alignment vertical="center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0" fillId="118" borderId="0" xfId="0" applyFill="1"/>
    <xf numFmtId="168" fontId="0" fillId="118" borderId="0" xfId="863" applyFont="1" applyFill="1"/>
    <xf numFmtId="10" fontId="0" fillId="118" borderId="0" xfId="847" applyNumberFormat="1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2" fontId="204" fillId="42" borderId="0" xfId="863" applyNumberFormat="1" applyFont="1" applyFill="1"/>
    <xf numFmtId="2" fontId="204" fillId="42" borderId="0" xfId="0" applyNumberFormat="1" applyFont="1" applyFill="1"/>
    <xf numFmtId="167" fontId="204" fillId="42" borderId="0" xfId="815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2" borderId="166" xfId="0" applyFont="1" applyFill="1" applyBorder="1" applyAlignment="1">
      <alignment horizontal="center"/>
    </xf>
    <xf numFmtId="0" fontId="29" fillId="112" borderId="166" xfId="0" applyFont="1" applyFill="1" applyBorder="1"/>
    <xf numFmtId="14" fontId="29" fillId="112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2" borderId="178" xfId="0" applyNumberFormat="1" applyFont="1" applyFill="1" applyBorder="1"/>
    <xf numFmtId="0" fontId="29" fillId="112" borderId="178" xfId="0" applyFont="1" applyFill="1" applyBorder="1" applyAlignment="1">
      <alignment horizontal="center"/>
    </xf>
    <xf numFmtId="0" fontId="29" fillId="112" borderId="178" xfId="0" applyFont="1" applyFill="1" applyBorder="1"/>
    <xf numFmtId="14" fontId="29" fillId="112" borderId="166" xfId="0" applyNumberFormat="1" applyFont="1" applyFill="1" applyBorder="1" applyAlignment="1">
      <alignment horizontal="right"/>
    </xf>
    <xf numFmtId="14" fontId="29" fillId="112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2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2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2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2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2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2" borderId="144" xfId="863" applyFont="1" applyFill="1" applyBorder="1" applyAlignment="1">
      <alignment horizontal="left"/>
    </xf>
    <xf numFmtId="230" fontId="29" fillId="112" borderId="144" xfId="863" applyNumberFormat="1" applyFont="1" applyFill="1" applyBorder="1" applyAlignment="1">
      <alignment horizontal="left"/>
    </xf>
    <xf numFmtId="3" fontId="29" fillId="112" borderId="166" xfId="863" applyNumberFormat="1" applyFont="1" applyFill="1" applyBorder="1" applyAlignment="1">
      <alignment horizontal="left"/>
    </xf>
    <xf numFmtId="230" fontId="29" fillId="112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2" borderId="178" xfId="0" applyFont="1" applyFill="1" applyBorder="1" applyAlignment="1">
      <alignment horizontal="left"/>
    </xf>
    <xf numFmtId="230" fontId="29" fillId="112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5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5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5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0" fontId="204" fillId="100" borderId="178" xfId="0" applyNumberFormat="1" applyFont="1" applyFill="1" applyBorder="1"/>
    <xf numFmtId="10" fontId="204" fillId="100" borderId="178" xfId="847" applyNumberFormat="1" applyFont="1" applyFill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1" borderId="192" xfId="907" applyFont="1" applyFill="1" applyBorder="1"/>
    <xf numFmtId="0" fontId="293" fillId="121" borderId="194" xfId="907" applyFont="1" applyFill="1" applyBorder="1" applyAlignment="1">
      <alignment horizontal="center" wrapText="1"/>
    </xf>
    <xf numFmtId="0" fontId="293" fillId="121" borderId="194" xfId="907" applyFont="1" applyFill="1" applyBorder="1" applyAlignment="1">
      <alignment horizontal="center"/>
    </xf>
    <xf numFmtId="0" fontId="293" fillId="121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2" borderId="189" xfId="43408" applyNumberFormat="1" applyFont="1" applyFill="1" applyBorder="1"/>
    <xf numFmtId="43" fontId="295" fillId="122" borderId="189" xfId="43408" applyFont="1" applyFill="1" applyBorder="1"/>
    <xf numFmtId="167" fontId="295" fillId="122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2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2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2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3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10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168" fontId="29" fillId="61" borderId="0" xfId="863" applyFont="1" applyFill="1" applyAlignment="1">
      <alignment horizontal="center" vertical="distributed"/>
    </xf>
    <xf numFmtId="4" fontId="29" fillId="61" borderId="0" xfId="0" applyNumberFormat="1" applyFont="1" applyFill="1" applyAlignment="1">
      <alignment vertical="center"/>
    </xf>
    <xf numFmtId="168" fontId="0" fillId="61" borderId="0" xfId="863" applyFont="1" applyFill="1" applyAlignment="1">
      <alignment horizontal="center" vertical="distributed"/>
    </xf>
    <xf numFmtId="14" fontId="29" fillId="61" borderId="0" xfId="863" applyNumberFormat="1" applyFont="1" applyFill="1" applyAlignment="1">
      <alignment horizontal="center" vertical="distributed"/>
    </xf>
    <xf numFmtId="0" fontId="29" fillId="61" borderId="0" xfId="0" applyFont="1" applyFill="1" applyAlignment="1">
      <alignment horizontal="center" vertical="distributed"/>
    </xf>
    <xf numFmtId="3" fontId="29" fillId="61" borderId="0" xfId="0" applyNumberFormat="1" applyFont="1" applyFill="1" applyAlignment="1">
      <alignment horizontal="center" vertical="distributed"/>
    </xf>
    <xf numFmtId="257" fontId="29" fillId="61" borderId="0" xfId="0" applyNumberFormat="1" applyFont="1" applyFill="1" applyAlignment="1">
      <alignment horizontal="center" vertical="distributed"/>
    </xf>
    <xf numFmtId="3" fontId="0" fillId="61" borderId="0" xfId="0" applyNumberFormat="1" applyFill="1" applyAlignment="1">
      <alignment horizontal="center" vertical="distributed"/>
    </xf>
    <xf numFmtId="0" fontId="0" fillId="61" borderId="0" xfId="0" applyFill="1" applyAlignment="1">
      <alignment horizontal="center" vertical="distributed"/>
    </xf>
    <xf numFmtId="168" fontId="29" fillId="61" borderId="0" xfId="0" applyNumberFormat="1" applyFont="1" applyFill="1" applyAlignment="1">
      <alignment horizontal="center" vertical="distributed"/>
    </xf>
    <xf numFmtId="14" fontId="29" fillId="61" borderId="0" xfId="0" applyNumberFormat="1" applyFont="1" applyFill="1" applyAlignment="1">
      <alignment horizontal="center" vertical="distributed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04" fillId="129" borderId="0" xfId="863" applyFont="1" applyFill="1"/>
    <xf numFmtId="2" fontId="204" fillId="129" borderId="0" xfId="863" applyNumberFormat="1" applyFont="1" applyFill="1"/>
    <xf numFmtId="14" fontId="204" fillId="129" borderId="0" xfId="847" applyNumberFormat="1" applyFont="1" applyFill="1"/>
    <xf numFmtId="14" fontId="204" fillId="129" borderId="0" xfId="0" applyNumberFormat="1" applyFont="1" applyFill="1"/>
    <xf numFmtId="2" fontId="204" fillId="129" borderId="0" xfId="0" applyNumberFormat="1" applyFont="1" applyFill="1"/>
    <xf numFmtId="167" fontId="204" fillId="129" borderId="0" xfId="815" applyFont="1" applyFill="1"/>
    <xf numFmtId="2" fontId="204" fillId="129" borderId="0" xfId="847" applyNumberFormat="1" applyFont="1" applyFill="1"/>
    <xf numFmtId="0" fontId="204" fillId="0" borderId="0" xfId="0" applyFont="1" applyBorder="1"/>
    <xf numFmtId="4" fontId="317" fillId="0" borderId="0" xfId="0" applyNumberFormat="1" applyFont="1"/>
    <xf numFmtId="205" fontId="317" fillId="0" borderId="0" xfId="0" applyNumberFormat="1" applyFont="1"/>
    <xf numFmtId="0" fontId="317" fillId="0" borderId="0" xfId="0" applyFont="1"/>
    <xf numFmtId="168" fontId="204" fillId="61" borderId="0" xfId="863" applyFont="1" applyFill="1"/>
    <xf numFmtId="0" fontId="318" fillId="0" borderId="0" xfId="0" pivotButton="1" applyFont="1"/>
    <xf numFmtId="0" fontId="318" fillId="0" borderId="0" xfId="0" applyFont="1"/>
    <xf numFmtId="205" fontId="318" fillId="0" borderId="0" xfId="0" applyNumberFormat="1" applyFont="1" applyAlignment="1">
      <alignment horizontal="left"/>
    </xf>
    <xf numFmtId="168" fontId="318" fillId="0" borderId="0" xfId="0" applyNumberFormat="1" applyFont="1"/>
    <xf numFmtId="0" fontId="0" fillId="44" borderId="152" xfId="0" applyFill="1" applyBorder="1"/>
    <xf numFmtId="168" fontId="0" fillId="0" borderId="152" xfId="863" applyFont="1" applyBorder="1"/>
    <xf numFmtId="0" fontId="282" fillId="0" borderId="0" xfId="0" applyFont="1" applyFill="1" applyBorder="1"/>
    <xf numFmtId="0" fontId="204" fillId="0" borderId="0" xfId="0" applyFont="1" applyFill="1" applyBorder="1"/>
    <xf numFmtId="43" fontId="204" fillId="0" borderId="0" xfId="0" applyNumberFormat="1" applyFont="1" applyFill="1" applyBorder="1"/>
    <xf numFmtId="168" fontId="204" fillId="0" borderId="0" xfId="0" applyNumberFormat="1" applyFont="1" applyFill="1" applyBorder="1"/>
    <xf numFmtId="43" fontId="282" fillId="0" borderId="0" xfId="0" applyNumberFormat="1" applyFont="1" applyFill="1" applyBorder="1"/>
    <xf numFmtId="0" fontId="204" fillId="0" borderId="0" xfId="0" applyNumberFormat="1" applyFont="1" applyFill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82" fillId="61" borderId="0" xfId="0" applyFont="1" applyFill="1"/>
    <xf numFmtId="167" fontId="282" fillId="61" borderId="0" xfId="815" applyFont="1" applyFill="1" applyBorder="1"/>
    <xf numFmtId="10" fontId="282" fillId="61" borderId="0" xfId="847" applyNumberFormat="1" applyFont="1" applyFill="1" applyBorder="1" applyAlignment="1">
      <alignment horizontal="center"/>
    </xf>
    <xf numFmtId="167" fontId="281" fillId="61" borderId="0" xfId="815" applyFont="1" applyFill="1" applyBorder="1"/>
    <xf numFmtId="167" fontId="204" fillId="46" borderId="10" xfId="815" applyFont="1" applyFill="1" applyBorder="1"/>
    <xf numFmtId="167" fontId="204" fillId="46" borderId="20" xfId="815" applyFont="1" applyFill="1" applyBorder="1"/>
    <xf numFmtId="168" fontId="250" fillId="59" borderId="144" xfId="863" applyFont="1" applyFill="1" applyBorder="1" applyAlignment="1">
      <alignment horizontal="left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07" fillId="97" borderId="189" xfId="0" applyFont="1" applyFill="1" applyBorder="1" applyAlignment="1">
      <alignment horizontal="center" vertical="center" wrapText="1"/>
    </xf>
    <xf numFmtId="0" fontId="211" fillId="43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6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2" defaultTableStyle="TableStyleMedium9" defaultPivotStyle="PivotStyleLight16">
    <tableStyle name="Estilo de Tabela 1" pivot="0" count="1" xr9:uid="{00686FE8-9E00-463D-AA37-0EFDC342C09A}">
      <tableStyleElement type="headerRow" dxfId="559"/>
    </tableStyle>
    <tableStyle name="Padrão" pivot="0" count="1" xr9:uid="{3101F1C1-6DA4-4166-994B-3EC22CFD8317}">
      <tableStyleElement type="headerRow" dxfId="55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DDD"/>
      <color rgb="FFEE08CD"/>
      <color rgb="FFF9AD6F"/>
      <color rgb="FFFFCCCC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theme" Target="theme/theme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pivotCacheDefinition" Target="pivotCache/pivotCacheDefinition1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5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54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pivotCacheDefinition" Target="pivotCache/pivotCacheDefinition2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styles" Target="styles.xml"/><Relationship Id="rId60" Type="http://schemas.openxmlformats.org/officeDocument/2006/relationships/customXml" Target="../customXml/item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7.4333012775292251E-2</c:v>
                </c:pt>
                <c:pt idx="1">
                  <c:v>5.8569075912297437E-2</c:v>
                </c:pt>
                <c:pt idx="2">
                  <c:v>1.8384706012853583E-2</c:v>
                </c:pt>
                <c:pt idx="3">
                  <c:v>9.9367757723719072E-2</c:v>
                </c:pt>
                <c:pt idx="4">
                  <c:v>-5.5800000000000002E-2</c:v>
                </c:pt>
                <c:pt idx="5">
                  <c:v>0.1197</c:v>
                </c:pt>
                <c:pt idx="6">
                  <c:v>0.31463538360296806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0.42893103280073358</c:v>
                </c:pt>
                <c:pt idx="1">
                  <c:v>0.13497455338734532</c:v>
                </c:pt>
                <c:pt idx="2">
                  <c:v>0.24437795623946965</c:v>
                </c:pt>
                <c:pt idx="3">
                  <c:v>0</c:v>
                </c:pt>
                <c:pt idx="4">
                  <c:v>0</c:v>
                </c:pt>
                <c:pt idx="5">
                  <c:v>2.9259841579133077E-2</c:v>
                </c:pt>
                <c:pt idx="6">
                  <c:v>0.16015064904609722</c:v>
                </c:pt>
                <c:pt idx="7">
                  <c:v>2.3059669472210859E-3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8620682.5586294308</c:v>
                </c:pt>
                <c:pt idx="1">
                  <c:v>10580562.18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2966844.5089071067</c:v>
                </c:pt>
                <c:pt idx="1">
                  <c:v>3329455.1935485285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4872952.6758582592</c:v>
                </c:pt>
                <c:pt idx="1">
                  <c:v>6028139.6394422995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3263016.7535252078</c:v>
                </c:pt>
                <c:pt idx="1">
                  <c:v>4729123.6706041945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4.8464331199908547E-2"/>
                  <c:y val="-0.1485035514910102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0.13021759362075594"/>
                  <c:y val="1.084709820537219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0.11469205251636937"/>
                  <c:y val="0.19584370777410867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-9.7036431693247577E-2"/>
                  <c:y val="0.2073008173924750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-0.11869827782923846"/>
                  <c:y val="-8.8546976261607281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layout>
                <c:manualLayout>
                  <c:x val="2.2164696786511544E-2"/>
                  <c:y val="3.3809236044372623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0.16189456672599067"/>
                  <c:y val="-6.0236725501329365E-3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0.33698107127904697</c:v>
                </c:pt>
                <c:pt idx="1">
                  <c:v>0.10604005333652033</c:v>
                </c:pt>
                <c:pt idx="2">
                  <c:v>0.19199064463311477</c:v>
                </c:pt>
                <c:pt idx="3">
                  <c:v>0.15061819340220545</c:v>
                </c:pt>
                <c:pt idx="4">
                  <c:v>0.20341202822744492</c:v>
                </c:pt>
                <c:pt idx="5" formatCode="0.00%">
                  <c:v>1.0958009121667465E-2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Cerpro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-3.8734021329041683E-3"/>
                  <c:y val="2.8701458979135653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-2.4878416239361421E-3"/>
                  <c:y val="7.649044080014147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504.95621166549836</c:v>
                </c:pt>
                <c:pt idx="1">
                  <c:v>601.67000000000007</c:v>
                </c:pt>
                <c:pt idx="2">
                  <c:v>582.07999999999993</c:v>
                </c:pt>
                <c:pt idx="3">
                  <c:v>613.14</c:v>
                </c:pt>
                <c:pt idx="4">
                  <c:v>751.56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CPFL Paulista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484.63</c:v>
                </c:pt>
                <c:pt idx="1">
                  <c:v>523.02</c:v>
                </c:pt>
                <c:pt idx="2">
                  <c:v>550.20000000000005</c:v>
                </c:pt>
                <c:pt idx="3">
                  <c:v>595.66</c:v>
                </c:pt>
                <c:pt idx="4">
                  <c:v>678.65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546.29324649286127</c:v>
                </c:pt>
                <c:pt idx="1">
                  <c:v>593.50628554576588</c:v>
                </c:pt>
                <c:pt idx="2">
                  <c:v>633.18073217573829</c:v>
                </c:pt>
                <c:pt idx="3">
                  <c:v>835.89432872978227</c:v>
                </c:pt>
                <c:pt idx="4">
                  <c:v>958.44365318020937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43221</c:v>
                </c:pt>
                <c:pt idx="1">
                  <c:v>43586</c:v>
                </c:pt>
                <c:pt idx="2">
                  <c:v>43952</c:v>
                </c:pt>
                <c:pt idx="3">
                  <c:v>44317</c:v>
                </c:pt>
                <c:pt idx="4">
                  <c:v>44682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544.11173399916584</c:v>
                </c:pt>
                <c:pt idx="1">
                  <c:v>570.99360654494626</c:v>
                </c:pt>
                <c:pt idx="2">
                  <c:v>584.69333868635272</c:v>
                </c:pt>
                <c:pt idx="3">
                  <c:v>624.21453826822153</c:v>
                </c:pt>
                <c:pt idx="4">
                  <c:v>699.94193781109345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Cerpro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404.93</c:v>
                </c:pt>
                <c:pt idx="1">
                  <c:v>263.02999999999997</c:v>
                </c:pt>
                <c:pt idx="2">
                  <c:v>371.49669002205025</c:v>
                </c:pt>
                <c:pt idx="3" formatCode="_(* #,##0.00_);_(* \(#,##0.00\);_(* &quot;-&quot;??_);_(@_)">
                  <c:v>371.5</c:v>
                </c:pt>
                <c:pt idx="4" formatCode="_(* #,##0.00_);_(* \(#,##0.00\);_(* &quot;-&quot;??_);_(@_)">
                  <c:v>467.95</c:v>
                </c:pt>
                <c:pt idx="5" formatCode="_(* #,##0.00_);_(* \(#,##0.00\);_(* &quot;-&quot;??_);_(@_)">
                  <c:v>504.95621166549836</c:v>
                </c:pt>
                <c:pt idx="6" formatCode="_(* #,##0.00_);_(* \(#,##0.00\);_(* &quot;-&quot;??_);_(@_)">
                  <c:v>601.67000000000007</c:v>
                </c:pt>
                <c:pt idx="7" formatCode="_(* #,##0.00_);_(* \(#,##0.00\);_(* &quot;-&quot;??_);_(@_)">
                  <c:v>582.07999999999993</c:v>
                </c:pt>
                <c:pt idx="8" formatCode="_(* #,##0.00_);_(* \(#,##0.00\);_(* &quot;-&quot;??_);_(@_)">
                  <c:v>613.14</c:v>
                </c:pt>
                <c:pt idx="9" formatCode="_(* #,##0.00_);_(* \(#,##0.00\);_(* &quot;-&quot;??_);_(@_)">
                  <c:v>751.56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CPFL Paulista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316.86</c:v>
                </c:pt>
                <c:pt idx="1">
                  <c:v>316.86</c:v>
                </c:pt>
                <c:pt idx="2">
                  <c:v>419.64</c:v>
                </c:pt>
                <c:pt idx="3">
                  <c:v>447.18999999999994</c:v>
                </c:pt>
                <c:pt idx="4">
                  <c:v>404.17</c:v>
                </c:pt>
                <c:pt idx="5">
                  <c:v>484.63</c:v>
                </c:pt>
                <c:pt idx="6">
                  <c:v>523.02</c:v>
                </c:pt>
                <c:pt idx="7">
                  <c:v>550.20000000000005</c:v>
                </c:pt>
                <c:pt idx="8">
                  <c:v>595.66</c:v>
                </c:pt>
                <c:pt idx="9">
                  <c:v>678.65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404.93</c:v>
                </c:pt>
                <c:pt idx="1">
                  <c:v>452.78752115371179</c:v>
                </c:pt>
                <c:pt idx="2">
                  <c:v>468.86317889497121</c:v>
                </c:pt>
                <c:pt idx="3">
                  <c:v>518.71277229268378</c:v>
                </c:pt>
                <c:pt idx="4">
                  <c:v>536.17913107569541</c:v>
                </c:pt>
                <c:pt idx="5">
                  <c:v>546.29324649286127</c:v>
                </c:pt>
                <c:pt idx="6">
                  <c:v>593.50628554576588</c:v>
                </c:pt>
                <c:pt idx="7">
                  <c:v>633.18073217573829</c:v>
                </c:pt>
                <c:pt idx="8">
                  <c:v>835.89432872978227</c:v>
                </c:pt>
                <c:pt idx="9">
                  <c:v>958.44365318020937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404.93</c:v>
                </c:pt>
                <c:pt idx="1">
                  <c:v>430.3577906743721</c:v>
                </c:pt>
                <c:pt idx="2">
                  <c:v>465.52442079065804</c:v>
                </c:pt>
                <c:pt idx="3">
                  <c:v>508.71481942360708</c:v>
                </c:pt>
                <c:pt idx="4">
                  <c:v>529.48318787202572</c:v>
                </c:pt>
                <c:pt idx="5">
                  <c:v>544.11173399916584</c:v>
                </c:pt>
                <c:pt idx="6">
                  <c:v>570.99360654494626</c:v>
                </c:pt>
                <c:pt idx="7">
                  <c:v>584.69333868635272</c:v>
                </c:pt>
                <c:pt idx="8">
                  <c:v>624.21453826822153</c:v>
                </c:pt>
                <c:pt idx="9">
                  <c:v>699.94193781109345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[PERSAS_RTA_2022_CERPRO.xlsx]Calc_Mercado!Tabela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01/04/21</c:v>
                </c:pt>
                <c:pt idx="1">
                  <c:v>01/05/21</c:v>
                </c:pt>
                <c:pt idx="2">
                  <c:v>01/06/21</c:v>
                </c:pt>
                <c:pt idx="3">
                  <c:v>01/07/21</c:v>
                </c:pt>
                <c:pt idx="4">
                  <c:v>01/08/21</c:v>
                </c:pt>
                <c:pt idx="5">
                  <c:v>01/09/21</c:v>
                </c:pt>
                <c:pt idx="6">
                  <c:v>01/10/21</c:v>
                </c:pt>
                <c:pt idx="7">
                  <c:v>01/11/21</c:v>
                </c:pt>
                <c:pt idx="8">
                  <c:v>01/12/21</c:v>
                </c:pt>
                <c:pt idx="9">
                  <c:v>01/01/22</c:v>
                </c:pt>
                <c:pt idx="10">
                  <c:v>01/02/22</c:v>
                </c:pt>
                <c:pt idx="11">
                  <c:v>01/03/22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1696.7640000000001</c:v>
                </c:pt>
                <c:pt idx="1">
                  <c:v>1488.3550000000002</c:v>
                </c:pt>
                <c:pt idx="2">
                  <c:v>1528.0250000000001</c:v>
                </c:pt>
                <c:pt idx="3">
                  <c:v>1440.0370000000003</c:v>
                </c:pt>
                <c:pt idx="4">
                  <c:v>1402.0249999999999</c:v>
                </c:pt>
                <c:pt idx="5">
                  <c:v>1435.0720000000003</c:v>
                </c:pt>
                <c:pt idx="6">
                  <c:v>1518.4860000000003</c:v>
                </c:pt>
                <c:pt idx="7">
                  <c:v>1458.2800000000002</c:v>
                </c:pt>
                <c:pt idx="8">
                  <c:v>1564.6979999999999</c:v>
                </c:pt>
                <c:pt idx="9">
                  <c:v>1763.999</c:v>
                </c:pt>
                <c:pt idx="10">
                  <c:v>1763.999</c:v>
                </c:pt>
                <c:pt idx="11">
                  <c:v>1763.999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903220</xdr:colOff>
      <xdr:row>3</xdr:row>
      <xdr:rowOff>120488</xdr:rowOff>
    </xdr:from>
    <xdr:to>
      <xdr:col>16</xdr:col>
      <xdr:colOff>378223</xdr:colOff>
      <xdr:row>16</xdr:row>
      <xdr:rowOff>11510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eveth Lima Ferreira (SGT)" id="{5D574A71-D655-4786-B45F-11408C602995}" userId="S::deveth@aneel.gov.br::177e9118-4902-419f-a34c-25e1ff795fbe" providerId="AD"/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41.642871412034" createdVersion="4" refreshedVersion="7" minRefreshableVersion="3" recordCount="53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4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3-02T00:00:00" count="56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18-05-01T00:00:00" u="1"/>
        <d v="2019-05-01T00:00:00" u="1"/>
        <d v="2020-05-01T00:00:00" u="1"/>
        <d v="2018-04-01T00:00:00" u="1"/>
        <d v="2019-04-01T00:00:00" u="1"/>
        <d v="2020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964"/>
    </cacheField>
    <cacheField name="Daj" numFmtId="4">
      <sharedItems containsSemiMixedTypes="0" containsString="0" containsNumber="1" minValue="0" maxValue="964"/>
    </cacheField>
    <cacheField name="TUSD_E" numFmtId="4">
      <sharedItems containsSemiMixedTypes="0" containsString="0" containsNumber="1" minValue="-100.111" maxValue="963.36699999999996"/>
    </cacheField>
    <cacheField name="TUSD_Eaj" numFmtId="4">
      <sharedItems containsSemiMixedTypes="0" containsString="0" containsNumber="1" minValue="-100.111" maxValue="963.36699999999996"/>
    </cacheField>
    <cacheField name="TE_E" numFmtId="4">
      <sharedItems containsSemiMixedTypes="0" containsString="0" containsNumber="1" minValue="-100.111" maxValue="963.36699999999996"/>
    </cacheField>
    <cacheField name="TE_Eaj" numFmtId="4">
      <sharedItems containsSemiMixedTypes="0" containsString="0" containsNumber="1" minValue="-100.111" maxValue="963.36699999999996"/>
    </cacheField>
    <cacheField name="TUSD/KW" numFmtId="4">
      <sharedItems containsString="0" containsBlank="1" containsNumber="1" minValue="73.75" maxValue="193.63"/>
    </cacheField>
    <cacheField name="TUSD/MWh" numFmtId="4">
      <sharedItems containsString="0" containsBlank="1" containsNumber="1" minValue="94.17" maxValue="4750.8599999999997"/>
    </cacheField>
    <cacheField name="TE" numFmtId="4">
      <sharedItems containsString="0" containsBlank="1" containsNumber="1" minValue="113.89" maxValue="207.07"/>
    </cacheField>
    <cacheField name="ReceitaD" numFmtId="4">
      <sharedItems containsString="0" containsBlank="1" containsNumber="1" minValue="4277.5" maxValue="71095"/>
    </cacheField>
    <cacheField name="ReceitaE" numFmtId="4">
      <sharedItems containsString="0" containsBlank="1" containsNumber="1" minValue="-110554.57952" maxValue="1063865.4454399999"/>
    </cacheField>
    <cacheField name="Total" numFmtId="4">
      <sharedItems containsString="0" containsBlank="1" containsNumber="1" minValue="-110554.57952" maxValue="1063865.4454399999"/>
    </cacheField>
    <cacheField name="Total com Tar de aplicação" numFmtId="4">
      <sharedItems containsString="0" containsBlank="1" containsNumber="1" minValue="-110889.95137" maxValue="1067092.724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7884.7676036610364" maxValue="75875.02783945940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976.866209416788" maxValue="192237.15345533678"/>
    </cacheField>
    <cacheField name="DISTRIBUICAO" numFmtId="4">
      <sharedItems containsString="0" containsBlank="1" containsNumber="1" minValue="-57433.208976270624" maxValue="552679.10850798513"/>
    </cacheField>
    <cacheField name="EnergiaRevenda" numFmtId="4">
      <sharedItems containsString="0" containsBlank="1" containsNumber="1" minValue="-20730.482344654385" maxValue="199489.1928451684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02.0039552751845" maxValue="9642.272521317223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8.80416831454681" maxValue="2682.92930064308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248.6345998683005" maxValue="31261.5733393066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78.72" maxValue="2050.15"/>
    </cacheField>
    <cacheField name="Cofins" numFmtId="4">
      <sharedItems containsSemiMixedTypes="0" containsString="0" containsNumber="1" minValue="-3594.03" maxValue="9494.07"/>
    </cacheField>
    <cacheField name="ICMS" numFmtId="4">
      <sharedItems containsSemiMixedTypes="0" containsString="0" containsNumber="1" containsInteger="1" minValue="0" maxValue="0"/>
    </cacheField>
    <cacheField name="UC" numFmtId="4">
      <sharedItems containsSemiMixedTypes="0" containsString="0" containsNumber="1" containsInteger="1" minValue="0" maxValue="6305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8.94679999999977" maxValue="1470.0331637999998"/>
    </cacheField>
    <cacheField name="Subs_Rural" numFmtId="4">
      <sharedItems containsString="0" containsBlank="1" containsNumber="1" minValue="-41.072280000000006" maxValue="8496.9110000000001"/>
    </cacheField>
    <cacheField name="Subs_Irrigante" numFmtId="4">
      <sharedItems containsString="0" containsBlank="1" containsNumber="1" minValue="2.1533100000000003" maxValue="3401.7838400000001"/>
    </cacheField>
    <cacheField name="Subs_BaixaRenda" numFmtId="4">
      <sharedItems containsString="0" containsBlank="1" containsNumber="1" minValue="159.87207999999993" maxValue="2306.49207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3979.116944522684" maxValue="230750.766184475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0888.8437" maxValue="1067096.0479000001"/>
    </cacheField>
    <cacheField name="FinAj" numFmtId="4">
      <sharedItems containsSemiMixedTypes="0" containsString="0" containsNumber="1" minValue="-570.06657999999879" maxValue="4401.833359999996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8775.772290000004" maxValue="2990.3155700000007"/>
    </cacheField>
    <cacheField name="FinPostTE" numFmtId="4">
      <sharedItems containsSemiMixedTypes="0" containsString="0" containsNumber="1" minValue="-3325.6874200000002" maxValue="32003.051739999999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7429.1491774283422" maxValue="71490.6169712779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296.459158739126" maxValue="41344.77700129890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147.0638872274576" maxValue="30284.15954137558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93.17041745915594" maxValue="4745.7732472592907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167.3486988089717" maxValue="433.0617984490490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32.61035223643557" maxValue="55.347707543170714"/>
    </cacheField>
    <cacheField name="finCT_TFSEE" numFmtId="4">
      <sharedItems containsString="0" containsBlank="1" containsNumber="1" minValue="-184.13376761038353" maxValue="19.134780005172615"/>
    </cacheField>
    <cacheField name="FINCT_Liminar" numFmtId="4">
      <sharedItems containsString="0" containsBlank="1" containsNumber="1" containsInteger="1" minValue="0" maxValue="0"/>
    </cacheField>
    <cacheField name="FinCT_Posterg" numFmtId="4">
      <sharedItems containsString="0" containsBlank="1" containsNumber="1" minValue="-1752.0226391141589" maxValue="16859.69367777257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2.1141614231656" maxValue="43082.725027791923"/>
    </cacheField>
    <cacheField name="DIST_E" numFmtId="4">
      <sharedItems containsString="0" containsBlank="1" containsNumber="1" minValue="-57433.208976270624" maxValue="552679.108507985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8775.772289999994" maxValue="2990.3155700000061"/>
    </cacheField>
    <cacheField name="Fin_TE" numFmtId="4">
      <sharedItems containsString="0" containsBlank="1" containsNumber="1" minValue="-3325.687420000002" maxValue="32003.05173999999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5122.209576519381" maxValue="8845.71458531892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6" maxValue="25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63.36699999999996"/>
    <n v="963.36699999999996"/>
    <n v="963.36699999999996"/>
    <n v="963.36699999999996"/>
    <m/>
    <n v="897.25"/>
    <n v="207.07"/>
    <m/>
    <n v="1063865.4454399999"/>
    <n v="1063865.4454399999"/>
    <n v="1067092.72489"/>
    <n v="0"/>
    <n v="75875.027839459406"/>
    <n v="0"/>
    <n v="0"/>
    <n v="0"/>
    <n v="192237.15345533678"/>
    <n v="552679.10850798513"/>
    <n v="199489.19284516847"/>
    <n v="0"/>
    <n v="0"/>
    <n v="0"/>
    <n v="0"/>
    <n v="0"/>
    <n v="9642.2725213172234"/>
    <m/>
    <n v="2682.9293006430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61.573339306618"/>
    <n v="0"/>
    <n v="1360.91"/>
    <n v="6318.7"/>
    <n v="0"/>
    <n v="6188"/>
    <m/>
    <m/>
    <m/>
    <m/>
    <m/>
    <m/>
    <m/>
    <m/>
    <m/>
    <n v="230750.7661844751"/>
    <m/>
    <m/>
    <m/>
    <m/>
    <m/>
    <m/>
    <m/>
    <m/>
    <m/>
    <m/>
    <m/>
    <m/>
    <n v="1067096.0479000001"/>
    <n v="3230.5724600001704"/>
    <m/>
    <m/>
    <m/>
    <m/>
    <n v="-28775.772290000004"/>
    <n v="32003.051739999999"/>
    <n v="30"/>
    <n v="71490.616971277923"/>
    <n v="0"/>
    <n v="0"/>
    <n v="0"/>
    <n v="0"/>
    <n v="0"/>
    <n v="0"/>
    <n v="0"/>
    <n v="41344.777001298906"/>
    <n v="0"/>
    <n v="0"/>
    <n v="30284.159541375586"/>
    <n v="0"/>
    <n v="0"/>
    <n v="0"/>
    <n v="4745.7732472592907"/>
    <n v="0"/>
    <n v="-4167.3486988089717"/>
    <m/>
    <n v="0"/>
    <n v="0"/>
    <n v="0"/>
    <n v="0"/>
    <n v="-532.61035223643557"/>
    <n v="-184.13376761038353"/>
    <n v="0"/>
    <n v="16859.693677772571"/>
    <m/>
    <m/>
    <m/>
    <n v="552679.10850798513"/>
    <n v="0"/>
    <n v="0"/>
    <n v="-28775.772289999994"/>
    <n v="32003.051739999995"/>
    <n v="0"/>
    <n v="0"/>
    <n v="-85122.20957651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56"/>
    <n v="-1.056"/>
    <n v="-1.056"/>
    <n v="-1.056"/>
    <m/>
    <n v="897.25"/>
    <n v="207.07"/>
    <m/>
    <n v="-1166.16192"/>
    <n v="-1166.16192"/>
    <n v="-1169.6995200000001"/>
    <n v="0"/>
    <n v="-83.170826277492523"/>
    <n v="0"/>
    <n v="0"/>
    <n v="0"/>
    <n v="-210.7218059668181"/>
    <n v="-605.82222412064391"/>
    <n v="-218.67116856244601"/>
    <n v="0"/>
    <n v="0"/>
    <n v="0"/>
    <n v="0"/>
    <n v="0"/>
    <n v="-10.569429700738128"/>
    <m/>
    <n v="-2.940907609954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267544400324894"/>
    <n v="0"/>
    <n v="0"/>
    <n v="0"/>
    <n v="0"/>
    <n v="0"/>
    <m/>
    <m/>
    <m/>
    <m/>
    <m/>
    <m/>
    <m/>
    <m/>
    <m/>
    <n v="-252.93871296277092"/>
    <m/>
    <m/>
    <m/>
    <m/>
    <m/>
    <m/>
    <m/>
    <m/>
    <m/>
    <m/>
    <m/>
    <m/>
    <n v="-1174.1302000000001"/>
    <n v="-7.9982800000000225"/>
    <m/>
    <m/>
    <m/>
    <m/>
    <n v="31.542720000000006"/>
    <n v="-35.08032"/>
    <n v="30"/>
    <n v="-78.364830351952605"/>
    <n v="0"/>
    <n v="0"/>
    <n v="0"/>
    <n v="0"/>
    <n v="0"/>
    <n v="0"/>
    <n v="0"/>
    <n v="-45.320303179755655"/>
    <n v="0"/>
    <n v="0"/>
    <n v="-33.196146926034032"/>
    <n v="0"/>
    <n v="0"/>
    <n v="0"/>
    <n v="-5.2021052715173042"/>
    <n v="0"/>
    <n v="4.5680620427544909"/>
    <m/>
    <n v="0"/>
    <n v="0"/>
    <n v="0"/>
    <n v="0"/>
    <n v="0.58382374729638364"/>
    <n v="0.20183923530343639"/>
    <n v="0"/>
    <n v="-18.48084533072841"/>
    <m/>
    <m/>
    <m/>
    <n v="-605.82222412064391"/>
    <n v="0"/>
    <n v="0"/>
    <n v="31.542720000000031"/>
    <n v="-35.08032"/>
    <n v="0"/>
    <n v="0"/>
    <n v="93.30717505665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.0199999999999996"/>
    <n v="4.0199999999999996"/>
    <n v="4.0199999999999996"/>
    <n v="4.0199999999999996"/>
    <m/>
    <n v="897.25"/>
    <n v="207.07"/>
    <m/>
    <n v="4439.3663999999999"/>
    <n v="4439.3663999999999"/>
    <n v="4452.8333999999995"/>
    <n v="0"/>
    <n v="316.61621366999992"/>
    <n v="0"/>
    <n v="0"/>
    <n v="0"/>
    <n v="802.17960226004607"/>
    <n v="2306.2550577319962"/>
    <n v="832.44138032294779"/>
    <n v="0"/>
    <n v="0"/>
    <n v="0"/>
    <n v="0"/>
    <n v="0"/>
    <n v="40.235897156219004"/>
    <m/>
    <n v="11.19550056062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4503110694186"/>
    <n v="0"/>
    <n v="9.26"/>
    <n v="42.78"/>
    <n v="0"/>
    <n v="30"/>
    <m/>
    <m/>
    <m/>
    <m/>
    <m/>
    <m/>
    <m/>
    <m/>
    <m/>
    <n v="962.8916913923664"/>
    <m/>
    <m/>
    <m/>
    <m/>
    <m/>
    <m/>
    <m/>
    <m/>
    <m/>
    <m/>
    <m/>
    <m/>
    <n v="4452.8333999999995"/>
    <n v="13.436999999998989"/>
    <m/>
    <m/>
    <m/>
    <m/>
    <n v="-120.07740000000001"/>
    <n v="133.54439999999997"/>
    <n v="30"/>
    <n v="298.32066099891063"/>
    <n v="0"/>
    <n v="0"/>
    <n v="0"/>
    <n v="0"/>
    <n v="0"/>
    <n v="0"/>
    <n v="0"/>
    <n v="172.52615415020614"/>
    <n v="0"/>
    <n v="0"/>
    <n v="126.37169568433399"/>
    <n v="0"/>
    <n v="0"/>
    <n v="0"/>
    <n v="19.80346893134427"/>
    <n v="0"/>
    <n v="-17.389781640031345"/>
    <m/>
    <n v="0"/>
    <n v="0"/>
    <n v="0"/>
    <n v="0"/>
    <n v="-2.2225108561850959"/>
    <n v="-0.76836527075739802"/>
    <n v="0"/>
    <n v="70.353218020386549"/>
    <m/>
    <m/>
    <m/>
    <n v="2306.2550577319962"/>
    <n v="0"/>
    <n v="0"/>
    <n v="-120.07740000000013"/>
    <n v="133.5444"/>
    <n v="0"/>
    <n v="0"/>
    <n v="-355.2034504997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.95"/>
    <n v="1.95"/>
    <n v="1.95"/>
    <n v="1.95"/>
    <m/>
    <n v="808.48"/>
    <n v="207.07"/>
    <m/>
    <n v="1980.3225"/>
    <n v="1980.3225"/>
    <n v="1993.3289999999997"/>
    <n v="0"/>
    <n v="0"/>
    <n v="0"/>
    <n v="0"/>
    <n v="0"/>
    <n v="389.11697124554479"/>
    <n v="1118.7058115864163"/>
    <n v="403.79619194769856"/>
    <n v="0"/>
    <n v="0"/>
    <n v="0"/>
    <n v="0"/>
    <n v="0"/>
    <n v="0"/>
    <m/>
    <n v="5.4306532570183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78135966509033"/>
    <n v="0"/>
    <n v="1.88"/>
    <n v="8.65"/>
    <n v="0"/>
    <n v="2"/>
    <m/>
    <m/>
    <m/>
    <m/>
    <m/>
    <m/>
    <m/>
    <n v="1295.6579999999999"/>
    <m/>
    <n v="467.07432791420757"/>
    <m/>
    <m/>
    <m/>
    <m/>
    <m/>
    <m/>
    <m/>
    <m/>
    <m/>
    <m/>
    <m/>
    <m/>
    <n v="697.67100000000005"/>
    <n v="4.5135000000000218"/>
    <m/>
    <m/>
    <m/>
    <m/>
    <n v="-51.772500000000129"/>
    <n v="64.778999999999996"/>
    <n v="30"/>
    <n v="154.22120878494968"/>
    <n v="0"/>
    <n v="0"/>
    <n v="0"/>
    <n v="0"/>
    <n v="0"/>
    <n v="0"/>
    <n v="0"/>
    <n v="83.688059848980572"/>
    <n v="0"/>
    <n v="0"/>
    <n v="61.299703130460557"/>
    <n v="0"/>
    <n v="0"/>
    <n v="0"/>
    <n v="9.6061603025177433"/>
    <n v="0"/>
    <n v="0"/>
    <m/>
    <n v="0"/>
    <n v="0"/>
    <n v="0"/>
    <n v="0"/>
    <n v="0"/>
    <n v="-0.37271449700918513"/>
    <n v="0"/>
    <n v="31.093929159485633"/>
    <m/>
    <m/>
    <m/>
    <n v="1118.7058115864163"/>
    <n v="0"/>
    <n v="0"/>
    <n v="-51.772500000000264"/>
    <n v="64.778999999999996"/>
    <n v="0"/>
    <n v="0"/>
    <n v="-172.3001812125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549999999999999"/>
    <n v="4.2549999999999999"/>
    <n v="4.2549999999999999"/>
    <n v="4.2549999999999999"/>
    <m/>
    <n v="808.48"/>
    <n v="207.07"/>
    <m/>
    <n v="4321.16525"/>
    <n v="4321.16525"/>
    <n v="4349.5460999999996"/>
    <n v="0"/>
    <n v="0"/>
    <n v="0"/>
    <n v="0"/>
    <n v="0"/>
    <n v="849.07318597425285"/>
    <n v="2441.0734504103593"/>
    <n v="881.10399832690121"/>
    <n v="0"/>
    <n v="0"/>
    <n v="0"/>
    <n v="0"/>
    <n v="0"/>
    <n v="0"/>
    <m/>
    <n v="11.849963901852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7613771153638"/>
    <n v="0"/>
    <n v="6.65"/>
    <n v="30.79"/>
    <n v="0"/>
    <n v="7"/>
    <m/>
    <m/>
    <m/>
    <m/>
    <m/>
    <m/>
    <m/>
    <n v="1739.7843999999996"/>
    <m/>
    <n v="1019.1801360384376"/>
    <m/>
    <m/>
    <m/>
    <m/>
    <m/>
    <m/>
    <m/>
    <m/>
    <m/>
    <m/>
    <m/>
    <m/>
    <n v="2612.8283999999999"/>
    <n v="20.099249999999302"/>
    <m/>
    <m/>
    <m/>
    <m/>
    <n v="-112.97025000000029"/>
    <n v="141.3511"/>
    <n v="30"/>
    <n v="336.51858634869768"/>
    <n v="0"/>
    <n v="0"/>
    <n v="0"/>
    <n v="0"/>
    <n v="0"/>
    <n v="0"/>
    <n v="0"/>
    <n v="182.61163828585256"/>
    <n v="0"/>
    <n v="0"/>
    <n v="133.75909580518453"/>
    <n v="0"/>
    <n v="0"/>
    <n v="0"/>
    <n v="20.961134403698992"/>
    <n v="0"/>
    <n v="0"/>
    <m/>
    <n v="0"/>
    <n v="0"/>
    <n v="0"/>
    <n v="0"/>
    <n v="0"/>
    <n v="-0.81328214603799154"/>
    <n v="0"/>
    <n v="67.848547986467366"/>
    <m/>
    <m/>
    <m/>
    <n v="2441.0734504103593"/>
    <n v="0"/>
    <n v="0"/>
    <n v="-112.97024999999985"/>
    <n v="141.35110000000009"/>
    <n v="0"/>
    <n v="0"/>
    <n v="-375.9678313125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0590000000000002"/>
    <n v="4.0590000000000002"/>
    <n v="4.0590000000000002"/>
    <n v="4.0590000000000002"/>
    <m/>
    <n v="808.48"/>
    <n v="207.07"/>
    <m/>
    <n v="4122.1174499999997"/>
    <n v="4122.1174499999997"/>
    <n v="4149.1909800000003"/>
    <n v="0"/>
    <n v="0"/>
    <n v="0"/>
    <n v="0"/>
    <n v="0"/>
    <n v="809.96194168495708"/>
    <n v="2328.629173963725"/>
    <n v="840.51730416190185"/>
    <n v="0"/>
    <n v="0"/>
    <n v="0"/>
    <n v="0"/>
    <n v="0"/>
    <n v="0"/>
    <m/>
    <n v="11.3041136257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1587378874881"/>
    <n v="0"/>
    <n v="8.27"/>
    <n v="38.659999999999997"/>
    <n v="0"/>
    <n v="47"/>
    <m/>
    <m/>
    <m/>
    <m/>
    <m/>
    <m/>
    <m/>
    <n v="414.91097999999977"/>
    <m/>
    <n v="972.23317795065066"/>
    <m/>
    <m/>
    <m/>
    <m/>
    <m/>
    <m/>
    <m/>
    <m/>
    <m/>
    <m/>
    <m/>
    <m/>
    <n v="3735.1999999999994"/>
    <n v="25.243999999998323"/>
    <m/>
    <m/>
    <m/>
    <m/>
    <n v="-107.76645000000028"/>
    <n v="134.83998"/>
    <n v="30"/>
    <n v="321.01737767082614"/>
    <n v="0"/>
    <n v="0"/>
    <n v="0"/>
    <n v="0"/>
    <n v="0"/>
    <n v="0"/>
    <n v="0"/>
    <n v="174.19991534718577"/>
    <n v="0"/>
    <n v="0"/>
    <n v="127.59768974694327"/>
    <n v="0"/>
    <n v="0"/>
    <n v="0"/>
    <n v="19.995592137394624"/>
    <n v="0"/>
    <n v="0"/>
    <m/>
    <n v="0"/>
    <n v="0"/>
    <n v="0"/>
    <n v="0"/>
    <n v="0"/>
    <n v="-0.77581956069758284"/>
    <n v="0"/>
    <n v="64.72320946582164"/>
    <m/>
    <m/>
    <m/>
    <n v="2328.629173963725"/>
    <n v="0"/>
    <n v="0"/>
    <n v="-107.76645000000008"/>
    <n v="134.83998000000008"/>
    <n v="0"/>
    <n v="0"/>
    <n v="-358.6494541240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7699999999999998"/>
    <n v="0.97699999999999998"/>
    <n v="0.97699999999999998"/>
    <n v="0.97699999999999998"/>
    <m/>
    <n v="808.48"/>
    <n v="207.07"/>
    <m/>
    <n v="992.19235000000003"/>
    <n v="992.19235000000003"/>
    <n v="998.70893999999998"/>
    <n v="0"/>
    <n v="0"/>
    <n v="0"/>
    <n v="0"/>
    <n v="0"/>
    <n v="194.957579952255"/>
    <n v="560.50029636919419"/>
    <n v="202.31224591430845"/>
    <n v="0"/>
    <n v="0"/>
    <n v="0"/>
    <n v="0"/>
    <n v="0"/>
    <n v="0"/>
    <m/>
    <n v="2.7208965292856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03968635527861"/>
    <n v="0"/>
    <n v="1.95"/>
    <n v="9.07"/>
    <n v="0"/>
    <n v="9"/>
    <m/>
    <m/>
    <m/>
    <m/>
    <m/>
    <m/>
    <m/>
    <m/>
    <m/>
    <n v="234.01621454983632"/>
    <m/>
    <m/>
    <m/>
    <m/>
    <m/>
    <m/>
    <m/>
    <m/>
    <m/>
    <m/>
    <m/>
    <m/>
    <n v="1001.7755999999999"/>
    <n v="9.5532499999999345"/>
    <m/>
    <m/>
    <m/>
    <m/>
    <n v="-25.939350000000065"/>
    <n v="32.455939999999998"/>
    <n v="30"/>
    <n v="77.268779991228655"/>
    <n v="0"/>
    <n v="0"/>
    <n v="0"/>
    <n v="0"/>
    <n v="0"/>
    <n v="0"/>
    <n v="0"/>
    <n v="41.929863832027706"/>
    <n v="0"/>
    <n v="0"/>
    <n v="30.712723055620501"/>
    <n v="0"/>
    <n v="0"/>
    <n v="0"/>
    <n v="4.8129326233640164"/>
    <n v="0"/>
    <n v="0"/>
    <m/>
    <n v="0"/>
    <n v="0"/>
    <n v="0"/>
    <n v="0"/>
    <n v="0"/>
    <n v="-0.18673951978357684"/>
    <n v="0"/>
    <n v="15.578855789137162"/>
    <m/>
    <m/>
    <m/>
    <n v="560.50029636919419"/>
    <n v="0"/>
    <n v="0"/>
    <n v="-25.93934999999999"/>
    <n v="32.455939999999998"/>
    <n v="0"/>
    <n v="0"/>
    <n v="-86.32680874086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6.56"/>
    <n v="6.56"/>
    <n v="6.56"/>
    <n v="6.56"/>
    <m/>
    <n v="897.25"/>
    <n v="207.07"/>
    <m/>
    <n v="7244.3392000000003"/>
    <n v="7244.3392000000003"/>
    <n v="7266.3151999999991"/>
    <n v="0"/>
    <n v="516.66725414805956"/>
    <n v="0"/>
    <n v="0"/>
    <n v="0"/>
    <n v="1309.0294007029609"/>
    <n v="3763.4410892343026"/>
    <n v="1358.4118047061038"/>
    <n v="0"/>
    <n v="0"/>
    <n v="0"/>
    <n v="0"/>
    <n v="0"/>
    <n v="65.65857844397928"/>
    <m/>
    <n v="18.269274546687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7413945656371"/>
    <n v="0"/>
    <n v="0"/>
    <n v="0"/>
    <n v="0"/>
    <n v="9"/>
    <m/>
    <m/>
    <m/>
    <m/>
    <m/>
    <m/>
    <m/>
    <m/>
    <m/>
    <n v="1571.2859441626674"/>
    <m/>
    <m/>
    <m/>
    <m/>
    <m/>
    <m/>
    <m/>
    <m/>
    <m/>
    <m/>
    <m/>
    <m/>
    <n v="7266.3151999999991"/>
    <n v="21.945999999998094"/>
    <m/>
    <m/>
    <m/>
    <m/>
    <n v="-195.94720000000001"/>
    <n v="217.92319999999998"/>
    <n v="30"/>
    <n v="486.81182491364552"/>
    <n v="0"/>
    <n v="0"/>
    <n v="0"/>
    <n v="0"/>
    <n v="0"/>
    <n v="0"/>
    <n v="0"/>
    <n v="281.5352167227245"/>
    <n v="0"/>
    <n v="0"/>
    <n v="206.2184884799085"/>
    <n v="0"/>
    <n v="0"/>
    <n v="0"/>
    <n v="32.316108504880219"/>
    <n v="0"/>
    <n v="-28.377355114080956"/>
    <m/>
    <n v="0"/>
    <n v="0"/>
    <n v="0"/>
    <n v="0"/>
    <n v="-3.6267838847199627"/>
    <n v="-1.2538497950667988"/>
    <n v="0"/>
    <n v="114.80525129694919"/>
    <m/>
    <m/>
    <m/>
    <n v="3763.4410892343026"/>
    <n v="0"/>
    <n v="0"/>
    <n v="-195.94720000000052"/>
    <n v="217.92319999999995"/>
    <n v="0"/>
    <n v="0"/>
    <n v="-579.6354814125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.2130000000000001"/>
    <n v="1.2130000000000001"/>
    <n v="1.2130000000000001"/>
    <n v="1.2130000000000001"/>
    <m/>
    <n v="4750.8599999999997"/>
    <n v="207.07"/>
    <m/>
    <n v="6013.9690899999996"/>
    <n v="6013.9690899999996"/>
    <n v="5858.7536100000007"/>
    <n v="0"/>
    <n v="83.116481703504306"/>
    <n v="0"/>
    <n v="0"/>
    <n v="0"/>
    <n v="1561.5403995435738"/>
    <n v="4087.0261334997331"/>
    <n v="251.18193888849149"/>
    <n v="0"/>
    <n v="0"/>
    <n v="0"/>
    <n v="0"/>
    <n v="0"/>
    <n v="12.140831654351658"/>
    <m/>
    <n v="2.1947283938883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73861369230119"/>
    <n v="0"/>
    <n v="0"/>
    <n v="0"/>
    <n v="0"/>
    <n v="0"/>
    <m/>
    <m/>
    <m/>
    <m/>
    <m/>
    <m/>
    <m/>
    <m/>
    <m/>
    <n v="267.95580025772159"/>
    <m/>
    <m/>
    <m/>
    <m/>
    <m/>
    <m/>
    <m/>
    <m/>
    <m/>
    <m/>
    <m/>
    <m/>
    <n v="5844.2637000000004"/>
    <n v="-169.73538999999982"/>
    <m/>
    <m/>
    <m/>
    <m/>
    <n v="-195.51133999999925"/>
    <n v="40.295860000000005"/>
    <n v="30"/>
    <n v="371.13483961825682"/>
    <n v="0"/>
    <n v="0"/>
    <n v="0"/>
    <n v="0"/>
    <n v="0"/>
    <n v="0"/>
    <n v="0"/>
    <n v="335.84319387380901"/>
    <n v="0"/>
    <n v="0"/>
    <n v="38.13155892166597"/>
    <n v="0"/>
    <n v="0"/>
    <n v="0"/>
    <n v="2.5464151044260426"/>
    <n v="0"/>
    <n v="-4.5650772294878976"/>
    <m/>
    <n v="0"/>
    <n v="0"/>
    <n v="0"/>
    <n v="0"/>
    <n v="-0.67062330063495601"/>
    <n v="-0.15062775152191321"/>
    <n v="0"/>
    <n v="103.12239847134629"/>
    <m/>
    <m/>
    <m/>
    <n v="4087.0261334997331"/>
    <n v="0"/>
    <n v="0"/>
    <n v="-195.51133999999911"/>
    <n v="40.295859999999976"/>
    <n v="0"/>
    <n v="0"/>
    <n v="-629.4732146102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91.784999999999997"/>
    <n v="91.784999999999997"/>
    <n v="91.784999999999997"/>
    <n v="91.784999999999997"/>
    <m/>
    <n v="94.17"/>
    <n v="207.07"/>
    <m/>
    <n v="27649.313399999999"/>
    <n v="27649.313399999999"/>
    <n v="30635.079449999997"/>
    <n v="0"/>
    <n v="6289.2384774576603"/>
    <n v="0"/>
    <n v="0"/>
    <n v="0"/>
    <n v="0"/>
    <n v="0"/>
    <n v="19006.376142522826"/>
    <n v="0"/>
    <n v="0"/>
    <n v="0"/>
    <n v="0"/>
    <n v="0"/>
    <n v="918.6696070854631"/>
    <m/>
    <n v="166.0701942564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9.2406148184555"/>
    <n v="0"/>
    <n v="0"/>
    <n v="0"/>
    <n v="0"/>
    <n v="0"/>
    <m/>
    <m/>
    <m/>
    <m/>
    <m/>
    <m/>
    <m/>
    <m/>
    <m/>
    <n v="20275.616757341282"/>
    <m/>
    <m/>
    <m/>
    <m/>
    <m/>
    <m/>
    <m/>
    <m/>
    <m/>
    <m/>
    <m/>
    <m/>
    <n v="30636.748300000003"/>
    <n v="2987.404900000005"/>
    <m/>
    <m/>
    <m/>
    <m/>
    <n v="-63.33164999999979"/>
    <n v="3049.0976999999998"/>
    <n v="30"/>
    <n v="2670.4399873487964"/>
    <n v="0"/>
    <n v="0"/>
    <n v="0"/>
    <n v="0"/>
    <n v="0"/>
    <n v="0"/>
    <n v="0"/>
    <n v="0"/>
    <n v="0"/>
    <n v="0"/>
    <n v="2885.3298727329857"/>
    <n v="0"/>
    <n v="0"/>
    <n v="0"/>
    <n v="192.68154192889028"/>
    <n v="0"/>
    <n v="-345.42919497819184"/>
    <m/>
    <n v="0"/>
    <n v="0"/>
    <n v="0"/>
    <n v="0"/>
    <n v="-50.744566899241022"/>
    <n v="-11.397665435646132"/>
    <n v="0"/>
    <n v="314.93488781763153"/>
    <m/>
    <m/>
    <m/>
    <n v="0"/>
    <n v="0"/>
    <n v="0"/>
    <n v="-63.331650000000081"/>
    <n v="3049.0976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Não se aplica"/>
    <s v="CATIVO"/>
    <x v="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"/>
    <s v="Regular"/>
    <s v="Convencional"/>
    <s v="B3"/>
    <s v="Comercial"/>
    <s v="Não se aplica"/>
    <s v="Não se aplica"/>
    <s v="Não se aplica"/>
    <s v="Não se aplica"/>
    <s v="CATIVO"/>
    <x v="0"/>
    <n v="0"/>
    <n v="0"/>
    <n v="114.044"/>
    <n v="114.044"/>
    <n v="114.044"/>
    <n v="114.044"/>
    <m/>
    <n v="897.25"/>
    <n v="207.07"/>
    <m/>
    <n v="125941.07007999999"/>
    <n v="125941.07007999999"/>
    <n v="126323.11747999999"/>
    <n v="0"/>
    <n v="8982.1341969605655"/>
    <n v="0"/>
    <n v="0"/>
    <n v="0"/>
    <n v="22757.156855757388"/>
    <n v="65426.505423877563"/>
    <n v="23615.657904863248"/>
    <n v="0"/>
    <n v="0"/>
    <n v="0"/>
    <n v="0"/>
    <n v="0"/>
    <n v="1141.4583719611544"/>
    <m/>
    <n v="317.6068820735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0.7649939305416"/>
    <n v="0"/>
    <n v="130.69999999999999"/>
    <n v="604.28"/>
    <n v="0"/>
    <n v="231"/>
    <m/>
    <m/>
    <m/>
    <m/>
    <m/>
    <m/>
    <m/>
    <m/>
    <m/>
    <n v="27316.422898793789"/>
    <m/>
    <m/>
    <m/>
    <m/>
    <m/>
    <m/>
    <m/>
    <m/>
    <m/>
    <m/>
    <m/>
    <m/>
    <n v="126318.68680000001"/>
    <n v="377.58672000003571"/>
    <m/>
    <m/>
    <m/>
    <m/>
    <n v="-3406.4942800000003"/>
    <n v="3788.5416799999998"/>
    <n v="30"/>
    <n v="8463.1048415322875"/>
    <n v="0"/>
    <n v="0"/>
    <n v="0"/>
    <n v="0"/>
    <n v="0"/>
    <n v="0"/>
    <n v="0"/>
    <n v="4894.4210755985332"/>
    <n v="0"/>
    <n v="0"/>
    <n v="3585.0581250308969"/>
    <n v="0"/>
    <n v="0"/>
    <n v="0"/>
    <n v="561.80766437965804"/>
    <n v="0"/>
    <n v="-493.33339735217305"/>
    <m/>
    <n v="0"/>
    <n v="0"/>
    <n v="0"/>
    <n v="0"/>
    <n v="-63.050753254421124"/>
    <n v="-21.797872870213098"/>
    <n v="0"/>
    <n v="1995.8612925166576"/>
    <m/>
    <m/>
    <m/>
    <n v="65426.505423877563"/>
    <n v="0"/>
    <n v="0"/>
    <n v="-3406.494279999999"/>
    <n v="3788.5416799999985"/>
    <n v="0"/>
    <n v="0"/>
    <n v="-10076.82146984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5000000000000004"/>
    <n v="0.55000000000000004"/>
    <n v="0.55000000000000004"/>
    <n v="0.55000000000000004"/>
    <m/>
    <n v="897.25"/>
    <n v="207.07"/>
    <m/>
    <n v="607.37600000000009"/>
    <n v="607.37600000000009"/>
    <n v="609.21850000000006"/>
    <n v="0"/>
    <n v="43.318138686194025"/>
    <n v="0"/>
    <n v="0"/>
    <n v="0"/>
    <n v="109.75094060771777"/>
    <n v="315.53240839616871"/>
    <n v="113.89123362627397"/>
    <n v="0"/>
    <n v="0"/>
    <n v="0"/>
    <n v="0"/>
    <n v="0"/>
    <n v="5.5049113024677752"/>
    <m/>
    <n v="1.531722713518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47679375169218"/>
    <n v="0"/>
    <n v="22.16"/>
    <n v="102.31"/>
    <n v="0"/>
    <n v="6"/>
    <m/>
    <m/>
    <m/>
    <m/>
    <m/>
    <m/>
    <m/>
    <m/>
    <m/>
    <n v="131.73891300144319"/>
    <m/>
    <m/>
    <m/>
    <m/>
    <m/>
    <m/>
    <m/>
    <m/>
    <m/>
    <m/>
    <m/>
    <m/>
    <n v="609.21850000000006"/>
    <n v="1.8125"/>
    <m/>
    <m/>
    <m/>
    <m/>
    <n v="-16.428500000000003"/>
    <n v="18.271000000000001"/>
    <n v="30"/>
    <n v="40.815015808308772"/>
    <n v="0"/>
    <n v="0"/>
    <n v="0"/>
    <n v="0"/>
    <n v="0"/>
    <n v="0"/>
    <n v="0"/>
    <n v="23.604324572789395"/>
    <n v="0"/>
    <n v="0"/>
    <n v="17.289659857309388"/>
    <n v="0"/>
    <n v="0"/>
    <n v="0"/>
    <n v="2.7094298289152619"/>
    <n v="0"/>
    <n v="-2.3791989806013021"/>
    <m/>
    <n v="0"/>
    <n v="0"/>
    <n v="0"/>
    <n v="0"/>
    <n v="-0.30407486838353304"/>
    <n v="-0.10512460172053961"/>
    <n v="0"/>
    <n v="9.6254402764210472"/>
    <m/>
    <m/>
    <m/>
    <n v="315.53240839616871"/>
    <n v="0"/>
    <n v="0"/>
    <n v="-16.428500000000042"/>
    <n v="18.271000000000001"/>
    <n v="0"/>
    <n v="0"/>
    <n v="-48.5974870086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"/>
    <s v="Regular"/>
    <s v="Azul"/>
    <s v="A4"/>
    <s v="Comercial"/>
    <s v="Não se aplica"/>
    <s v="Não se aplica"/>
    <s v="Não se aplica"/>
    <s v="Ponta"/>
    <s v="CATIVO"/>
    <x v="0"/>
    <n v="100"/>
    <n v="100"/>
    <n v="3.4089999999999998"/>
    <n v="3.4089999999999998"/>
    <n v="3.4089999999999998"/>
    <n v="3.4089999999999998"/>
    <n v="193.63"/>
    <n v="94.17"/>
    <n v="207.07"/>
    <n v="19363"/>
    <n v="1026.92716"/>
    <n v="20389.927159999999"/>
    <n v="19832.821930000002"/>
    <n v="0"/>
    <n v="233.58951865395397"/>
    <n v="0"/>
    <n v="0"/>
    <n v="0"/>
    <n v="5352.7545792855199"/>
    <n v="14009.762805225198"/>
    <n v="705.9185735126689"/>
    <n v="0"/>
    <n v="0"/>
    <n v="0"/>
    <n v="0"/>
    <n v="0"/>
    <n v="34.120441145659349"/>
    <m/>
    <n v="6.168037176228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1049800251835"/>
    <n v="0"/>
    <n v="0"/>
    <n v="0"/>
    <n v="0"/>
    <n v="0"/>
    <m/>
    <m/>
    <m/>
    <m/>
    <m/>
    <m/>
    <m/>
    <m/>
    <m/>
    <n v="753.05962331292073"/>
    <m/>
    <m/>
    <m/>
    <m/>
    <m/>
    <m/>
    <m/>
    <m/>
    <m/>
    <m/>
    <m/>
    <m/>
    <n v="19833.155700000003"/>
    <n v="-556.80145999999149"/>
    <m/>
    <m/>
    <m/>
    <m/>
    <n v="-670.3522100000007"/>
    <n v="113.24697999999999"/>
    <n v="30"/>
    <n v="1250.4093820679773"/>
    <n v="0"/>
    <n v="0"/>
    <n v="0"/>
    <n v="0"/>
    <n v="0"/>
    <n v="0"/>
    <n v="0"/>
    <n v="1151.2261831043998"/>
    <n v="0"/>
    <n v="0"/>
    <n v="107.16445537012316"/>
    <n v="0"/>
    <n v="0"/>
    <n v="0"/>
    <n v="7.1564131005674909"/>
    <n v="0"/>
    <n v="-12.829635841157653"/>
    <m/>
    <n v="0"/>
    <n v="0"/>
    <n v="0"/>
    <n v="0"/>
    <n v="-1.8847113205808412"/>
    <n v="-0.42332234537362012"/>
    <n v="0"/>
    <n v="350.91956540683617"/>
    <m/>
    <m/>
    <n v="14009.762805225198"/>
    <n v="0"/>
    <n v="0"/>
    <n v="0"/>
    <n v="-670.35220999999729"/>
    <n v="113.24698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Fora ponta"/>
    <s v="CATIVO"/>
    <x v="0"/>
    <n v="100"/>
    <n v="100"/>
    <n v="32.619"/>
    <n v="32.619"/>
    <n v="32.619"/>
    <n v="32.619"/>
    <n v="73.75"/>
    <n v="94.17"/>
    <n v="207.07"/>
    <n v="7375"/>
    <n v="9826.1475599999994"/>
    <n v="17201.147559999998"/>
    <n v="18328.243630000001"/>
    <n v="0"/>
    <n v="2235.1001786369388"/>
    <n v="0"/>
    <n v="0"/>
    <n v="0"/>
    <n v="2905.8255513392301"/>
    <n v="4469.1623472813199"/>
    <n v="6754.5784539189635"/>
    <n v="0"/>
    <n v="0"/>
    <n v="0"/>
    <n v="0"/>
    <n v="0"/>
    <n v="326.48127595490246"/>
    <m/>
    <n v="59.0188338666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06890684494414"/>
    <n v="0"/>
    <n v="0"/>
    <n v="0"/>
    <n v="0"/>
    <n v="0"/>
    <m/>
    <m/>
    <m/>
    <m/>
    <m/>
    <m/>
    <m/>
    <m/>
    <m/>
    <n v="7205.6473607639073"/>
    <m/>
    <m/>
    <m/>
    <m/>
    <m/>
    <m/>
    <m/>
    <m/>
    <m/>
    <m/>
    <m/>
    <m/>
    <n v="18328.577399999998"/>
    <n v="1127.3998399999982"/>
    <m/>
    <m/>
    <m/>
    <m/>
    <n v="43.492889999999733"/>
    <n v="1083.6031800000001"/>
    <n v="30"/>
    <n v="1573.9948851701647"/>
    <n v="0"/>
    <n v="0"/>
    <n v="0"/>
    <n v="0"/>
    <n v="0"/>
    <n v="0"/>
    <n v="0"/>
    <n v="624.9609259466497"/>
    <n v="0"/>
    <n v="0"/>
    <n v="1025.4025725192278"/>
    <n v="0"/>
    <n v="0"/>
    <n v="0"/>
    <n v="68.476104114817019"/>
    <n v="0"/>
    <n v="-122.7603084490238"/>
    <m/>
    <n v="0"/>
    <n v="0"/>
    <n v="0"/>
    <n v="0"/>
    <n v="-18.033851148731742"/>
    <n v="-4.0505578127726949"/>
    <n v="0"/>
    <n v="241.12953634975349"/>
    <m/>
    <m/>
    <n v="4469.1623472813199"/>
    <n v="0"/>
    <n v="0"/>
    <n v="0"/>
    <n v="43.492890000001353"/>
    <n v="1083.6031800000001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8.38"/>
    <n v="1146.369999999999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0.53400000000000003"/>
    <n v="0.53400000000000003"/>
    <n v="0.53400000000000003"/>
    <n v="0.53400000000000003"/>
    <m/>
    <n v="4750.8599999999997"/>
    <n v="207.07"/>
    <m/>
    <n v="2647.5346200000004"/>
    <n v="2647.5346200000004"/>
    <n v="2579.2039800000002"/>
    <n v="0"/>
    <n v="36.59043794696727"/>
    <n v="0"/>
    <n v="0"/>
    <n v="0"/>
    <n v="687.43823030195256"/>
    <n v="1799.234917797904"/>
    <n v="110.57803410260054"/>
    <n v="0"/>
    <n v="0"/>
    <n v="0"/>
    <n v="0"/>
    <n v="0"/>
    <n v="5.3447684282141674"/>
    <m/>
    <n v="0.96618710827400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84370957270308"/>
    <n v="0"/>
    <n v="0"/>
    <n v="0"/>
    <n v="0"/>
    <n v="0"/>
    <m/>
    <m/>
    <m/>
    <m/>
    <m/>
    <m/>
    <m/>
    <m/>
    <m/>
    <n v="117.96240505987085"/>
    <m/>
    <m/>
    <m/>
    <m/>
    <m/>
    <m/>
    <m/>
    <m/>
    <m/>
    <m/>
    <m/>
    <m/>
    <n v="2559.8841000000002"/>
    <n v="-87.680520000000797"/>
    <m/>
    <m/>
    <m/>
    <m/>
    <n v="-86.070119999999676"/>
    <n v="17.73948"/>
    <n v="30"/>
    <n v="163.38499946920774"/>
    <n v="0"/>
    <n v="0"/>
    <n v="0"/>
    <n v="0"/>
    <n v="0"/>
    <n v="0"/>
    <n v="0"/>
    <n v="147.84852887767022"/>
    <n v="0"/>
    <n v="0"/>
    <n v="16.786687934187668"/>
    <n v="0"/>
    <n v="0"/>
    <n v="0"/>
    <n v="1.1210104416846711"/>
    <n v="0"/>
    <n v="-2.0096877498322598"/>
    <m/>
    <n v="0"/>
    <n v="0"/>
    <n v="0"/>
    <n v="0"/>
    <n v="-0.29522905403055777"/>
    <n v="-6.631098047213646E-2"/>
    <n v="0"/>
    <n v="45.39765934352755"/>
    <m/>
    <m/>
    <m/>
    <n v="1799.234917797904"/>
    <n v="0"/>
    <n v="0"/>
    <n v="-86.070119999999861"/>
    <n v="17.739480000000015"/>
    <n v="0"/>
    <n v="0"/>
    <n v="-277.1135173964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75.804000000000002"/>
    <n v="75.804000000000002"/>
    <n v="75.804000000000002"/>
    <n v="75.804000000000002"/>
    <m/>
    <n v="94.17"/>
    <n v="207.07"/>
    <m/>
    <n v="22835.196960000001"/>
    <n v="22835.196960000001"/>
    <n v="25301.10108"/>
    <n v="0"/>
    <n v="5194.1976744043204"/>
    <n v="0"/>
    <n v="0"/>
    <n v="0"/>
    <n v="0"/>
    <n v="0"/>
    <n v="15697.111043283767"/>
    <n v="0"/>
    <n v="0"/>
    <n v="0"/>
    <n v="0"/>
    <n v="0"/>
    <n v="758.71690249503126"/>
    <m/>
    <n v="137.1551452352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2487940916076"/>
    <n v="0"/>
    <n v="0"/>
    <n v="0"/>
    <n v="0"/>
    <n v="0"/>
    <m/>
    <m/>
    <m/>
    <m/>
    <m/>
    <m/>
    <m/>
    <m/>
    <m/>
    <n v="16745.359837375374"/>
    <m/>
    <m/>
    <m/>
    <m/>
    <m/>
    <m/>
    <m/>
    <m/>
    <m/>
    <m/>
    <m/>
    <m/>
    <n v="25299.766"/>
    <n v="2464.5390399999997"/>
    <m/>
    <m/>
    <m/>
    <m/>
    <n v="-52.304759999999831"/>
    <n v="2518.2088800000001"/>
    <n v="30"/>
    <n v="2205.4805556571191"/>
    <n v="0"/>
    <n v="0"/>
    <n v="0"/>
    <n v="0"/>
    <n v="0"/>
    <n v="0"/>
    <n v="0"/>
    <n v="0"/>
    <n v="0"/>
    <n v="0"/>
    <n v="2382.9552287699662"/>
    <n v="0"/>
    <n v="0"/>
    <n v="0"/>
    <n v="159.13310022746214"/>
    <n v="0"/>
    <n v="-285.28533743124535"/>
    <m/>
    <n v="0"/>
    <n v="0"/>
    <n v="0"/>
    <n v="0"/>
    <n v="-41.909256950809663"/>
    <n v="-9.4131789582581007"/>
    <n v="0"/>
    <n v="260.1004982963201"/>
    <m/>
    <m/>
    <m/>
    <n v="0"/>
    <n v="0"/>
    <n v="0"/>
    <n v="-52.304759999999987"/>
    <n v="2518.20887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2482.39"/>
    <n v="207.07"/>
    <m/>
    <n v="59.168119999999995"/>
    <n v="59.168119999999995"/>
    <n v="57.803459999999994"/>
    <n v="0"/>
    <n v="1.7327255474477607"/>
    <n v="0"/>
    <n v="0"/>
    <n v="0"/>
    <n v="13.389630775187193"/>
    <n v="38.494938533819237"/>
    <n v="4.5556493450509583"/>
    <n v="0"/>
    <n v="0"/>
    <n v="0"/>
    <n v="0"/>
    <n v="0"/>
    <n v="0.220196452098711"/>
    <m/>
    <n v="6.12689085407200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390717500676859"/>
    <n v="0"/>
    <n v="0"/>
    <n v="0"/>
    <n v="0"/>
    <n v="0"/>
    <m/>
    <m/>
    <m/>
    <m/>
    <m/>
    <m/>
    <m/>
    <m/>
    <m/>
    <n v="5.2695565200577272"/>
    <m/>
    <m/>
    <m/>
    <m/>
    <m/>
    <m/>
    <m/>
    <m/>
    <m/>
    <m/>
    <m/>
    <m/>
    <n v="52.548599999999993"/>
    <n v="-6.6495199999999954"/>
    <m/>
    <m/>
    <m/>
    <m/>
    <n v="-2.0954999999999999"/>
    <n v="0.73083999999999993"/>
    <n v="30"/>
    <n v="3.5681586929750537"/>
    <n v="0"/>
    <n v="0"/>
    <n v="0"/>
    <n v="0"/>
    <n v="0"/>
    <n v="0"/>
    <n v="0"/>
    <n v="2.8797310435542869"/>
    <n v="0"/>
    <n v="0"/>
    <n v="0.69158639429237567"/>
    <n v="0"/>
    <n v="0"/>
    <n v="0"/>
    <n v="0.10837719315661043"/>
    <n v="0"/>
    <n v="-9.5167959224051968E-2"/>
    <m/>
    <n v="0"/>
    <n v="0"/>
    <n v="0"/>
    <n v="0"/>
    <n v="-1.2162994735341326E-2"/>
    <n v="-4.2049840688215823E-3"/>
    <n v="0"/>
    <n v="0.99598087823380776"/>
    <m/>
    <m/>
    <m/>
    <n v="38.494938533819237"/>
    <n v="0"/>
    <n v="0"/>
    <n v="-2.0955000000000013"/>
    <n v="0.73083999999999971"/>
    <n v="0"/>
    <n v="0"/>
    <n v="-5.928891060052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Fora ponta"/>
    <s v="CATIVO"/>
    <x v="0"/>
    <n v="0"/>
    <n v="0"/>
    <n v="0.22600000000000001"/>
    <n v="0.22600000000000001"/>
    <n v="0.22600000000000001"/>
    <n v="0.22600000000000001"/>
    <m/>
    <n v="595.67999999999995"/>
    <n v="207.07"/>
    <m/>
    <n v="181.42149999999998"/>
    <n v="181.42149999999998"/>
    <n v="184.99004000000002"/>
    <n v="0"/>
    <n v="17.799816987417909"/>
    <n v="0"/>
    <n v="0"/>
    <n v="0"/>
    <n v="27.509341719471315"/>
    <n v="79.089623918361966"/>
    <n v="46.798943271887119"/>
    <n v="0"/>
    <n v="0"/>
    <n v="0"/>
    <n v="0"/>
    <n v="0"/>
    <n v="2.2620180988322129"/>
    <m/>
    <n v="0.6293987877364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37737068877145"/>
    <n v="0"/>
    <n v="0"/>
    <n v="0"/>
    <n v="0"/>
    <n v="0"/>
    <m/>
    <m/>
    <m/>
    <m/>
    <m/>
    <m/>
    <m/>
    <m/>
    <m/>
    <n v="54.13271697877483"/>
    <m/>
    <m/>
    <m/>
    <m/>
    <m/>
    <m/>
    <m/>
    <m/>
    <m/>
    <m/>
    <m/>
    <m/>
    <n v="188.26420000000002"/>
    <n v="6.8127000000000635"/>
    <m/>
    <m/>
    <m/>
    <m/>
    <n v="-3.9391799999999888"/>
    <n v="7.5077199999999999"/>
    <n v="30"/>
    <n v="12.988511181001542"/>
    <n v="0"/>
    <n v="0"/>
    <n v="0"/>
    <n v="0"/>
    <n v="0"/>
    <n v="0"/>
    <n v="0"/>
    <n v="5.9164816914972747"/>
    <n v="0"/>
    <n v="0"/>
    <n v="7.1044784140944017"/>
    <n v="0"/>
    <n v="0"/>
    <n v="0"/>
    <n v="1.1133293478815434"/>
    <n v="0"/>
    <n v="-0.97763449021071835"/>
    <m/>
    <n v="0"/>
    <n v="0"/>
    <n v="0"/>
    <n v="0"/>
    <n v="-0.12494712773577898"/>
    <n v="-4.3196654525167189E-2"/>
    <n v="0"/>
    <n v="2.7611567450634795"/>
    <m/>
    <m/>
    <m/>
    <n v="79.089623918361966"/>
    <n v="0"/>
    <n v="0"/>
    <n v="-3.9391799999999648"/>
    <n v="7.5077199999999991"/>
    <n v="0"/>
    <n v="0"/>
    <n v="-12.18117970965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Intermediário"/>
    <s v="CATIVO"/>
    <x v="0"/>
    <n v="0"/>
    <n v="0"/>
    <n v="1.4E-2"/>
    <n v="1.4E-2"/>
    <n v="1.4E-2"/>
    <n v="1.4E-2"/>
    <m/>
    <n v="1539.04"/>
    <n v="207.07"/>
    <m/>
    <n v="24.445540000000001"/>
    <n v="24.445540000000001"/>
    <n v="24.121859999999998"/>
    <n v="0"/>
    <n v="1.1026435301940296"/>
    <n v="0"/>
    <n v="0"/>
    <n v="0"/>
    <n v="5.1123978901240417"/>
    <n v="14.698066019699862"/>
    <n v="2.8990495832142464"/>
    <n v="0"/>
    <n v="0"/>
    <n v="0"/>
    <n v="0"/>
    <n v="0"/>
    <n v="0.14012501497190699"/>
    <m/>
    <n v="3.89893054350037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30456591339824"/>
    <n v="0"/>
    <n v="0"/>
    <n v="0"/>
    <n v="0"/>
    <n v="0"/>
    <m/>
    <m/>
    <m/>
    <m/>
    <m/>
    <m/>
    <m/>
    <m/>
    <m/>
    <n v="3.3533541491276448"/>
    <m/>
    <m/>
    <m/>
    <m/>
    <m/>
    <m/>
    <m/>
    <m/>
    <m/>
    <m/>
    <m/>
    <m/>
    <n v="17.229900000000001"/>
    <n v="-7.2456400000000052"/>
    <m/>
    <m/>
    <m/>
    <m/>
    <n v="-0.78875999999999891"/>
    <n v="0.46507999999999999"/>
    <n v="30"/>
    <n v="1.5376225767113567"/>
    <n v="0"/>
    <n v="0"/>
    <n v="0"/>
    <n v="0"/>
    <n v="0"/>
    <n v="0"/>
    <n v="0"/>
    <n v="1.0995322543526864"/>
    <n v="0"/>
    <n v="0"/>
    <n v="0.44010043273151167"/>
    <n v="0"/>
    <n v="0"/>
    <n v="0"/>
    <n v="6.8967304736024804E-2"/>
    <n v="0"/>
    <n v="-6.0561428597123879E-2"/>
    <m/>
    <n v="0"/>
    <n v="0"/>
    <n v="0"/>
    <n v="0"/>
    <n v="-7.7400875588535534E-3"/>
    <n v="-2.6758989528864602E-3"/>
    <n v="0"/>
    <n v="0.40242555091130305"/>
    <m/>
    <m/>
    <m/>
    <n v="14.698066019699862"/>
    <n v="0"/>
    <n v="0"/>
    <n v="-0.78875999999999991"/>
    <n v="0.46507999999999994"/>
    <n v="0"/>
    <n v="0"/>
    <n v="-2.263758185967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56.527999999999999"/>
    <n v="56.527999999999999"/>
    <n v="56.527999999999999"/>
    <n v="56.527999999999999"/>
    <m/>
    <n v="897.25"/>
    <n v="207.07"/>
    <m/>
    <n v="62425.000959999998"/>
    <n v="62425.000959999998"/>
    <n v="62614.369760000001"/>
    <n v="0"/>
    <n v="4452.1595339148644"/>
    <n v="0"/>
    <n v="0"/>
    <n v="0"/>
    <n v="11280.00212849649"/>
    <n v="32429.847239670224"/>
    <n v="11705.533917138207"/>
    <n v="0"/>
    <n v="0"/>
    <n v="0"/>
    <n v="0"/>
    <n v="0"/>
    <n v="565.78477473799705"/>
    <m/>
    <n v="157.427675544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3520358537553"/>
    <n v="0"/>
    <n v="28.55"/>
    <n v="131.88999999999999"/>
    <n v="0"/>
    <n v="171"/>
    <m/>
    <m/>
    <m/>
    <m/>
    <m/>
    <n v="7513.7017599999999"/>
    <m/>
    <m/>
    <m/>
    <n v="13539.885952991963"/>
    <m/>
    <m/>
    <m/>
    <m/>
    <m/>
    <m/>
    <m/>
    <m/>
    <m/>
    <m/>
    <m/>
    <m/>
    <n v="55102.6175"/>
    <n v="168.11181999999826"/>
    <m/>
    <m/>
    <m/>
    <m/>
    <n v="-1688.4913600000002"/>
    <n v="1877.86016"/>
    <n v="30"/>
    <n v="4194.8931156583058"/>
    <n v="0"/>
    <n v="0"/>
    <n v="0"/>
    <n v="0"/>
    <n v="0"/>
    <n v="0"/>
    <n v="0"/>
    <n v="2426.009562637526"/>
    <n v="0"/>
    <n v="0"/>
    <n v="1776.9998043890646"/>
    <n v="0"/>
    <n v="0"/>
    <n v="0"/>
    <n v="278.47027157985804"/>
    <n v="0"/>
    <n v="-244.5297454098727"/>
    <m/>
    <n v="0"/>
    <n v="0"/>
    <n v="0"/>
    <n v="0"/>
    <n v="-31.252262109062485"/>
    <n v="-10.804515429197579"/>
    <n v="0"/>
    <n v="989.2852508100525"/>
    <m/>
    <m/>
    <m/>
    <n v="32429.847239670224"/>
    <n v="0"/>
    <n v="0"/>
    <n v="-1688.49136"/>
    <n v="1877.8601600000002"/>
    <n v="0"/>
    <n v="0"/>
    <n v="-4994.761355684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2"/>
    <m/>
    <m/>
    <m/>
    <m/>
    <m/>
    <n v="13.292000000000003"/>
    <m/>
    <m/>
    <m/>
    <n v="23.952529636626036"/>
    <m/>
    <m/>
    <m/>
    <m/>
    <m/>
    <m/>
    <m/>
    <m/>
    <m/>
    <m/>
    <m/>
    <m/>
    <n v="97.474999999999994"/>
    <n v="0.26399999999996737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123000000000001"/>
    <n v="21.123000000000001"/>
    <n v="21.123000000000001"/>
    <n v="21.123000000000001"/>
    <m/>
    <n v="897.25"/>
    <n v="207.07"/>
    <m/>
    <n v="23326.551360000001"/>
    <n v="23326.551360000001"/>
    <n v="23397.313410000002"/>
    <n v="0"/>
    <n v="1663.6528063063206"/>
    <n v="0"/>
    <n v="0"/>
    <n v="0"/>
    <n v="4215.0347608305856"/>
    <n v="12118.165568276858"/>
    <n v="4374.0445961596088"/>
    <n v="0"/>
    <n v="0"/>
    <n v="0"/>
    <n v="0"/>
    <n v="0"/>
    <n v="211.41862080368512"/>
    <m/>
    <n v="58.8265070502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4482389849079"/>
    <n v="0"/>
    <n v="151.97"/>
    <n v="702.12"/>
    <n v="0"/>
    <n v="33"/>
    <m/>
    <m/>
    <m/>
    <m/>
    <m/>
    <m/>
    <m/>
    <m/>
    <m/>
    <n v="5059.4928351445169"/>
    <m/>
    <m/>
    <m/>
    <m/>
    <m/>
    <m/>
    <m/>
    <m/>
    <m/>
    <m/>
    <m/>
    <m/>
    <n v="23393.990400000002"/>
    <n v="67.409040000005916"/>
    <m/>
    <m/>
    <m/>
    <m/>
    <n v="-630.94401000000016"/>
    <n v="701.70605999999998"/>
    <n v="30"/>
    <n v="1567.5192343980088"/>
    <n v="0"/>
    <n v="0"/>
    <n v="0"/>
    <n v="0"/>
    <n v="0"/>
    <n v="0"/>
    <n v="0"/>
    <n v="906.53481445641955"/>
    <n v="0"/>
    <n v="0"/>
    <n v="664.01724575626577"/>
    <n v="0"/>
    <n v="0"/>
    <n v="0"/>
    <n v="104.05688413850373"/>
    <n v="0"/>
    <n v="-91.37421830407493"/>
    <m/>
    <n v="0"/>
    <n v="0"/>
    <n v="0"/>
    <n v="0"/>
    <n v="-11.67813353611885"/>
    <n v="-4.0373581129871994"/>
    <n v="0"/>
    <n v="369.66940901607592"/>
    <m/>
    <m/>
    <m/>
    <n v="12118.165568276858"/>
    <n v="0"/>
    <n v="0"/>
    <n v="-630.94400999999925"/>
    <n v="701.70605999999952"/>
    <n v="0"/>
    <n v="0"/>
    <n v="-1866.408578334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67.41500000000002"/>
    <n v="267.41500000000002"/>
    <n v="267.41500000000002"/>
    <n v="267.41500000000002"/>
    <m/>
    <n v="493.49"/>
    <n v="113.89"/>
    <m/>
    <n v="162422.52270000003"/>
    <n v="162422.52270000003"/>
    <n v="162914.56630000001"/>
    <n v="0"/>
    <n v="11583.920056768569"/>
    <n v="0"/>
    <n v="0"/>
    <n v="0"/>
    <n v="29349.04778261291"/>
    <n v="84378.098991261533"/>
    <n v="30456.224240170064"/>
    <n v="0"/>
    <n v="0"/>
    <n v="0"/>
    <n v="0"/>
    <n v="0"/>
    <n v="1472.0958559494188"/>
    <m/>
    <n v="409.6056294354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737180110872"/>
    <n v="0"/>
    <n v="1073.6300000000001"/>
    <n v="4955.26"/>
    <n v="0"/>
    <n v="3"/>
    <m/>
    <m/>
    <m/>
    <m/>
    <m/>
    <m/>
    <m/>
    <m/>
    <m/>
    <n v="35228.961420280939"/>
    <m/>
    <m/>
    <m/>
    <m/>
    <m/>
    <m/>
    <m/>
    <m/>
    <m/>
    <m/>
    <m/>
    <m/>
    <n v="162917.61240000001"/>
    <n v="495.05969999995432"/>
    <m/>
    <m/>
    <m/>
    <m/>
    <n v="-4393.628450000002"/>
    <n v="4885.6720499999992"/>
    <n v="30"/>
    <n v="10914.547452378654"/>
    <n v="0"/>
    <n v="0"/>
    <n v="0"/>
    <n v="0"/>
    <n v="0"/>
    <n v="0"/>
    <n v="0"/>
    <n v="6312.1504556323671"/>
    <n v="0"/>
    <n v="0"/>
    <n v="4623.5143907422826"/>
    <n v="0"/>
    <n v="0"/>
    <n v="0"/>
    <n v="724.54217769938532"/>
    <n v="0"/>
    <n v="-636.23349539749688"/>
    <m/>
    <n v="0"/>
    <n v="0"/>
    <n v="0"/>
    <n v="0"/>
    <n v="-81.314180928781525"/>
    <n v="-28.111895369098193"/>
    <n v="0"/>
    <n v="2573.9871115191386"/>
    <m/>
    <m/>
    <m/>
    <n v="84378.098991261533"/>
    <n v="0"/>
    <n v="0"/>
    <n v="-4393.6284500000038"/>
    <n v="4885.672050000001"/>
    <n v="0"/>
    <n v="0"/>
    <n v="-12995.69698842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5"/>
    <n v="13.207000000000001"/>
    <n v="14.05"/>
    <n v="13.207000000000001"/>
    <m/>
    <n v="897.25"/>
    <n v="207.07"/>
    <m/>
    <n v="15515.696000000002"/>
    <n v="15515.696000000002"/>
    <n v="15562.763500000001"/>
    <n v="0"/>
    <n v="1106.5815428018655"/>
    <n v="0"/>
    <n v="0"/>
    <n v="0"/>
    <n v="2803.6376646153353"/>
    <n v="8060.4187963021277"/>
    <n v="2909.4033317257258"/>
    <n v="0"/>
    <n v="0"/>
    <n v="0"/>
    <n v="0"/>
    <n v="0"/>
    <n v="140.62546145394953"/>
    <m/>
    <n v="39.128552954414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9270822202318"/>
    <n v="0"/>
    <n v="11.93"/>
    <n v="55.08"/>
    <n v="0"/>
    <n v="3"/>
    <m/>
    <m/>
    <m/>
    <m/>
    <n v="933.76580999999999"/>
    <m/>
    <m/>
    <m/>
    <m/>
    <n v="3365.3304139459578"/>
    <m/>
    <m/>
    <m/>
    <m/>
    <m/>
    <m/>
    <m/>
    <m/>
    <m/>
    <m/>
    <m/>
    <m/>
    <n v="14632.320700000002"/>
    <n v="47.536460000001171"/>
    <m/>
    <m/>
    <m/>
    <m/>
    <n v="-419.6735000000001"/>
    <n v="466.74099999999999"/>
    <n v="30"/>
    <n v="1042.6381311031591"/>
    <n v="0"/>
    <n v="0"/>
    <n v="0"/>
    <n v="0"/>
    <n v="0"/>
    <n v="0"/>
    <n v="0"/>
    <n v="602.98320045034779"/>
    <n v="0"/>
    <n v="0"/>
    <n v="441.67221999126696"/>
    <n v="0"/>
    <n v="0"/>
    <n v="0"/>
    <n v="69.213616538653469"/>
    <n v="0"/>
    <n v="-60.777719413542172"/>
    <m/>
    <n v="0"/>
    <n v="0"/>
    <n v="0"/>
    <n v="0"/>
    <n v="-7.7677307287066242"/>
    <n v="-2.6854557348610584"/>
    <n v="0"/>
    <n v="245.88624706130128"/>
    <m/>
    <m/>
    <m/>
    <n v="8060.4187963021277"/>
    <n v="0"/>
    <n v="0"/>
    <n v="-419.67350000000079"/>
    <n v="466.74099999999999"/>
    <n v="0"/>
    <n v="0"/>
    <n v="-1241.444895403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"/>
    <n v="1.41"/>
    <n v="1.5"/>
    <n v="1.41"/>
    <m/>
    <n v="4750.8599999999997"/>
    <n v="207.07"/>
    <m/>
    <n v="7436.8949999999986"/>
    <n v="7436.8949999999986"/>
    <n v="7244.9550000000008"/>
    <n v="0"/>
    <n v="102.78212906451481"/>
    <n v="0"/>
    <n v="0"/>
    <n v="0"/>
    <n v="1931.006264893125"/>
    <n v="5054.0306679716396"/>
    <n v="310.61245534438353"/>
    <n v="0"/>
    <n v="0"/>
    <n v="0"/>
    <n v="0"/>
    <n v="0"/>
    <n v="15.01339446127575"/>
    <m/>
    <n v="2.714008731106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426150485121"/>
    <n v="0"/>
    <n v="0"/>
    <n v="0"/>
    <n v="0"/>
    <n v="0"/>
    <m/>
    <m/>
    <m/>
    <m/>
    <n v="434.69730000000038"/>
    <m/>
    <m/>
    <m/>
    <m/>
    <n v="331.35507039289564"/>
    <m/>
    <m/>
    <m/>
    <m/>
    <m/>
    <m/>
    <m/>
    <m/>
    <m/>
    <m/>
    <m/>
    <m/>
    <n v="6810.2577000000001"/>
    <n v="-180.45359999999982"/>
    <m/>
    <m/>
    <m/>
    <m/>
    <n v="-241.76999999999907"/>
    <n v="49.83"/>
    <n v="30"/>
    <n v="458.9466277224933"/>
    <n v="0"/>
    <n v="0"/>
    <n v="0"/>
    <n v="0"/>
    <n v="0"/>
    <n v="0"/>
    <n v="0"/>
    <n v="415.30485639794983"/>
    <n v="0"/>
    <n v="0"/>
    <n v="47.153617792661976"/>
    <n v="0"/>
    <n v="0"/>
    <n v="0"/>
    <n v="3.1489057350692988"/>
    <n v="0"/>
    <n v="-5.6451903085175985"/>
    <m/>
    <n v="0"/>
    <n v="0"/>
    <n v="0"/>
    <n v="0"/>
    <n v="-0.82929509559145309"/>
    <n v="-0.18626679907903521"/>
    <n v="0"/>
    <n v="127.52151500990882"/>
    <m/>
    <m/>
    <m/>
    <n v="5054.0306679716396"/>
    <n v="0"/>
    <n v="0"/>
    <n v="-241.76999999999862"/>
    <n v="49.829999999999984"/>
    <n v="0"/>
    <n v="0"/>
    <n v="-778.4087567316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141"/>
    <n v="13.292539999999999"/>
    <n v="14.141"/>
    <n v="13.292539999999999"/>
    <m/>
    <n v="94.17"/>
    <n v="207.07"/>
    <m/>
    <n v="4259.8348399999995"/>
    <n v="4259.8348399999995"/>
    <n v="4719.8415699999996"/>
    <n v="0"/>
    <n v="968.96139140086927"/>
    <n v="0"/>
    <n v="0"/>
    <n v="0"/>
    <n v="0"/>
    <n v="0"/>
    <n v="2928.2471540166184"/>
    <n v="0"/>
    <n v="0"/>
    <n v="0"/>
    <n v="0"/>
    <n v="0"/>
    <n v="141.53627405126693"/>
    <m/>
    <n v="25.585864977720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54754626733975"/>
    <n v="0"/>
    <n v="0"/>
    <n v="0"/>
    <n v="0"/>
    <n v="0"/>
    <m/>
    <m/>
    <m/>
    <m/>
    <n v="283.19049420000033"/>
    <m/>
    <m/>
    <m/>
    <m/>
    <n v="3123.7947002839583"/>
    <m/>
    <m/>
    <m/>
    <m/>
    <m/>
    <m/>
    <m/>
    <m/>
    <m/>
    <m/>
    <m/>
    <m/>
    <n v="4435.8032999999996"/>
    <n v="431.5285503999994"/>
    <m/>
    <m/>
    <m/>
    <m/>
    <n v="-9.7572899999999674"/>
    <n v="469.76401999999996"/>
    <n v="30"/>
    <n v="411.42552553357655"/>
    <n v="0"/>
    <n v="0"/>
    <n v="0"/>
    <n v="0"/>
    <n v="0"/>
    <n v="0"/>
    <n v="0"/>
    <n v="0"/>
    <n v="0"/>
    <n v="0"/>
    <n v="444.53287280402174"/>
    <n v="0"/>
    <n v="0"/>
    <n v="0"/>
    <n v="29.685783999743308"/>
    <n v="0"/>
    <n v="-53.21909076849829"/>
    <m/>
    <n v="0"/>
    <n v="0"/>
    <n v="0"/>
    <n v="0"/>
    <n v="-7.8180412978391871"/>
    <n v="-1.7559992038510899"/>
    <n v="0"/>
    <n v="48.52093750208779"/>
    <m/>
    <m/>
    <m/>
    <n v="0"/>
    <n v="0"/>
    <n v="0"/>
    <n v="-9.7572900000000118"/>
    <n v="469.76402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58"/>
    <n v="54.519999999999996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6.74"/>
    <n v="446.54"/>
    <n v="0"/>
    <n v="1"/>
    <m/>
    <m/>
    <m/>
    <m/>
    <n v="258.94680000000028"/>
    <m/>
    <m/>
    <m/>
    <m/>
    <n v="0"/>
    <m/>
    <m/>
    <m/>
    <m/>
    <m/>
    <m/>
    <m/>
    <m/>
    <m/>
    <m/>
    <m/>
    <m/>
    <n v="4056.8332"/>
    <n v="35.95319999999947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5999999999999997E-2"/>
    <n v="3.5999999999999997E-2"/>
    <n v="3.5999999999999997E-2"/>
    <n v="3.5999999999999997E-2"/>
    <m/>
    <n v="897.25"/>
    <n v="207.07"/>
    <m/>
    <n v="39.755519999999997"/>
    <n v="39.755519999999997"/>
    <n v="39.87612"/>
    <n v="0"/>
    <n v="2.8353690776417904"/>
    <n v="0"/>
    <n v="0"/>
    <n v="0"/>
    <n v="7.1836979306869795"/>
    <n v="20.653030367749221"/>
    <n v="7.4546989282652039"/>
    <n v="0"/>
    <n v="0"/>
    <n v="0"/>
    <n v="0"/>
    <n v="0"/>
    <n v="0.36032146707061796"/>
    <m/>
    <n v="0.1002582139757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82117409201667"/>
    <n v="0"/>
    <n v="0.25"/>
    <n v="1.2"/>
    <n v="0"/>
    <n v="1"/>
    <m/>
    <m/>
    <m/>
    <m/>
    <m/>
    <m/>
    <m/>
    <m/>
    <m/>
    <n v="8.6229106691853712"/>
    <m/>
    <m/>
    <m/>
    <m/>
    <m/>
    <m/>
    <m/>
    <m/>
    <m/>
    <m/>
    <m/>
    <m/>
    <n v="44.306799999999996"/>
    <n v="4.5212800000000044"/>
    <m/>
    <m/>
    <m/>
    <m/>
    <n v="-1.0753200000000001"/>
    <n v="1.1959199999999999"/>
    <n v="30"/>
    <n v="2.671528307452931"/>
    <n v="0"/>
    <n v="0"/>
    <n v="0"/>
    <n v="0"/>
    <n v="0"/>
    <n v="0"/>
    <n v="0"/>
    <n v="1.5450103356734877"/>
    <n v="0"/>
    <n v="0"/>
    <n v="1.1316868270238878"/>
    <n v="0"/>
    <n v="0"/>
    <n v="0"/>
    <n v="0.17734449789263529"/>
    <n v="0"/>
    <n v="-0.15572938782117607"/>
    <m/>
    <n v="0"/>
    <n v="0"/>
    <n v="0"/>
    <n v="0"/>
    <n v="-1.9903082294194907E-2"/>
    <n v="-6.8808830217080424E-3"/>
    <n v="0"/>
    <n v="0.63002881809301392"/>
    <m/>
    <m/>
    <m/>
    <n v="20.653030367749221"/>
    <n v="0"/>
    <n v="0"/>
    <n v="-1.0753199999999978"/>
    <n v="1.1959200000000001"/>
    <n v="0"/>
    <n v="0"/>
    <n v="-3.180926422385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222"/>
    <n v="1.222"/>
    <n v="1.222"/>
    <n v="1.222"/>
    <m/>
    <n v="897.25"/>
    <n v="207.07"/>
    <m/>
    <n v="1349.4790399999999"/>
    <n v="1349.4790399999999"/>
    <n v="1353.5727399999998"/>
    <n v="0"/>
    <n v="96.24502813550744"/>
    <n v="0"/>
    <n v="0"/>
    <n v="0"/>
    <n v="243.84663531387471"/>
    <n v="701.0556419274875"/>
    <n v="253.04561362055776"/>
    <n v="0"/>
    <n v="0"/>
    <n v="0"/>
    <n v="0"/>
    <n v="0"/>
    <n v="12.230912021119311"/>
    <m/>
    <n v="3.403209374398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54298539012331"/>
    <n v="0"/>
    <n v="0"/>
    <n v="0"/>
    <n v="0"/>
    <n v="0"/>
    <m/>
    <m/>
    <m/>
    <m/>
    <m/>
    <n v="162.42824000000002"/>
    <m/>
    <m/>
    <m/>
    <n v="292.69991215957009"/>
    <m/>
    <m/>
    <m/>
    <m/>
    <m/>
    <m/>
    <m/>
    <m/>
    <m/>
    <m/>
    <m/>
    <m/>
    <n v="1189.1949999999999"/>
    <n v="1.6131800000000567"/>
    <m/>
    <m/>
    <m/>
    <m/>
    <n v="-36.501140000000007"/>
    <n v="40.594839999999998"/>
    <n v="30"/>
    <n v="90.683544214096742"/>
    <n v="0"/>
    <n v="0"/>
    <n v="0"/>
    <n v="0"/>
    <n v="0"/>
    <n v="0"/>
    <n v="0"/>
    <n v="52.444517505361176"/>
    <n v="0"/>
    <n v="0"/>
    <n v="38.414480628421956"/>
    <n v="0"/>
    <n v="0"/>
    <n v="0"/>
    <n v="6.0198604562444515"/>
    <n v="0"/>
    <n v="-5.2861475532632483"/>
    <m/>
    <n v="0"/>
    <n v="0"/>
    <n v="0"/>
    <n v="0"/>
    <n v="-0.67559907120850404"/>
    <n v="-0.23356775145908948"/>
    <n v="0"/>
    <n v="21.385978214157305"/>
    <m/>
    <m/>
    <m/>
    <n v="701.0556419274875"/>
    <n v="0"/>
    <n v="0"/>
    <n v="-36.501140000000078"/>
    <n v="40.594839999999976"/>
    <n v="0"/>
    <n v="0"/>
    <n v="-107.9747802265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25"/>
    <n v="0.05"/>
    <n v="0.125"/>
    <n v="0.05"/>
    <m/>
    <n v="897.25"/>
    <n v="207.07"/>
    <m/>
    <n v="138.04"/>
    <n v="138.04"/>
    <n v="138.45875000000001"/>
    <n v="0"/>
    <n v="9.8450315195895506"/>
    <n v="0"/>
    <n v="0"/>
    <n v="0"/>
    <n v="24.943395592663126"/>
    <n v="71.711910999129245"/>
    <n v="25.884371278698627"/>
    <n v="0"/>
    <n v="0"/>
    <n v="0"/>
    <n v="0"/>
    <n v="0"/>
    <n v="1.2511162051063125"/>
    <m/>
    <n v="0.3481187985268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62907670839126"/>
    <n v="0"/>
    <n v="0"/>
    <n v="0"/>
    <n v="0"/>
    <n v="0"/>
    <m/>
    <m/>
    <m/>
    <m/>
    <m/>
    <m/>
    <n v="89.721249999999998"/>
    <m/>
    <m/>
    <n v="29.940662045782538"/>
    <m/>
    <m/>
    <m/>
    <m/>
    <m/>
    <m/>
    <m/>
    <m/>
    <m/>
    <m/>
    <m/>
    <m/>
    <n v="48.737499999999997"/>
    <n v="0.11699999999999733"/>
    <m/>
    <m/>
    <m/>
    <m/>
    <n v="-3.7337500000000006"/>
    <n v="4.1524999999999999"/>
    <n v="30"/>
    <n v="9.2761399564338092"/>
    <n v="0"/>
    <n v="0"/>
    <n v="0"/>
    <n v="0"/>
    <n v="0"/>
    <n v="0"/>
    <n v="0"/>
    <n v="5.3646192210884998"/>
    <n v="0"/>
    <n v="0"/>
    <n v="3.929468149388498"/>
    <n v="0"/>
    <n v="0"/>
    <n v="0"/>
    <n v="0.61577950657165026"/>
    <n v="0"/>
    <n v="-0.54072704104575031"/>
    <m/>
    <n v="0"/>
    <n v="0"/>
    <n v="0"/>
    <n v="0"/>
    <n v="-6.9107924632621165E-2"/>
    <n v="-2.389195493648627E-2"/>
    <n v="0"/>
    <n v="2.1876000628229648"/>
    <m/>
    <m/>
    <m/>
    <n v="71.711910999129245"/>
    <n v="0"/>
    <n v="0"/>
    <n v="-3.7337500000000006"/>
    <n v="4.1524999999999999"/>
    <n v="0"/>
    <n v="0"/>
    <n v="-11.04488341106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34200000000000003"/>
    <n v="0.32832"/>
    <n v="0.34200000000000003"/>
    <n v="0.32832"/>
    <m/>
    <n v="4750.8599999999997"/>
    <n v="207.07"/>
    <m/>
    <n v="1695.6120599999999"/>
    <n v="1695.6120599999999"/>
    <n v="1651.8497400000003"/>
    <n v="0"/>
    <n v="23.434325426709378"/>
    <n v="0"/>
    <n v="0"/>
    <n v="0"/>
    <n v="440.26942839563253"/>
    <n v="1152.3189922975341"/>
    <n v="70.819639818519448"/>
    <n v="0"/>
    <n v="0"/>
    <n v="0"/>
    <n v="0"/>
    <n v="0"/>
    <n v="3.423053937170871"/>
    <m/>
    <n v="0.618793990692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293162310607597"/>
    <n v="0"/>
    <n v="0"/>
    <n v="0"/>
    <n v="0"/>
    <n v="0"/>
    <m/>
    <m/>
    <m/>
    <m/>
    <m/>
    <n v="66.073989600000118"/>
    <m/>
    <m/>
    <m/>
    <n v="75.548956049580212"/>
    <m/>
    <m/>
    <m/>
    <m/>
    <m/>
    <m/>
    <m/>
    <m/>
    <m/>
    <m/>
    <m/>
    <m/>
    <n v="1593.8901000000001"/>
    <n v="-33.927477599999975"/>
    <m/>
    <m/>
    <m/>
    <m/>
    <n v="-55.123559999999792"/>
    <n v="11.36124"/>
    <n v="30"/>
    <n v="104.63983112072856"/>
    <n v="0"/>
    <n v="0"/>
    <n v="0"/>
    <n v="0"/>
    <n v="0"/>
    <n v="0"/>
    <n v="0"/>
    <n v="94.689507258732647"/>
    <n v="0"/>
    <n v="0"/>
    <n v="10.751024856726929"/>
    <n v="0"/>
    <n v="0"/>
    <n v="0"/>
    <n v="0.71795050759580015"/>
    <n v="0"/>
    <n v="-1.2871033903420148"/>
    <m/>
    <n v="0"/>
    <n v="0"/>
    <n v="0"/>
    <n v="0"/>
    <n v="-0.18907928179485145"/>
    <n v="-4.2468830190020013E-2"/>
    <n v="0"/>
    <n v="29.074905422259217"/>
    <m/>
    <m/>
    <m/>
    <n v="1152.3189922975341"/>
    <n v="0"/>
    <n v="0"/>
    <n v="-55.12355999999977"/>
    <n v="11.361239999999995"/>
    <n v="0"/>
    <n v="0"/>
    <n v="-177.4771965348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9.7230000000000008"/>
    <n v="9.3340800000000002"/>
    <n v="9.7230000000000008"/>
    <n v="9.3340800000000002"/>
    <m/>
    <n v="94.17"/>
    <n v="207.07"/>
    <m/>
    <n v="2928.9565200000002"/>
    <n v="2928.9565200000002"/>
    <n v="3245.2457100000001"/>
    <n v="0"/>
    <n v="666.23376059618499"/>
    <n v="0"/>
    <n v="0"/>
    <n v="0"/>
    <n v="0"/>
    <n v="0"/>
    <n v="2013.3899355422941"/>
    <n v="0"/>
    <n v="0"/>
    <n v="0"/>
    <n v="0"/>
    <n v="0"/>
    <n v="97.316822897989425"/>
    <m/>
    <n v="17.59220459503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45363074445544"/>
    <n v="0"/>
    <n v="0"/>
    <n v="0"/>
    <n v="0"/>
    <n v="0"/>
    <m/>
    <m/>
    <m/>
    <m/>
    <m/>
    <n v="129.80982840000019"/>
    <m/>
    <m/>
    <m/>
    <n v="2147.8435662867496"/>
    <m/>
    <m/>
    <m/>
    <m/>
    <m/>
    <m/>
    <m/>
    <m/>
    <m/>
    <m/>
    <m/>
    <m/>
    <n v="3114.0740999999998"/>
    <n v="302.24584079999931"/>
    <m/>
    <m/>
    <m/>
    <m/>
    <n v="-6.7088699999999788"/>
    <n v="322.99806000000001"/>
    <n v="30"/>
    <n v="282.88596172568896"/>
    <n v="0"/>
    <n v="0"/>
    <n v="0"/>
    <n v="0"/>
    <n v="0"/>
    <n v="0"/>
    <n v="0"/>
    <n v="0"/>
    <n v="0"/>
    <n v="0"/>
    <n v="305.64975053203489"/>
    <n v="0"/>
    <n v="0"/>
    <n v="0"/>
    <n v="20.411206974719221"/>
    <n v="0"/>
    <n v="-36.592123579811073"/>
    <m/>
    <n v="0"/>
    <n v="0"/>
    <n v="0"/>
    <n v="0"/>
    <n v="-5.3754908096238125"/>
    <n v="-1.2073813916303031"/>
    <n v="0"/>
    <n v="33.361790208104068"/>
    <m/>
    <m/>
    <m/>
    <n v="0"/>
    <n v="0"/>
    <n v="0"/>
    <n v="-6.7088700000000472"/>
    <n v="322.99806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17"/>
    <n v="208.32"/>
    <n v="0"/>
    <n v="0"/>
    <n v="0"/>
    <n v="0"/>
    <n v="73.75"/>
    <m/>
    <m/>
    <n v="16003.75"/>
    <m/>
    <n v="16003.75"/>
    <n v="16146.97"/>
    <n v="0"/>
    <n v="0"/>
    <n v="0"/>
    <n v="0"/>
    <n v="0"/>
    <n v="6305.641446406129"/>
    <n v="9698.0822936004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45.87880000000052"/>
    <m/>
    <m/>
    <m/>
    <n v="0"/>
    <m/>
    <m/>
    <m/>
    <m/>
    <m/>
    <m/>
    <m/>
    <m/>
    <m/>
    <m/>
    <m/>
    <m/>
    <n v="15501.091199999999"/>
    <n v="137.46119999999792"/>
    <m/>
    <m/>
    <m/>
    <m/>
    <n v="143.21999999999926"/>
    <n v="0"/>
    <n v="30"/>
    <n v="1356.1652093042303"/>
    <n v="0"/>
    <n v="0"/>
    <n v="0"/>
    <n v="0"/>
    <m/>
    <m/>
    <m/>
    <n v="1356.1652093042303"/>
    <n v="0"/>
    <n v="0"/>
    <m/>
    <m/>
    <n v="0"/>
    <n v="0"/>
    <n v="0"/>
    <n v="0"/>
    <n v="0"/>
    <m/>
    <n v="0"/>
    <n v="0"/>
    <m/>
    <n v="0"/>
    <n v="0"/>
    <n v="0"/>
    <n v="0"/>
    <n v="280.3779817209915"/>
    <m/>
    <m/>
    <n v="9698.0822936004643"/>
    <m/>
    <n v="0"/>
    <n v="0"/>
    <n v="143.21999999999935"/>
    <m/>
    <n v="0"/>
    <m/>
    <n v="-1493.67359970375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5.9349999999999996"/>
    <n v="1.7805"/>
    <n v="5.9349999999999996"/>
    <n v="1.7805"/>
    <m/>
    <n v="94.17"/>
    <n v="207.07"/>
    <m/>
    <n v="1787.8593999999998"/>
    <n v="1787.8593999999998"/>
    <n v="1980.9249500000001"/>
    <n v="0"/>
    <n v="406.67462399859687"/>
    <n v="0"/>
    <n v="0"/>
    <n v="0"/>
    <n v="0"/>
    <n v="0"/>
    <n v="1228.9899483126107"/>
    <n v="0"/>
    <n v="0"/>
    <n v="0"/>
    <n v="0"/>
    <n v="0"/>
    <n v="59.402997418447711"/>
    <m/>
    <n v="10.738427879412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1613541946206"/>
    <n v="0"/>
    <n v="0"/>
    <n v="0"/>
    <n v="0"/>
    <n v="0"/>
    <m/>
    <m/>
    <m/>
    <m/>
    <m/>
    <m/>
    <n v="1386.647465"/>
    <m/>
    <m/>
    <n v="1311.0615618545569"/>
    <m/>
    <m/>
    <m/>
    <m/>
    <m/>
    <m/>
    <m/>
    <m/>
    <m/>
    <m/>
    <m/>
    <m/>
    <n v="594.11059999999998"/>
    <n v="57.722780000000057"/>
    <m/>
    <m/>
    <m/>
    <m/>
    <n v="-4.0951499999999861"/>
    <n v="197.16069999999999"/>
    <n v="30"/>
    <n v="172.67594187410896"/>
    <n v="0"/>
    <n v="0"/>
    <n v="0"/>
    <n v="0"/>
    <n v="0"/>
    <n v="0"/>
    <n v="0"/>
    <n v="0"/>
    <n v="0"/>
    <n v="0"/>
    <n v="186.57114773296576"/>
    <n v="0"/>
    <n v="0"/>
    <n v="0"/>
    <n v="12.459170358424203"/>
    <n v="0"/>
    <n v="-22.336136320701257"/>
    <m/>
    <n v="0"/>
    <n v="0"/>
    <n v="0"/>
    <n v="0"/>
    <n v="-3.28124426155685"/>
    <n v="-0.73699563502271381"/>
    <n v="0"/>
    <n v="20.364313985919736"/>
    <m/>
    <m/>
    <m/>
    <n v="0"/>
    <n v="0"/>
    <n v="0"/>
    <n v="-4.0951499999999896"/>
    <n v="197.1607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1"/>
    <n v="0"/>
    <n v="0"/>
    <n v="758.10400000000004"/>
    <n v="758.10400000000004"/>
    <n v="758.10400000000004"/>
    <n v="758.10400000000004"/>
    <m/>
    <n v="897.25"/>
    <n v="207.07"/>
    <m/>
    <n v="837189.40928000002"/>
    <n v="837189.40928000002"/>
    <n v="839729.05767999997"/>
    <n v="0"/>
    <n v="59708.46220101534"/>
    <n v="0"/>
    <n v="0"/>
    <n v="0"/>
    <n v="151277.50377904231"/>
    <n v="434920.69260867103"/>
    <n v="156984.36323093236"/>
    <n v="0"/>
    <n v="0"/>
    <n v="0"/>
    <n v="0"/>
    <n v="0"/>
    <n v="7587.8095964473277"/>
    <m/>
    <n v="2111.2820291070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00.72204551506"/>
    <n v="0"/>
    <n v="1124.32"/>
    <n v="5218.8999999999996"/>
    <n v="0"/>
    <n v="6140"/>
    <m/>
    <m/>
    <m/>
    <m/>
    <m/>
    <m/>
    <m/>
    <m/>
    <m/>
    <n v="181585.08527644741"/>
    <m/>
    <m/>
    <m/>
    <m/>
    <m/>
    <m/>
    <m/>
    <m/>
    <m/>
    <m/>
    <m/>
    <m/>
    <n v="839724.62700000009"/>
    <n v="2535.1877200000454"/>
    <m/>
    <m/>
    <m/>
    <m/>
    <n v="-22644.566480000005"/>
    <n v="25184.21488"/>
    <n v="31"/>
    <n v="56258.230444258312"/>
    <n v="0"/>
    <n v="0"/>
    <n v="0"/>
    <n v="0"/>
    <n v="0"/>
    <n v="0"/>
    <n v="0"/>
    <n v="32535.5143198726"/>
    <n v="0"/>
    <n v="0"/>
    <n v="23831.564175392152"/>
    <n v="0"/>
    <n v="0"/>
    <n v="0"/>
    <n v="3734.5992563999571"/>
    <n v="0"/>
    <n v="-3279.4186617995801"/>
    <m/>
    <n v="0"/>
    <n v="0"/>
    <n v="0"/>
    <n v="0"/>
    <n v="-419.12795276550878"/>
    <n v="-144.90069284135984"/>
    <n v="0"/>
    <n v="13267.426864210729"/>
    <m/>
    <m/>
    <m/>
    <n v="434920.69260867103"/>
    <n v="0"/>
    <n v="0"/>
    <n v="-22644.566480000038"/>
    <n v="25184.214879999985"/>
    <n v="0"/>
    <n v="0"/>
    <n v="-66985.36234768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135"/>
    <n v="-11.135"/>
    <n v="-11.135"/>
    <n v="-11.135"/>
    <m/>
    <n v="897.25"/>
    <n v="207.07"/>
    <m/>
    <n v="-12296.6032"/>
    <n v="-12296.6032"/>
    <n v="-12333.905449999998"/>
    <n v="0"/>
    <n v="-876.99540776503716"/>
    <n v="0"/>
    <n v="0"/>
    <n v="0"/>
    <n v="-2221.9576793944311"/>
    <n v="-6388.0970318024329"/>
    <n v="-2305.7797935064737"/>
    <n v="0"/>
    <n v="0"/>
    <n v="0"/>
    <n v="0"/>
    <n v="0"/>
    <n v="-111.44943155087032"/>
    <m/>
    <n v="-31.010422572769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1.33438153183494"/>
    <n v="0"/>
    <n v="-4.84"/>
    <n v="-22.3"/>
    <n v="0"/>
    <n v="0"/>
    <m/>
    <m/>
    <m/>
    <m/>
    <m/>
    <m/>
    <m/>
    <m/>
    <m/>
    <n v="-2667.1141750383085"/>
    <m/>
    <m/>
    <m/>
    <m/>
    <m/>
    <m/>
    <m/>
    <m/>
    <m/>
    <m/>
    <m/>
    <m/>
    <n v="-12339.443800000001"/>
    <n v="-42.870600000002014"/>
    <m/>
    <m/>
    <m/>
    <m/>
    <n v="332.60245000000003"/>
    <n v="-369.90469999999999"/>
    <n v="31"/>
    <n v="-826.31854731912154"/>
    <n v="0"/>
    <n v="0"/>
    <n v="0"/>
    <n v="0"/>
    <n v="0"/>
    <n v="0"/>
    <n v="0"/>
    <n v="-477.88028021456375"/>
    <n v="0"/>
    <n v="0"/>
    <n v="-350.03702274752732"/>
    <n v="0"/>
    <n v="0"/>
    <n v="0"/>
    <n v="-54.853638445402567"/>
    <n v="0"/>
    <n v="48.167964816355493"/>
    <m/>
    <n v="0"/>
    <n v="0"/>
    <n v="0"/>
    <n v="0"/>
    <n v="6.1561339262738954"/>
    <n v="2.1282953457421989"/>
    <n v="0"/>
    <n v="-194.87141359626972"/>
    <m/>
    <m/>
    <m/>
    <n v="-6388.0970318024329"/>
    <n v="0"/>
    <n v="0"/>
    <n v="332.60245000000032"/>
    <n v="-369.90470000000005"/>
    <n v="0"/>
    <n v="0"/>
    <n v="983.87821425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7429999999999999"/>
    <n v="3.7429999999999999"/>
    <n v="3.7429999999999999"/>
    <n v="3.7429999999999999"/>
    <m/>
    <n v="897.25"/>
    <n v="207.07"/>
    <m/>
    <n v="4133.46976"/>
    <n v="4133.46976"/>
    <n v="4146.0088099999994"/>
    <n v="0"/>
    <n v="294.79962382258947"/>
    <n v="0"/>
    <n v="0"/>
    <n v="0"/>
    <n v="746.9050376267046"/>
    <n v="2147.3414629579261"/>
    <n v="775.0816135693517"/>
    <n v="0"/>
    <n v="0"/>
    <n v="0"/>
    <n v="0"/>
    <n v="0"/>
    <n v="37.463423645703422"/>
    <m/>
    <n v="10.42406930308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157072956068"/>
    <n v="0"/>
    <n v="6.07"/>
    <n v="28.08"/>
    <n v="0"/>
    <n v="34"/>
    <m/>
    <m/>
    <m/>
    <m/>
    <m/>
    <m/>
    <m/>
    <m/>
    <m/>
    <n v="896.54318429891237"/>
    <m/>
    <m/>
    <m/>
    <m/>
    <m/>
    <m/>
    <m/>
    <m/>
    <m/>
    <m/>
    <m/>
    <m/>
    <n v="4142.6858000000002"/>
    <n v="9.1860399999995934"/>
    <m/>
    <m/>
    <m/>
    <m/>
    <n v="-111.80341000000001"/>
    <n v="124.34245999999999"/>
    <n v="31"/>
    <n v="277.7647348554533"/>
    <n v="0"/>
    <n v="0"/>
    <n v="0"/>
    <n v="0"/>
    <n v="0"/>
    <n v="0"/>
    <n v="0"/>
    <n v="160.63815795627409"/>
    <n v="0"/>
    <n v="0"/>
    <n v="117.66399426528915"/>
    <n v="0"/>
    <n v="0"/>
    <n v="0"/>
    <n v="18.438901544781501"/>
    <n v="0"/>
    <n v="-16.191530517073943"/>
    <m/>
    <n v="0"/>
    <n v="0"/>
    <n v="0"/>
    <n v="0"/>
    <n v="-2.0693676951992117"/>
    <n v="-0.71542069861814461"/>
    <n v="0"/>
    <n v="65.505496281170863"/>
    <m/>
    <m/>
    <m/>
    <n v="2147.3414629579261"/>
    <n v="0"/>
    <n v="0"/>
    <n v="-111.80341000000044"/>
    <n v="124.34245999999996"/>
    <n v="0"/>
    <n v="0"/>
    <n v="-330.7279888608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13"/>
    <n v="2.13"/>
    <n v="2.13"/>
    <n v="2.13"/>
    <m/>
    <n v="808.48"/>
    <n v="207.07"/>
    <m/>
    <n v="2163.1215000000002"/>
    <n v="2163.1215000000002"/>
    <n v="2177.3285999999998"/>
    <n v="0"/>
    <n v="0"/>
    <n v="0"/>
    <n v="0"/>
    <n v="0"/>
    <n v="425.03546089897964"/>
    <n v="1221.9709634251624"/>
    <n v="441.06968658902457"/>
    <n v="0"/>
    <n v="0"/>
    <n v="0"/>
    <n v="0"/>
    <n v="0"/>
    <n v="0"/>
    <m/>
    <n v="5.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19194671109867"/>
    <n v="0"/>
    <n v="2.17"/>
    <n v="10.06"/>
    <n v="0"/>
    <n v="3"/>
    <m/>
    <m/>
    <m/>
    <m/>
    <m/>
    <m/>
    <m/>
    <n v="1415.2571999999998"/>
    <m/>
    <n v="510.18888126013445"/>
    <m/>
    <m/>
    <m/>
    <m/>
    <m/>
    <m/>
    <m/>
    <m/>
    <m/>
    <m/>
    <m/>
    <m/>
    <n v="762.07140000000004"/>
    <n v="4.9329000000001315"/>
    <m/>
    <m/>
    <m/>
    <m/>
    <n v="-56.551500000000139"/>
    <n v="70.758599999999987"/>
    <n v="31"/>
    <n v="168.45701267279139"/>
    <n v="0"/>
    <n v="0"/>
    <n v="0"/>
    <n v="0"/>
    <n v="0"/>
    <n v="0"/>
    <n v="0"/>
    <n v="91.413111527348065"/>
    <n v="0"/>
    <n v="0"/>
    <n v="66.958137265580035"/>
    <n v="0"/>
    <n v="0"/>
    <n v="0"/>
    <n v="10.492882791980918"/>
    <n v="0"/>
    <n v="0"/>
    <m/>
    <n v="0"/>
    <n v="0"/>
    <n v="0"/>
    <n v="0"/>
    <n v="0"/>
    <n v="-0.40711891211772677"/>
    <n v="0"/>
    <n v="33.964138004976611"/>
    <m/>
    <m/>
    <m/>
    <n v="1221.9709634251624"/>
    <n v="0"/>
    <n v="0"/>
    <n v="-56.55150000000026"/>
    <n v="70.758600000000001"/>
    <n v="0"/>
    <n v="0"/>
    <n v="-188.2048133245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4409999999999998"/>
    <n v="4.4409999999999998"/>
    <n v="4.4409999999999998"/>
    <n v="4.4409999999999998"/>
    <m/>
    <n v="808.48"/>
    <n v="207.07"/>
    <m/>
    <n v="4510.0575499999995"/>
    <n v="4510.0575499999995"/>
    <n v="4539.6790199999996"/>
    <n v="0"/>
    <n v="0"/>
    <n v="0"/>
    <n v="0"/>
    <n v="0"/>
    <n v="886.18895861613555"/>
    <n v="2547.7807739770637"/>
    <n v="919.61994278960481"/>
    <n v="0"/>
    <n v="0"/>
    <n v="0"/>
    <n v="0"/>
    <n v="0"/>
    <n v="0"/>
    <m/>
    <n v="12.36796467406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11189837295723"/>
    <n v="0"/>
    <n v="7.03"/>
    <n v="33.090000000000003"/>
    <n v="0"/>
    <n v="11"/>
    <m/>
    <m/>
    <m/>
    <m/>
    <m/>
    <m/>
    <m/>
    <n v="1815.8360799999996"/>
    <m/>
    <n v="1063.731841162562"/>
    <m/>
    <m/>
    <m/>
    <m/>
    <m/>
    <m/>
    <m/>
    <m/>
    <m/>
    <m/>
    <m/>
    <m/>
    <n v="2723.2296000000006"/>
    <n v="17.165070000000014"/>
    <m/>
    <m/>
    <m/>
    <m/>
    <n v="-117.9085500000003"/>
    <n v="147.53001999999998"/>
    <n v="31"/>
    <n v="351.22891703280106"/>
    <n v="0"/>
    <n v="0"/>
    <n v="0"/>
    <n v="0"/>
    <n v="0"/>
    <n v="0"/>
    <n v="0"/>
    <n v="190.59419168683212"/>
    <n v="0"/>
    <n v="0"/>
    <n v="139.60614441147447"/>
    <n v="0"/>
    <n v="0"/>
    <n v="0"/>
    <n v="21.877414309477615"/>
    <n v="0"/>
    <n v="0"/>
    <m/>
    <n v="0"/>
    <n v="0"/>
    <n v="0"/>
    <n v="0"/>
    <n v="0"/>
    <n v="-0.8488333749834851"/>
    <n v="0"/>
    <n v="70.814430460141381"/>
    <m/>
    <m/>
    <m/>
    <n v="2547.7807739770637"/>
    <n v="0"/>
    <n v="0"/>
    <n v="-117.9085500000001"/>
    <n v="147.53002000000004"/>
    <n v="0"/>
    <n v="0"/>
    <n v="-392.4026178282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5710000000000002"/>
    <n v="2.5710000000000002"/>
    <n v="2.5710000000000002"/>
    <n v="2.5710000000000002"/>
    <m/>
    <n v="808.48"/>
    <n v="207.07"/>
    <m/>
    <n v="2610.9790499999999"/>
    <n v="2610.9790499999999"/>
    <n v="2628.1276200000002"/>
    <n v="0"/>
    <n v="0"/>
    <n v="0"/>
    <n v="0"/>
    <n v="0"/>
    <n v="513.03576054989526"/>
    <n v="1474.9705854300903"/>
    <n v="532.38974846027338"/>
    <n v="0"/>
    <n v="0"/>
    <n v="0"/>
    <n v="0"/>
    <n v="0"/>
    <n v="0"/>
    <m/>
    <n v="7.16010744809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429788497381921"/>
    <n v="0"/>
    <n v="4.8600000000000003"/>
    <n v="22.35"/>
    <n v="0"/>
    <n v="53"/>
    <m/>
    <m/>
    <m/>
    <m/>
    <m/>
    <m/>
    <m/>
    <n v="262.80761999999987"/>
    <m/>
    <n v="615.81953695765526"/>
    <m/>
    <m/>
    <m/>
    <m/>
    <m/>
    <m/>
    <m/>
    <m/>
    <m/>
    <m/>
    <m/>
    <m/>
    <n v="2364.3999999999996"/>
    <n v="14.475999999999203"/>
    <m/>
    <m/>
    <m/>
    <m/>
    <n v="-68.260050000000177"/>
    <n v="85.408619999999999"/>
    <n v="31"/>
    <n v="203.33473219800294"/>
    <n v="0"/>
    <n v="0"/>
    <n v="0"/>
    <n v="0"/>
    <n v="0"/>
    <n v="0"/>
    <n v="0"/>
    <n v="110.33948813934819"/>
    <n v="0"/>
    <n v="0"/>
    <n v="80.821300896622688"/>
    <n v="0"/>
    <n v="0"/>
    <n v="0"/>
    <n v="12.665352891165696"/>
    <n v="0"/>
    <n v="0"/>
    <m/>
    <n v="0"/>
    <n v="0"/>
    <n v="0"/>
    <n v="0"/>
    <n v="0"/>
    <n v="-0.49140972913364944"/>
    <n v="0"/>
    <n v="40.996149676429525"/>
    <m/>
    <m/>
    <m/>
    <n v="1474.9705854300903"/>
    <n v="0"/>
    <n v="0"/>
    <n v="-68.260050000000092"/>
    <n v="85.408620000000042"/>
    <n v="0"/>
    <n v="0"/>
    <n v="-227.1711619987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21199999999999999"/>
    <n v="0.21199999999999999"/>
    <n v="0.21199999999999999"/>
    <n v="0.21199999999999999"/>
    <m/>
    <n v="808.48"/>
    <n v="207.07"/>
    <m/>
    <n v="215.29660000000001"/>
    <n v="215.29660000000001"/>
    <n v="216.71063999999996"/>
    <n v="0"/>
    <n v="0"/>
    <n v="0"/>
    <n v="0"/>
    <n v="0"/>
    <n v="42.303998925156662"/>
    <n v="121.6234010545232"/>
    <n v="43.899893688672869"/>
    <n v="0"/>
    <n v="0"/>
    <n v="0"/>
    <n v="0"/>
    <n v="0"/>
    <n v="0"/>
    <m/>
    <n v="0.590409482301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4691409743152"/>
    <n v="0"/>
    <n v="0.28999999999999998"/>
    <n v="1.33"/>
    <n v="0"/>
    <n v="4"/>
    <m/>
    <m/>
    <m/>
    <m/>
    <m/>
    <m/>
    <m/>
    <m/>
    <m/>
    <n v="50.779362829647184"/>
    <m/>
    <m/>
    <m/>
    <m/>
    <m/>
    <m/>
    <m/>
    <m/>
    <m/>
    <m/>
    <m/>
    <m/>
    <n v="214.6662"/>
    <n v="-0.66039999999998145"/>
    <m/>
    <m/>
    <m/>
    <m/>
    <n v="-5.6286000000000147"/>
    <n v="7.0426399999999996"/>
    <n v="31"/>
    <n v="16.766613467902232"/>
    <n v="0"/>
    <n v="0"/>
    <n v="0"/>
    <n v="0"/>
    <n v="0"/>
    <n v="0"/>
    <n v="0"/>
    <n v="9.0983941989660906"/>
    <n v="0"/>
    <n v="0"/>
    <n v="6.6643779813628967"/>
    <n v="0"/>
    <n v="0"/>
    <n v="0"/>
    <n v="1.0443620431455187"/>
    <n v="0"/>
    <n v="0"/>
    <m/>
    <n v="0"/>
    <n v="0"/>
    <n v="0"/>
    <n v="0"/>
    <n v="0"/>
    <n v="-4.0520755572280742E-2"/>
    <n v="0"/>
    <n v="3.3804681958004892"/>
    <m/>
    <m/>
    <m/>
    <n v="121.6234010545232"/>
    <n v="0"/>
    <n v="0"/>
    <n v="-5.6286000000000342"/>
    <n v="7.0426399999999987"/>
    <n v="0"/>
    <n v="0"/>
    <n v="-18.73212226516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"/>
    <s v="Regular"/>
    <s v="Branca"/>
    <s v="B1"/>
    <s v="Residencial"/>
    <s v="Residencial"/>
    <s v="Não se aplica"/>
    <s v="Não se aplica"/>
    <s v="Fora ponta"/>
    <s v="CATIVO"/>
    <x v="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7"/>
    <n v="1.7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.6980000000000004"/>
    <n v="4.6980000000000004"/>
    <n v="4.6980000000000004"/>
    <n v="4.6980000000000004"/>
    <m/>
    <n v="897.25"/>
    <n v="207.07"/>
    <m/>
    <n v="5188.0953600000012"/>
    <n v="5188.0953600000012"/>
    <n v="5203.8336600000002"/>
    <n v="0"/>
    <n v="370.01566463225367"/>
    <n v="0"/>
    <n v="0"/>
    <n v="0"/>
    <n v="937.472579954651"/>
    <n v="2695.220462991274"/>
    <n v="972.83821013860927"/>
    <n v="0"/>
    <n v="0"/>
    <n v="0"/>
    <n v="0"/>
    <n v="0"/>
    <n v="47.021951452715655"/>
    <m/>
    <n v="13.08369692383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516321900818"/>
    <n v="0"/>
    <n v="0"/>
    <n v="0"/>
    <n v="0"/>
    <n v="9"/>
    <m/>
    <m/>
    <m/>
    <m/>
    <m/>
    <m/>
    <m/>
    <m/>
    <m/>
    <n v="1125.2898423286911"/>
    <m/>
    <m/>
    <m/>
    <m/>
    <m/>
    <m/>
    <m/>
    <m/>
    <m/>
    <m/>
    <m/>
    <m/>
    <n v="5206.049"/>
    <n v="17.923639999998159"/>
    <m/>
    <m/>
    <m/>
    <m/>
    <n v="-140.32926000000003"/>
    <n v="156.06756000000001"/>
    <n v="31"/>
    <n v="348.63444412260742"/>
    <n v="0"/>
    <n v="0"/>
    <n v="0"/>
    <n v="0"/>
    <n v="0"/>
    <n v="0"/>
    <n v="0"/>
    <n v="201.62384880539014"/>
    <n v="0"/>
    <n v="0"/>
    <n v="147.68513092661726"/>
    <n v="0"/>
    <n v="0"/>
    <n v="0"/>
    <n v="23.143456974988879"/>
    <n v="0"/>
    <n v="-20.322685110663429"/>
    <m/>
    <n v="0"/>
    <n v="0"/>
    <n v="0"/>
    <n v="0"/>
    <n v="-2.5973522393924355"/>
    <n v="-0.89795523433290114"/>
    <n v="0"/>
    <n v="82.218760761138327"/>
    <m/>
    <m/>
    <m/>
    <n v="2695.220462991274"/>
    <n v="0"/>
    <n v="0"/>
    <n v="-140.32926000000043"/>
    <n v="156.06756000000007"/>
    <n v="0"/>
    <n v="0"/>
    <n v="-415.110898121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65300000000000002"/>
    <n v="0.65300000000000002"/>
    <n v="0.65300000000000002"/>
    <n v="0.65300000000000002"/>
    <m/>
    <n v="897.25"/>
    <n v="207.07"/>
    <m/>
    <n v="721.12096000000008"/>
    <n v="721.12096000000008"/>
    <n v="723.30850999999996"/>
    <n v="0"/>
    <n v="51.430444658335816"/>
    <n v="0"/>
    <n v="0"/>
    <n v="0"/>
    <n v="130.30429857607217"/>
    <n v="374.62302305945121"/>
    <n v="135.21995555992163"/>
    <n v="0"/>
    <n v="0"/>
    <n v="0"/>
    <n v="0"/>
    <n v="0"/>
    <n v="6.5358310554753771"/>
    <m/>
    <n v="1.818572603504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90062967246359"/>
    <n v="0"/>
    <n v="0"/>
    <n v="0"/>
    <n v="0"/>
    <n v="1"/>
    <m/>
    <m/>
    <m/>
    <m/>
    <m/>
    <m/>
    <m/>
    <m/>
    <m/>
    <n v="156.41001852716798"/>
    <m/>
    <m/>
    <m/>
    <m/>
    <m/>
    <m/>
    <m/>
    <m/>
    <m/>
    <m/>
    <m/>
    <m/>
    <n v="719.9855"/>
    <n v="-1.1654600000000528"/>
    <m/>
    <m/>
    <m/>
    <m/>
    <n v="-19.505110000000002"/>
    <n v="21.69266"/>
    <n v="31"/>
    <n v="48.458555132410083"/>
    <n v="0"/>
    <n v="0"/>
    <n v="0"/>
    <n v="0"/>
    <n v="0"/>
    <n v="0"/>
    <n v="0"/>
    <n v="28.024770810966317"/>
    <n v="0"/>
    <n v="0"/>
    <n v="20.527541612405514"/>
    <n v="0"/>
    <n v="0"/>
    <n v="0"/>
    <n v="3.2168321423303041"/>
    <n v="0"/>
    <n v="-2.8247580624230011"/>
    <m/>
    <n v="0"/>
    <n v="0"/>
    <n v="0"/>
    <n v="0"/>
    <n v="-0.36101979828081365"/>
    <n v="-0.12481157258820419"/>
    <n v="0"/>
    <n v="11.42802272818717"/>
    <m/>
    <m/>
    <m/>
    <n v="374.62302305945121"/>
    <n v="0"/>
    <n v="0"/>
    <n v="-19.505110000000059"/>
    <n v="21.692659999999989"/>
    <n v="0"/>
    <n v="0"/>
    <n v="-57.69847093938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1.2150000000000001"/>
    <n v="1.2150000000000001"/>
    <n v="1.2150000000000001"/>
    <n v="1.2150000000000001"/>
    <m/>
    <n v="4750.8599999999997"/>
    <n v="207.07"/>
    <m/>
    <n v="6023.8849499999997"/>
    <n v="6023.8849499999997"/>
    <n v="5868.4135500000011"/>
    <n v="0"/>
    <n v="83.253524542256997"/>
    <n v="0"/>
    <n v="0"/>
    <n v="0"/>
    <n v="1564.1150745634313"/>
    <n v="4093.7648410570287"/>
    <n v="251.59608882895066"/>
    <n v="0"/>
    <n v="0"/>
    <n v="0"/>
    <n v="0"/>
    <n v="0"/>
    <n v="12.160849513633359"/>
    <m/>
    <n v="2.19834707219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1518189294804"/>
    <n v="0"/>
    <n v="0"/>
    <n v="0"/>
    <n v="0"/>
    <n v="0"/>
    <m/>
    <m/>
    <m/>
    <m/>
    <m/>
    <m/>
    <m/>
    <m/>
    <m/>
    <n v="268.39760701824548"/>
    <m/>
    <m/>
    <m/>
    <m/>
    <m/>
    <m/>
    <m/>
    <m/>
    <m/>
    <m/>
    <m/>
    <m/>
    <n v="5892.5634"/>
    <n v="-131.35155000000032"/>
    <m/>
    <m/>
    <m/>
    <m/>
    <n v="-195.83369999999925"/>
    <n v="40.362300000000005"/>
    <n v="31"/>
    <n v="371.74676845521958"/>
    <n v="0"/>
    <n v="0"/>
    <n v="0"/>
    <n v="0"/>
    <n v="0"/>
    <n v="0"/>
    <n v="0"/>
    <n v="336.39693368233952"/>
    <n v="0"/>
    <n v="0"/>
    <n v="38.194430412056192"/>
    <n v="0"/>
    <n v="0"/>
    <n v="0"/>
    <n v="2.5506136454061306"/>
    <n v="0"/>
    <n v="-4.5726041498992487"/>
    <m/>
    <n v="0"/>
    <n v="0"/>
    <n v="0"/>
    <n v="0"/>
    <n v="-0.67172902742907858"/>
    <n v="-0.15087610725401834"/>
    <n v="0"/>
    <n v="103.29242715802616"/>
    <m/>
    <m/>
    <m/>
    <n v="4093.7648410570287"/>
    <n v="0"/>
    <n v="0"/>
    <n v="-195.83369999999923"/>
    <n v="40.362300000000005"/>
    <n v="0"/>
    <n v="0"/>
    <n v="-630.5110929526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121.20399999999999"/>
    <n v="121.20399999999999"/>
    <n v="121.20399999999999"/>
    <n v="121.20399999999999"/>
    <m/>
    <n v="94.17"/>
    <n v="207.07"/>
    <m/>
    <n v="36511.492959999996"/>
    <n v="36511.492959999996"/>
    <n v="40454.259079999996"/>
    <n v="0"/>
    <n v="8305.070114090302"/>
    <n v="0"/>
    <n v="0"/>
    <n v="0"/>
    <n v="0"/>
    <n v="0"/>
    <n v="25098.314691707106"/>
    <n v="0"/>
    <n v="0"/>
    <n v="0"/>
    <n v="0"/>
    <n v="0"/>
    <n v="1213.1223081896439"/>
    <m/>
    <n v="219.299142830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0586095599069"/>
    <n v="0"/>
    <n v="0"/>
    <n v="0"/>
    <n v="0"/>
    <n v="0"/>
    <m/>
    <m/>
    <m/>
    <m/>
    <m/>
    <m/>
    <m/>
    <m/>
    <m/>
    <n v="26774.373301267013"/>
    <m/>
    <m/>
    <m/>
    <m/>
    <m/>
    <m/>
    <m/>
    <m/>
    <m/>
    <m/>
    <m/>
    <m/>
    <n v="40452.923999999999"/>
    <n v="3941.4010400000043"/>
    <m/>
    <m/>
    <m/>
    <m/>
    <n v="-83.630759999999725"/>
    <n v="4026.3968799999998"/>
    <n v="31"/>
    <n v="3526.3715010799497"/>
    <n v="0"/>
    <n v="0"/>
    <n v="0"/>
    <n v="0"/>
    <n v="0"/>
    <n v="0"/>
    <n v="0"/>
    <n v="0"/>
    <n v="0"/>
    <n v="0"/>
    <n v="3810.1380606278653"/>
    <n v="0"/>
    <n v="0"/>
    <n v="0"/>
    <n v="254.43998047555965"/>
    <n v="0"/>
    <n v="-456.14643076904576"/>
    <m/>
    <n v="0"/>
    <n v="0"/>
    <n v="0"/>
    <n v="0"/>
    <n v="-67.009255177377781"/>
    <n v="-15.050854077050246"/>
    <n v="0"/>
    <n v="415.87806442281646"/>
    <m/>
    <m/>
    <m/>
    <n v="0"/>
    <n v="0"/>
    <n v="0"/>
    <n v="-83.630760000000009"/>
    <n v="4026.396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64"/>
    <n v="964"/>
    <n v="0"/>
    <n v="0"/>
    <n v="0"/>
    <n v="0"/>
    <n v="73.75"/>
    <m/>
    <m/>
    <n v="71095"/>
    <m/>
    <n v="71095"/>
    <n v="71731.239999999991"/>
    <n v="0"/>
    <n v="0"/>
    <n v="0"/>
    <n v="0"/>
    <n v="0"/>
    <n v="28012.158314910179"/>
    <n v="43082.725027791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1731.239999999991"/>
    <n v="636.2100000000064"/>
    <m/>
    <m/>
    <m/>
    <m/>
    <n v="636.23999999999671"/>
    <n v="0"/>
    <n v="31"/>
    <n v="6024.6233261257003"/>
    <n v="0"/>
    <n v="0"/>
    <n v="0"/>
    <n v="0"/>
    <m/>
    <m/>
    <m/>
    <n v="6024.6233261257003"/>
    <n v="0"/>
    <n v="0"/>
    <m/>
    <m/>
    <n v="0"/>
    <n v="0"/>
    <n v="0"/>
    <n v="0"/>
    <n v="0"/>
    <m/>
    <n v="0"/>
    <n v="0"/>
    <m/>
    <n v="0"/>
    <n v="0"/>
    <n v="0"/>
    <n v="0"/>
    <n v="1245.5501123457871"/>
    <m/>
    <m/>
    <n v="43082.725027791923"/>
    <m/>
    <n v="0"/>
    <n v="0"/>
    <n v="636.23999999999069"/>
    <m/>
    <n v="0"/>
    <m/>
    <n v="-6635.490092693187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7"/>
    <s v="Regular"/>
    <s v="Convencional"/>
    <s v="B3"/>
    <s v="Comercial"/>
    <s v="Não se aplica"/>
    <s v="Não se aplica"/>
    <s v="Não se aplica"/>
    <s v="Não se aplica"/>
    <s v="CATIVO"/>
    <x v="1"/>
    <n v="0"/>
    <n v="0"/>
    <n v="88.447000000000003"/>
    <n v="88.447000000000003"/>
    <n v="88.447000000000003"/>
    <n v="88.447000000000003"/>
    <m/>
    <n v="897.25"/>
    <n v="207.07"/>
    <m/>
    <n v="97673.791039999996"/>
    <n v="97673.791039999996"/>
    <n v="97970.088489999995"/>
    <n v="0"/>
    <n v="6966.1080225050964"/>
    <n v="0"/>
    <n v="0"/>
    <n v="0"/>
    <n v="17649.348079874206"/>
    <n v="50741.627137119875"/>
    <n v="18315.159891896459"/>
    <n v="0"/>
    <n v="0"/>
    <n v="0"/>
    <n v="0"/>
    <n v="0"/>
    <n v="885.25979994430418"/>
    <m/>
    <n v="246.32050698641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0.1339958101667"/>
    <n v="0"/>
    <n v="127.85"/>
    <n v="591.39"/>
    <n v="0"/>
    <n v="232"/>
    <m/>
    <m/>
    <m/>
    <m/>
    <m/>
    <m/>
    <m/>
    <m/>
    <m/>
    <n v="21185.293887706626"/>
    <m/>
    <m/>
    <m/>
    <m/>
    <m/>
    <m/>
    <m/>
    <m/>
    <m/>
    <m/>
    <m/>
    <m/>
    <n v="97973.411500000002"/>
    <n v="299.59046000002127"/>
    <m/>
    <m/>
    <m/>
    <m/>
    <n v="-2641.9118900000003"/>
    <n v="2938.2093399999999"/>
    <n v="31"/>
    <n v="6563.5740058135925"/>
    <n v="0"/>
    <n v="0"/>
    <n v="0"/>
    <n v="0"/>
    <n v="0"/>
    <n v="0"/>
    <n v="0"/>
    <n v="3795.8758099809165"/>
    <n v="0"/>
    <n v="0"/>
    <n v="2780.397355271718"/>
    <n v="0"/>
    <n v="0"/>
    <n v="0"/>
    <n v="435.71080014194195"/>
    <n v="0"/>
    <n v="-382.60547679498814"/>
    <m/>
    <n v="0"/>
    <n v="0"/>
    <n v="0"/>
    <n v="0"/>
    <n v="-48.899108879851497"/>
    <n v="-16.905373906139204"/>
    <n v="0"/>
    <n v="1547.8933020520224"/>
    <m/>
    <m/>
    <m/>
    <n v="50741.627137119875"/>
    <n v="0"/>
    <n v="0"/>
    <n v="-2641.911890000003"/>
    <n v="2938.2093399999976"/>
    <n v="0"/>
    <n v="0"/>
    <n v="-7815.094424465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8600000000000005"/>
    <n v="0.68600000000000005"/>
    <n v="0.68600000000000005"/>
    <n v="0.68600000000000005"/>
    <m/>
    <n v="897.25"/>
    <n v="207.07"/>
    <m/>
    <n v="757.56352000000004"/>
    <n v="757.56352000000004"/>
    <n v="759.86162000000002"/>
    <n v="0"/>
    <n v="54.029532979507458"/>
    <n v="0"/>
    <n v="0"/>
    <n v="0"/>
    <n v="136.88935501253525"/>
    <n v="393.55496756322134"/>
    <n v="142.05342957749806"/>
    <n v="0"/>
    <n v="0"/>
    <n v="0"/>
    <n v="0"/>
    <n v="0"/>
    <n v="6.8661257336234431"/>
    <m/>
    <n v="1.9104759663151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0923729756513"/>
    <n v="0"/>
    <n v="11.7"/>
    <n v="54.04"/>
    <n v="0"/>
    <n v="6"/>
    <m/>
    <m/>
    <m/>
    <m/>
    <m/>
    <m/>
    <m/>
    <m/>
    <m/>
    <n v="164.31435330725458"/>
    <m/>
    <m/>
    <m/>
    <m/>
    <m/>
    <m/>
    <m/>
    <m/>
    <m/>
    <m/>
    <m/>
    <m/>
    <n v="764.29229999999984"/>
    <n v="6.6987799999998288"/>
    <m/>
    <m/>
    <m/>
    <m/>
    <n v="-20.490820000000006"/>
    <n v="22.788920000000001"/>
    <n v="31"/>
    <n v="50.907456080908617"/>
    <n v="0"/>
    <n v="0"/>
    <n v="0"/>
    <n v="0"/>
    <n v="0"/>
    <n v="0"/>
    <n v="0"/>
    <n v="29.441030285333682"/>
    <n v="0"/>
    <n v="0"/>
    <n v="21.564921203844079"/>
    <n v="0"/>
    <n v="0"/>
    <n v="0"/>
    <n v="3.379397932065217"/>
    <n v="0"/>
    <n v="-2.9675100012590789"/>
    <m/>
    <n v="0"/>
    <n v="0"/>
    <n v="0"/>
    <n v="0"/>
    <n v="-0.37926429038382459"/>
    <n v="-0.13111904869143665"/>
    <n v="0"/>
    <n v="12.005549144772433"/>
    <m/>
    <m/>
    <m/>
    <n v="393.55496756322134"/>
    <n v="0"/>
    <n v="0"/>
    <n v="-20.490819999999985"/>
    <n v="22.78891999999999"/>
    <n v="0"/>
    <n v="0"/>
    <n v="-60.6143201599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100"/>
    <n v="100"/>
    <n v="3.3570000000000002"/>
    <n v="3.3570000000000002"/>
    <n v="3.3570000000000002"/>
    <n v="3.3570000000000002"/>
    <n v="193.63"/>
    <n v="94.17"/>
    <n v="207.07"/>
    <n v="19363"/>
    <n v="1011.26268"/>
    <n v="20374.26268"/>
    <n v="19815.465889999999"/>
    <n v="0"/>
    <n v="230.02640484638414"/>
    <n v="0"/>
    <n v="0"/>
    <n v="0"/>
    <n v="5352.7545792855199"/>
    <n v="14009.762805225198"/>
    <n v="695.15067506073035"/>
    <n v="0"/>
    <n v="0"/>
    <n v="0"/>
    <n v="0"/>
    <n v="0"/>
    <n v="33.599976804335128"/>
    <m/>
    <n v="6.073951540216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21972478570083"/>
    <n v="0"/>
    <n v="0"/>
    <n v="0"/>
    <n v="0"/>
    <n v="0"/>
    <m/>
    <m/>
    <m/>
    <m/>
    <m/>
    <m/>
    <m/>
    <m/>
    <m/>
    <n v="741.57264753930042"/>
    <m/>
    <m/>
    <m/>
    <m/>
    <m/>
    <m/>
    <m/>
    <m/>
    <m/>
    <m/>
    <m/>
    <m/>
    <n v="19816.467199999999"/>
    <n v="-557.82547999999588"/>
    <m/>
    <m/>
    <m/>
    <m/>
    <n v="-670.31633000000068"/>
    <n v="111.51954000000001"/>
    <n v="31"/>
    <n v="1248.8964673287282"/>
    <n v="0"/>
    <n v="0"/>
    <n v="0"/>
    <n v="0"/>
    <n v="0"/>
    <n v="0"/>
    <n v="0"/>
    <n v="1151.2261831043998"/>
    <n v="0"/>
    <n v="0"/>
    <n v="105.52979661997756"/>
    <n v="0"/>
    <n v="0"/>
    <n v="0"/>
    <n v="7.0472510350850968"/>
    <n v="0"/>
    <n v="-12.633935910462384"/>
    <m/>
    <n v="0"/>
    <n v="0"/>
    <n v="0"/>
    <n v="0"/>
    <n v="-1.8559624239336721"/>
    <n v="-0.41686509633888047"/>
    <n v="0"/>
    <n v="350.74114176281466"/>
    <m/>
    <m/>
    <n v="14009.762805225198"/>
    <n v="0"/>
    <n v="0"/>
    <n v="0"/>
    <n v="-670.31633000000147"/>
    <n v="111.51954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100"/>
    <n v="100"/>
    <n v="30.492000000000001"/>
    <n v="30.492000000000001"/>
    <n v="30.492000000000001"/>
    <n v="30.492000000000001"/>
    <n v="73.75"/>
    <n v="94.17"/>
    <n v="207.07"/>
    <n v="7375"/>
    <n v="9185.4100799999997"/>
    <n v="16560.410080000001"/>
    <n v="17618.314839999999"/>
    <n v="0"/>
    <n v="2089.3551196234571"/>
    <n v="0"/>
    <n v="0"/>
    <n v="0"/>
    <n v="2905.8255513392301"/>
    <n v="4469.1623472813199"/>
    <n v="6314.1299922406288"/>
    <n v="0"/>
    <n v="0"/>
    <n v="0"/>
    <n v="0"/>
    <n v="0"/>
    <n v="305.19228260881346"/>
    <m/>
    <n v="55.170369485938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55878706154"/>
    <n v="0"/>
    <n v="0"/>
    <n v="0"/>
    <n v="0"/>
    <n v="0"/>
    <m/>
    <m/>
    <m/>
    <m/>
    <m/>
    <m/>
    <m/>
    <m/>
    <m/>
    <n v="6735.7858709467828"/>
    <m/>
    <m/>
    <m/>
    <m/>
    <m/>
    <m/>
    <m/>
    <m/>
    <m/>
    <m/>
    <m/>
    <m/>
    <n v="17617.647300000001"/>
    <n v="1057.2072200000002"/>
    <m/>
    <m/>
    <m/>
    <m/>
    <n v="44.960519999999732"/>
    <n v="1012.94424"/>
    <n v="31"/>
    <n v="1512.1108534319628"/>
    <n v="0"/>
    <n v="0"/>
    <n v="0"/>
    <n v="0"/>
    <n v="0"/>
    <n v="0"/>
    <n v="0"/>
    <n v="624.9609259466497"/>
    <n v="0"/>
    <n v="0"/>
    <n v="958.53874248923239"/>
    <n v="0"/>
    <n v="0"/>
    <n v="0"/>
    <n v="64.010955782488736"/>
    <n v="0"/>
    <n v="-114.75542859154575"/>
    <m/>
    <n v="0"/>
    <n v="0"/>
    <n v="0"/>
    <n v="0"/>
    <n v="-16.857910703183109"/>
    <n v="-3.7864314916786199"/>
    <n v="0"/>
    <n v="233.83132306448792"/>
    <m/>
    <m/>
    <n v="4469.1623472813199"/>
    <n v="0"/>
    <n v="0"/>
    <n v="0"/>
    <n v="44.960519999998724"/>
    <n v="1012.9442399999998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2.05"/>
    <n v="1209.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0.47099999999999997"/>
    <n v="0.47099999999999997"/>
    <n v="0.47099999999999997"/>
    <n v="0.47099999999999997"/>
    <m/>
    <n v="4750.8599999999997"/>
    <n v="207.07"/>
    <m/>
    <n v="2335.1850299999996"/>
    <n v="2335.1850299999996"/>
    <n v="2274.9158700000003"/>
    <n v="0"/>
    <n v="32.273588526257647"/>
    <n v="0"/>
    <n v="0"/>
    <n v="0"/>
    <n v="606.33596717644127"/>
    <n v="1586.965629743095"/>
    <n v="97.532310978136422"/>
    <n v="0"/>
    <n v="0"/>
    <n v="0"/>
    <n v="0"/>
    <n v="0"/>
    <n v="4.7142058608405852"/>
    <m/>
    <n v="0.8521987415675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131811252327996"/>
    <n v="0"/>
    <n v="0"/>
    <n v="0"/>
    <n v="0"/>
    <n v="0"/>
    <m/>
    <m/>
    <m/>
    <m/>
    <m/>
    <m/>
    <m/>
    <m/>
    <m/>
    <n v="104.04549210336923"/>
    <m/>
    <m/>
    <m/>
    <m/>
    <m/>
    <m/>
    <m/>
    <m/>
    <m/>
    <m/>
    <m/>
    <m/>
    <n v="2270.0859"/>
    <n v="-65.129130000000259"/>
    <m/>
    <m/>
    <m/>
    <m/>
    <n v="-75.9157799999997"/>
    <n v="15.646619999999999"/>
    <n v="31"/>
    <n v="144.1092411048628"/>
    <n v="0"/>
    <n v="0"/>
    <n v="0"/>
    <n v="0"/>
    <n v="0"/>
    <n v="0"/>
    <n v="0"/>
    <n v="130.40572490895624"/>
    <n v="0"/>
    <n v="0"/>
    <n v="14.806235986895857"/>
    <n v="0"/>
    <n v="0"/>
    <n v="0"/>
    <n v="0.98875640081176019"/>
    <n v="0"/>
    <n v="-1.7725897568745275"/>
    <m/>
    <n v="0"/>
    <n v="0"/>
    <n v="0"/>
    <n v="0"/>
    <n v="-0.26039866001571621"/>
    <n v="-5.8487774910817025E-2"/>
    <n v="0"/>
    <n v="40.041755713111378"/>
    <m/>
    <m/>
    <m/>
    <n v="1586.965629743095"/>
    <n v="0"/>
    <n v="0"/>
    <n v="-75.915779999999359"/>
    <n v="15.646619999999999"/>
    <n v="0"/>
    <n v="0"/>
    <n v="-244.4203496137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74.941999999999993"/>
    <n v="74.941999999999993"/>
    <n v="74.941999999999993"/>
    <n v="74.941999999999993"/>
    <m/>
    <n v="94.17"/>
    <n v="207.07"/>
    <m/>
    <n v="22575.528079999996"/>
    <n v="22575.528079999996"/>
    <n v="25013.391339999998"/>
    <n v="0"/>
    <n v="5135.132210901912"/>
    <n v="0"/>
    <n v="0"/>
    <n v="0"/>
    <n v="0"/>
    <n v="0"/>
    <n v="15518.612418945859"/>
    <n v="0"/>
    <n v="0"/>
    <n v="0"/>
    <n v="0"/>
    <n v="0"/>
    <n v="750.08920514461806"/>
    <m/>
    <n v="135.595494884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3287046437292"/>
    <n v="0"/>
    <n v="0"/>
    <n v="0"/>
    <n v="0"/>
    <n v="0"/>
    <m/>
    <m/>
    <m/>
    <m/>
    <m/>
    <m/>
    <m/>
    <m/>
    <m/>
    <n v="16554.94112358959"/>
    <m/>
    <m/>
    <m/>
    <m/>
    <m/>
    <m/>
    <m/>
    <m/>
    <m/>
    <m/>
    <m/>
    <m/>
    <n v="25012.7238"/>
    <n v="2437.1657200000045"/>
    <m/>
    <m/>
    <m/>
    <m/>
    <n v="-51.709979999999824"/>
    <n v="2489.5732399999997"/>
    <n v="31"/>
    <n v="2180.4010844026125"/>
    <n v="0"/>
    <n v="0"/>
    <n v="0"/>
    <n v="0"/>
    <n v="0"/>
    <n v="0"/>
    <n v="0"/>
    <n v="0"/>
    <n v="0"/>
    <n v="0"/>
    <n v="2355.8576164117821"/>
    <n v="0"/>
    <n v="0"/>
    <n v="0"/>
    <n v="157.32352906504229"/>
    <n v="0"/>
    <n v="-282.04123473395066"/>
    <m/>
    <n v="0"/>
    <n v="0"/>
    <n v="0"/>
    <n v="0"/>
    <n v="-41.432688702543146"/>
    <n v="-9.3061376377206813"/>
    <n v="0"/>
    <n v="257.14278327427076"/>
    <m/>
    <m/>
    <m/>
    <n v="0"/>
    <n v="0"/>
    <n v="0"/>
    <n v="-51.709979999999632"/>
    <n v="2489.5732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392"/>
    <n v="392"/>
    <n v="0"/>
    <n v="0"/>
    <n v="0"/>
    <n v="0"/>
    <n v="73.75"/>
    <m/>
    <m/>
    <n v="28910"/>
    <m/>
    <n v="28910"/>
    <n v="29168.719999999998"/>
    <n v="0"/>
    <n v="0"/>
    <n v="0"/>
    <n v="0"/>
    <n v="0"/>
    <n v="11390.836161249781"/>
    <n v="17519.1164013427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168.719999999998"/>
    <n v="258.69000000000233"/>
    <m/>
    <m/>
    <m/>
    <m/>
    <n v="258.71999999999866"/>
    <n v="0"/>
    <n v="31"/>
    <n v="2449.8468297108684"/>
    <n v="0"/>
    <n v="0"/>
    <n v="0"/>
    <n v="0"/>
    <m/>
    <m/>
    <m/>
    <n v="2449.8468297108684"/>
    <n v="0"/>
    <n v="0"/>
    <m/>
    <m/>
    <n v="0"/>
    <n v="0"/>
    <n v="0"/>
    <n v="0"/>
    <n v="0"/>
    <m/>
    <n v="0"/>
    <n v="0"/>
    <m/>
    <n v="0"/>
    <n v="0"/>
    <n v="0"/>
    <n v="0"/>
    <n v="506.48925730243627"/>
    <m/>
    <m/>
    <n v="17519.116401342773"/>
    <m/>
    <n v="0"/>
    <n v="0"/>
    <n v="258.71999999999753"/>
    <m/>
    <n v="0"/>
    <m/>
    <n v="-2698.2490833358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1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23599999999999999"/>
    <n v="0.23599999999999999"/>
    <n v="0.23599999999999999"/>
    <n v="0.23599999999999999"/>
    <m/>
    <n v="595.67999999999995"/>
    <n v="207.07"/>
    <m/>
    <n v="189.44899999999998"/>
    <n v="189.44899999999998"/>
    <n v="193.17543999999998"/>
    <n v="0"/>
    <n v="18.587419508985072"/>
    <n v="0"/>
    <n v="0"/>
    <n v="0"/>
    <n v="28.726569229182431"/>
    <n v="82.589164799705415"/>
    <n v="48.869692974183003"/>
    <n v="0"/>
    <n v="0"/>
    <n v="0"/>
    <n v="0"/>
    <n v="0"/>
    <n v="2.3621073952407179"/>
    <m/>
    <n v="0.6572482916186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2769682544267"/>
    <n v="0"/>
    <n v="0"/>
    <n v="0"/>
    <n v="0"/>
    <n v="0"/>
    <m/>
    <m/>
    <m/>
    <m/>
    <m/>
    <m/>
    <m/>
    <m/>
    <m/>
    <n v="56.52796994243743"/>
    <m/>
    <m/>
    <m/>
    <m/>
    <m/>
    <m/>
    <m/>
    <m/>
    <m/>
    <m/>
    <m/>
    <m/>
    <n v="196.4496"/>
    <n v="6.9706000000000472"/>
    <m/>
    <m/>
    <m/>
    <m/>
    <n v="-4.1134799999999876"/>
    <n v="7.8399199999999993"/>
    <n v="31"/>
    <n v="13.5632240651167"/>
    <n v="0"/>
    <n v="0"/>
    <n v="0"/>
    <n v="0"/>
    <n v="0"/>
    <n v="0"/>
    <n v="0"/>
    <n v="6.1782729167847634"/>
    <n v="0"/>
    <n v="0"/>
    <n v="7.4188358660454838"/>
    <n v="0"/>
    <n v="0"/>
    <n v="0"/>
    <n v="1.162591708407275"/>
    <n v="0"/>
    <n v="-1.0208926534943785"/>
    <m/>
    <n v="0"/>
    <n v="0"/>
    <n v="0"/>
    <n v="0"/>
    <n v="-0.13047576170638875"/>
    <n v="-4.5108010920085984E-2"/>
    <n v="0"/>
    <n v="2.8833318222786777"/>
    <m/>
    <m/>
    <m/>
    <n v="82.589164799705415"/>
    <n v="0"/>
    <n v="0"/>
    <n v="-4.1134800000000098"/>
    <n v="7.8399199999999993"/>
    <n v="0"/>
    <n v="0"/>
    <n v="-12.72016996229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n v="31"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43.643999999999998"/>
    <n v="43.643999999999998"/>
    <n v="43.643999999999998"/>
    <n v="43.643999999999998"/>
    <m/>
    <n v="897.25"/>
    <n v="207.07"/>
    <m/>
    <n v="48196.942079999993"/>
    <n v="48196.942079999993"/>
    <n v="48343.149479999993"/>
    <n v="0"/>
    <n v="3437.4124451277307"/>
    <n v="0"/>
    <n v="0"/>
    <n v="0"/>
    <n v="8709.0364579695161"/>
    <n v="25038.357149167972"/>
    <n v="9037.5800007001817"/>
    <n v="0"/>
    <n v="0"/>
    <n v="0"/>
    <n v="0"/>
    <n v="0"/>
    <n v="436.82972524527918"/>
    <m/>
    <n v="121.5463747432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2620339088821"/>
    <n v="0"/>
    <n v="25.81"/>
    <n v="119.4"/>
    <n v="0"/>
    <n v="167"/>
    <m/>
    <m/>
    <m/>
    <m/>
    <m/>
    <n v="5801.1604800000005"/>
    <m/>
    <m/>
    <m/>
    <n v="10453.842034609064"/>
    <m/>
    <m/>
    <m/>
    <m/>
    <m/>
    <m/>
    <m/>
    <m/>
    <m/>
    <m/>
    <m/>
    <m/>
    <n v="42538.09"/>
    <n v="124.38435999999638"/>
    <m/>
    <m/>
    <m/>
    <m/>
    <n v="-1303.6462800000002"/>
    <n v="1449.8536799999999"/>
    <n v="31"/>
    <n v="3238.7828180687684"/>
    <n v="0"/>
    <n v="0"/>
    <n v="0"/>
    <n v="0"/>
    <n v="0"/>
    <n v="0"/>
    <n v="0"/>
    <n v="1873.0675302814907"/>
    <n v="0"/>
    <n v="0"/>
    <n v="1371.9816632952934"/>
    <n v="0"/>
    <n v="0"/>
    <n v="0"/>
    <n v="215.00064627850497"/>
    <n v="0"/>
    <n v="-188.79592783520593"/>
    <m/>
    <n v="0"/>
    <n v="0"/>
    <n v="0"/>
    <n v="0"/>
    <n v="-24.129170101328896"/>
    <n v="-8.341923849984056"/>
    <n v="0"/>
    <n v="763.80493713476392"/>
    <m/>
    <m/>
    <m/>
    <n v="25038.357149167972"/>
    <n v="0"/>
    <n v="0"/>
    <n v="-1303.6462800000008"/>
    <n v="1449.8536800000002"/>
    <n v="0"/>
    <n v="0"/>
    <n v="-3856.3431327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23200000000000001"/>
    <n v="-0.23200000000000001"/>
    <n v="-0.23200000000000001"/>
    <n v="-0.23200000000000001"/>
    <m/>
    <n v="897.25"/>
    <n v="207.07"/>
    <m/>
    <n v="-256.20224000000002"/>
    <n v="-256.20224000000002"/>
    <n v="-256.97944000000001"/>
    <n v="0"/>
    <n v="-18.272378500358208"/>
    <n v="0"/>
    <n v="0"/>
    <n v="0"/>
    <n v="-46.294942219982765"/>
    <n v="-133.0973068143839"/>
    <n v="-48.041393093264652"/>
    <n v="0"/>
    <n v="0"/>
    <n v="0"/>
    <n v="0"/>
    <n v="0"/>
    <n v="-2.3220716766773162"/>
    <m/>
    <n v="-0.6461084900657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84756637077423"/>
    <n v="0"/>
    <n v="0"/>
    <n v="0"/>
    <n v="0"/>
    <n v="0"/>
    <m/>
    <m/>
    <m/>
    <m/>
    <m/>
    <n v="-30.837440000000004"/>
    <m/>
    <m/>
    <m/>
    <n v="-55.569868756972397"/>
    <m/>
    <m/>
    <m/>
    <m/>
    <m/>
    <m/>
    <m/>
    <m/>
    <m/>
    <m/>
    <m/>
    <m/>
    <n v="-224.1925"/>
    <n v="1.2374200000000428"/>
    <m/>
    <m/>
    <m/>
    <m/>
    <n v="6.9298400000000013"/>
    <n v="-7.7070400000000001"/>
    <n v="31"/>
    <n v="-17.216515759141117"/>
    <n v="0"/>
    <n v="0"/>
    <n v="0"/>
    <n v="0"/>
    <n v="0"/>
    <n v="0"/>
    <n v="0"/>
    <n v="-9.9567332743402588"/>
    <n v="0"/>
    <n v="0"/>
    <n v="-7.2930928852650538"/>
    <n v="0"/>
    <n v="0"/>
    <n v="0"/>
    <n v="-1.1428867641969829"/>
    <n v="0"/>
    <n v="1.003589388180913"/>
    <m/>
    <n v="0"/>
    <n v="0"/>
    <n v="0"/>
    <n v="0"/>
    <n v="0.12826430811814493"/>
    <n v="4.4343468362118554E-2"/>
    <n v="0"/>
    <n v="-4.0601857165994231"/>
    <m/>
    <m/>
    <m/>
    <n v="-133.0973068143839"/>
    <n v="0"/>
    <n v="0"/>
    <n v="6.9298399999999845"/>
    <n v="-7.7070399999999992"/>
    <n v="0"/>
    <n v="0"/>
    <n v="20.49930361093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246"/>
    <n v="0.246"/>
    <n v="0.246"/>
    <n v="0.246"/>
    <m/>
    <n v="897.25"/>
    <n v="207.07"/>
    <m/>
    <n v="271.66271999999998"/>
    <n v="271.66271999999998"/>
    <n v="272.48681999999997"/>
    <n v="0"/>
    <n v="19.375022030552234"/>
    <n v="0"/>
    <n v="0"/>
    <n v="0"/>
    <n v="49.088602526361029"/>
    <n v="141.12904084628636"/>
    <n v="50.940442676478895"/>
    <n v="0"/>
    <n v="0"/>
    <n v="0"/>
    <n v="0"/>
    <n v="0"/>
    <n v="2.4621966916492228"/>
    <m/>
    <n v="0.6850977955007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827802296211399"/>
    <n v="0"/>
    <n v="0"/>
    <n v="0"/>
    <n v="0"/>
    <n v="3"/>
    <m/>
    <m/>
    <m/>
    <m/>
    <m/>
    <n v="32.698320000000002"/>
    <m/>
    <m/>
    <m/>
    <n v="58.923222906100037"/>
    <m/>
    <m/>
    <m/>
    <m/>
    <m/>
    <m/>
    <m/>
    <m/>
    <m/>
    <m/>
    <m/>
    <m/>
    <n v="243.6875"/>
    <n v="4.5922400000000323"/>
    <m/>
    <m/>
    <m/>
    <m/>
    <n v="-7.3480200000000009"/>
    <n v="8.1721199999999996"/>
    <n v="31"/>
    <n v="18.255443434261679"/>
    <n v="0"/>
    <n v="0"/>
    <n v="0"/>
    <n v="0"/>
    <n v="0"/>
    <n v="0"/>
    <n v="0"/>
    <n v="10.557570627102173"/>
    <n v="0"/>
    <n v="0"/>
    <n v="7.733193317996566"/>
    <n v="0"/>
    <n v="0"/>
    <n v="0"/>
    <n v="1.2118540689330075"/>
    <n v="0"/>
    <n v="-1.0641508167780351"/>
    <m/>
    <n v="0"/>
    <n v="0"/>
    <n v="0"/>
    <n v="0"/>
    <n v="-0.13600439567699851"/>
    <n v="-4.7019367315005001E-2"/>
    <n v="0"/>
    <n v="4.3051969236355951"/>
    <m/>
    <m/>
    <m/>
    <n v="141.12904084628636"/>
    <n v="0"/>
    <n v="0"/>
    <n v="-7.3480200000000195"/>
    <n v="8.1721199999999996"/>
    <n v="0"/>
    <n v="0"/>
    <n v="-21.73633055297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"/>
    <n v="16"/>
    <n v="16"/>
    <n v="16"/>
    <m/>
    <n v="897.25"/>
    <n v="207.07"/>
    <m/>
    <n v="17669.12"/>
    <n v="17669.12"/>
    <n v="17722.72"/>
    <n v="0"/>
    <n v="1260.1640345074625"/>
    <n v="0"/>
    <n v="0"/>
    <n v="0"/>
    <n v="3192.7546358608802"/>
    <n v="9179.1246078885433"/>
    <n v="3313.1995236734242"/>
    <n v="0"/>
    <n v="0"/>
    <n v="0"/>
    <n v="0"/>
    <n v="0"/>
    <n v="160.142874253608"/>
    <m/>
    <n v="44.55920621143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20521818674081"/>
    <n v="0"/>
    <n v="119.52"/>
    <n v="552.44000000000005"/>
    <n v="0"/>
    <n v="33"/>
    <m/>
    <m/>
    <m/>
    <m/>
    <m/>
    <m/>
    <m/>
    <m/>
    <m/>
    <n v="3832.4047418601649"/>
    <m/>
    <m/>
    <m/>
    <m/>
    <m/>
    <m/>
    <m/>
    <m/>
    <m/>
    <m/>
    <m/>
    <m/>
    <n v="17722.72"/>
    <n v="53.570000000003347"/>
    <m/>
    <m/>
    <m/>
    <m/>
    <n v="-477.92000000000007"/>
    <n v="531.52"/>
    <n v="31"/>
    <n v="1187.3459144235276"/>
    <n v="0"/>
    <n v="0"/>
    <n v="0"/>
    <n v="0"/>
    <n v="0"/>
    <n v="0"/>
    <n v="0"/>
    <n v="686.67126029932797"/>
    <n v="0"/>
    <n v="0"/>
    <n v="502.97192312172774"/>
    <n v="0"/>
    <n v="0"/>
    <n v="0"/>
    <n v="78.819776841171233"/>
    <n v="0"/>
    <n v="-69.21306125385604"/>
    <m/>
    <n v="0"/>
    <n v="0"/>
    <n v="0"/>
    <n v="0"/>
    <n v="-8.8458143529755091"/>
    <n v="-3.0581702318702426"/>
    <n v="0"/>
    <n v="280.0128080413395"/>
    <m/>
    <m/>
    <m/>
    <n v="9179.1246078885433"/>
    <n v="0"/>
    <n v="0"/>
    <n v="-477.92000000000007"/>
    <n v="531.52"/>
    <n v="0"/>
    <n v="0"/>
    <n v="-1413.745076615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1.803"/>
    <n v="291.803"/>
    <n v="291.803"/>
    <n v="291.803"/>
    <m/>
    <n v="493.49"/>
    <n v="113.89"/>
    <m/>
    <n v="177235.30614"/>
    <n v="177235.30614"/>
    <n v="177772.22365999999"/>
    <n v="0"/>
    <n v="12640.362823047466"/>
    <n v="0"/>
    <n v="0"/>
    <n v="0"/>
    <n v="32025.653722153933"/>
    <n v="92073.303367227301"/>
    <n v="33233.803645847634"/>
    <n v="0"/>
    <n v="0"/>
    <n v="0"/>
    <n v="0"/>
    <n v="0"/>
    <n v="1606.3496327940027"/>
    <m/>
    <n v="446.96128297269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8.0063847124984"/>
    <n v="0"/>
    <n v="1281.3499999999999"/>
    <n v="5913.99"/>
    <n v="0"/>
    <n v="3"/>
    <m/>
    <m/>
    <m/>
    <m/>
    <m/>
    <m/>
    <m/>
    <m/>
    <m/>
    <n v="38441.810030560133"/>
    <m/>
    <m/>
    <m/>
    <m/>
    <m/>
    <m/>
    <m/>
    <m/>
    <m/>
    <m/>
    <m/>
    <m/>
    <n v="177770.39600000001"/>
    <n v="535.05985999997938"/>
    <m/>
    <m/>
    <m/>
    <m/>
    <n v="-4794.3232900000021"/>
    <n v="5331.2408099999984"/>
    <n v="31"/>
    <n v="11909.944057911664"/>
    <n v="0"/>
    <n v="0"/>
    <n v="0"/>
    <n v="0"/>
    <n v="0"/>
    <n v="0"/>
    <n v="0"/>
    <n v="6887.8127233135456"/>
    <n v="0"/>
    <n v="0"/>
    <n v="5045.1746153423301"/>
    <n v="0"/>
    <n v="0"/>
    <n v="0"/>
    <n v="790.61975236697072"/>
    <n v="0"/>
    <n v="-694.25740013639916"/>
    <m/>
    <n v="0"/>
    <n v="0"/>
    <n v="0"/>
    <n v="0"/>
    <n v="-88.729958818919158"/>
    <n v="-30.675674155858758"/>
    <n v="0"/>
    <n v="2808.7323489804953"/>
    <m/>
    <m/>
    <m/>
    <n v="92073.303367227301"/>
    <n v="0"/>
    <n v="0"/>
    <n v="-4794.3232900000003"/>
    <n v="5331.2408099999957"/>
    <n v="0"/>
    <n v="0"/>
    <n v="-14180.89250159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119"/>
    <n v="20.79186"/>
    <n v="22.119"/>
    <n v="20.79186"/>
    <m/>
    <n v="897.25"/>
    <n v="207.07"/>
    <m/>
    <n v="24426.45408"/>
    <n v="24426.45408"/>
    <n v="24500.552729999999"/>
    <n v="0"/>
    <n v="1742.0980174544102"/>
    <n v="0"/>
    <n v="0"/>
    <n v="0"/>
    <n v="4413.7837369129256"/>
    <n v="12689.566075117918"/>
    <n v="4580.2912665082795"/>
    <n v="0"/>
    <n v="0"/>
    <n v="0"/>
    <n v="0"/>
    <n v="0"/>
    <n v="221.38751472597221"/>
    <m/>
    <n v="61.60031763691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.76876381703244"/>
    <n v="0"/>
    <n v="9.76"/>
    <n v="45.05"/>
    <n v="0"/>
    <n v="3"/>
    <m/>
    <m/>
    <m/>
    <m/>
    <n v="1470.0331637999998"/>
    <m/>
    <m/>
    <m/>
    <m/>
    <n v="5298.0600303253123"/>
    <m/>
    <m/>
    <m/>
    <m/>
    <m/>
    <m/>
    <m/>
    <m/>
    <m/>
    <m/>
    <m/>
    <m/>
    <n v="23028.459299999999"/>
    <n v="67.562464800004818"/>
    <m/>
    <m/>
    <m/>
    <m/>
    <n v="-660.6945300000001"/>
    <n v="734.79318000000001"/>
    <n v="31"/>
    <n v="1641.4315175708725"/>
    <n v="0"/>
    <n v="0"/>
    <n v="0"/>
    <n v="0"/>
    <n v="0"/>
    <n v="0"/>
    <n v="0"/>
    <n v="949.280100410052"/>
    <n v="0"/>
    <n v="0"/>
    <n v="695.32724797059291"/>
    <n v="0"/>
    <n v="0"/>
    <n v="0"/>
    <n v="108.9634152468667"/>
    <n v="0"/>
    <n v="-95.682731367127644"/>
    <m/>
    <n v="0"/>
    <n v="0"/>
    <n v="0"/>
    <n v="0"/>
    <n v="-12.228785479591579"/>
    <n v="-4.2277292099211152"/>
    <n v="0"/>
    <n v="387.10020631664929"/>
    <m/>
    <m/>
    <m/>
    <n v="12689.566075117918"/>
    <n v="0"/>
    <n v="0"/>
    <n v="-660.69453000000067"/>
    <n v="734.79318000000058"/>
    <n v="0"/>
    <n v="0"/>
    <n v="-1954.41420935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657"/>
    <n v="1.55758"/>
    <n v="1.657"/>
    <n v="1.55758"/>
    <m/>
    <n v="4750.8599999999997"/>
    <n v="207.07"/>
    <m/>
    <n v="8215.2900099999988"/>
    <n v="8215.2900099999988"/>
    <n v="8003.2602900000011"/>
    <n v="0"/>
    <n v="113.53999190660069"/>
    <n v="0"/>
    <n v="0"/>
    <n v="0"/>
    <n v="2133.1182539519386"/>
    <n v="5583.0192112193381"/>
    <n v="343.12322567042901"/>
    <n v="0"/>
    <n v="0"/>
    <n v="0"/>
    <n v="0"/>
    <n v="0"/>
    <n v="16.584796414889279"/>
    <m/>
    <n v="2.998074978295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13675423589702"/>
    <n v="0"/>
    <n v="0"/>
    <n v="0"/>
    <n v="0"/>
    <n v="0"/>
    <m/>
    <m/>
    <m/>
    <m/>
    <n v="480.19561740000034"/>
    <m/>
    <m/>
    <m/>
    <m/>
    <n v="366.03690109401873"/>
    <m/>
    <m/>
    <m/>
    <m/>
    <m/>
    <m/>
    <m/>
    <m/>
    <m/>
    <m/>
    <m/>
    <m/>
    <n v="7534.7532000000001"/>
    <n v="-187.64940939999997"/>
    <m/>
    <m/>
    <m/>
    <m/>
    <n v="-267.07525999999899"/>
    <n v="55.045540000000003"/>
    <n v="31"/>
    <n v="506.98304142411462"/>
    <n v="0"/>
    <n v="0"/>
    <n v="0"/>
    <n v="0"/>
    <n v="0"/>
    <n v="0"/>
    <n v="0"/>
    <n v="458.77343136760237"/>
    <n v="0"/>
    <n v="0"/>
    <n v="52.089029788293942"/>
    <n v="0"/>
    <n v="0"/>
    <n v="0"/>
    <n v="3.4784912020065519"/>
    <n v="0"/>
    <n v="-6.2360535608091112"/>
    <m/>
    <n v="0"/>
    <n v="0"/>
    <n v="0"/>
    <n v="0"/>
    <n v="-0.91609464893002723"/>
    <n v="-0.20576272404930762"/>
    <n v="0"/>
    <n v="140.86876691427929"/>
    <m/>
    <m/>
    <m/>
    <n v="5583.0192112193381"/>
    <n v="0"/>
    <n v="0"/>
    <n v="-267.07525999999871"/>
    <n v="55.045540000000017"/>
    <n v="0"/>
    <n v="0"/>
    <n v="-859.8822066028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6.791"/>
    <n v="15.78354"/>
    <n v="16.791"/>
    <n v="15.78354"/>
    <m/>
    <n v="94.17"/>
    <n v="207.07"/>
    <m/>
    <n v="5058.1208399999996"/>
    <n v="5058.1208399999996"/>
    <n v="5604.3320700000004"/>
    <n v="0"/>
    <n v="1150.5431527481787"/>
    <n v="0"/>
    <n v="0"/>
    <n v="0"/>
    <n v="0"/>
    <n v="0"/>
    <n v="3476.9958251250291"/>
    <n v="0"/>
    <n v="0"/>
    <n v="0"/>
    <n v="0"/>
    <n v="0"/>
    <n v="168.05993759952074"/>
    <m/>
    <n v="30.380613736009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19283285304445"/>
    <n v="0"/>
    <n v="0"/>
    <n v="0"/>
    <n v="0"/>
    <n v="0"/>
    <m/>
    <m/>
    <m/>
    <m/>
    <n v="336.2599242"/>
    <m/>
    <m/>
    <m/>
    <m/>
    <n v="3709.1886579780735"/>
    <m/>
    <m/>
    <m/>
    <m/>
    <m/>
    <m/>
    <m/>
    <m/>
    <m/>
    <m/>
    <m/>
    <m/>
    <n v="5266.8905999999997"/>
    <n v="512.22701039999902"/>
    <m/>
    <m/>
    <m/>
    <m/>
    <n v="-11.585789999999962"/>
    <n v="557.79701999999997"/>
    <n v="31"/>
    <n v="488.52598820693674"/>
    <n v="0"/>
    <n v="0"/>
    <n v="0"/>
    <n v="0"/>
    <n v="0"/>
    <n v="0"/>
    <n v="0"/>
    <n v="0"/>
    <n v="0"/>
    <n v="0"/>
    <n v="527.83759757105827"/>
    <n v="0"/>
    <n v="0"/>
    <n v="0"/>
    <n v="35.248850798365737"/>
    <n v="0"/>
    <n v="-63.192260313546058"/>
    <m/>
    <n v="0"/>
    <n v="0"/>
    <n v="0"/>
    <n v="0"/>
    <n v="-9.2831293000507173"/>
    <n v="-2.0850705488907195"/>
    <n v="0"/>
    <n v="57.613680899339229"/>
    <m/>
    <m/>
    <m/>
    <n v="0"/>
    <n v="0"/>
    <n v="0"/>
    <n v="-11.585789999999861"/>
    <n v="557.7970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7"/>
    <s v="Regular"/>
    <s v="Verde"/>
    <s v="A4"/>
    <s v="Serviço público"/>
    <s v="Água, esgoto e saneamento"/>
    <s v="Não se aplica"/>
    <s v="Não se aplica"/>
    <s v="Não se aplica"/>
    <s v="CATIVO"/>
    <x v="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85"/>
    <n v="548.52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7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3"/>
    <n v="1.08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8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1199999999999999"/>
    <n v="0.61199999999999999"/>
    <n v="0.61199999999999999"/>
    <n v="0.61199999999999999"/>
    <m/>
    <n v="897.25"/>
    <n v="207.07"/>
    <m/>
    <n v="675.84384"/>
    <n v="675.84384"/>
    <n v="677.8940399999999"/>
    <n v="0"/>
    <n v="48.201274319910439"/>
    <n v="0"/>
    <n v="0"/>
    <n v="0"/>
    <n v="122.12286482167866"/>
    <n v="351.10151625173677"/>
    <n v="126.72988178050848"/>
    <n v="0"/>
    <n v="0"/>
    <n v="0"/>
    <n v="0"/>
    <n v="0"/>
    <n v="6.1254649402005059"/>
    <m/>
    <n v="1.704389637587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59599595642834"/>
    <n v="0"/>
    <n v="0"/>
    <n v="0"/>
    <n v="0"/>
    <n v="0"/>
    <m/>
    <m/>
    <m/>
    <m/>
    <m/>
    <n v="81.347040000000007"/>
    <m/>
    <m/>
    <m/>
    <n v="146.5894813761513"/>
    <m/>
    <m/>
    <m/>
    <m/>
    <m/>
    <m/>
    <m/>
    <m/>
    <m/>
    <m/>
    <m/>
    <m/>
    <n v="594.59749999999997"/>
    <n v="-0.18021999999996297"/>
    <m/>
    <m/>
    <m/>
    <m/>
    <n v="-18.280440000000002"/>
    <n v="20.330639999999999"/>
    <n v="31"/>
    <n v="45.415981226699785"/>
    <n v="0"/>
    <n v="0"/>
    <n v="0"/>
    <n v="0"/>
    <n v="0"/>
    <n v="0"/>
    <n v="0"/>
    <n v="26.265175706449298"/>
    <n v="0"/>
    <n v="0"/>
    <n v="19.238676059406075"/>
    <n v="0"/>
    <n v="0"/>
    <n v="0"/>
    <n v="3.0148564641748017"/>
    <n v="0"/>
    <n v="-2.6473995929599923"/>
    <m/>
    <n v="0"/>
    <n v="0"/>
    <n v="0"/>
    <n v="0"/>
    <n v="-0.33835239900131331"/>
    <n v="-0.11697501136903687"/>
    <n v="0"/>
    <n v="10.710489907581236"/>
    <m/>
    <m/>
    <m/>
    <n v="351.10151625173677"/>
    <n v="0"/>
    <n v="0"/>
    <n v="-18.280439999999999"/>
    <n v="20.330640000000002"/>
    <n v="0"/>
    <n v="0"/>
    <n v="-54.07574918056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152"/>
    <n v="6.08E-2"/>
    <n v="0.152"/>
    <n v="6.08E-2"/>
    <m/>
    <n v="897.25"/>
    <n v="207.07"/>
    <m/>
    <n v="167.85664"/>
    <n v="167.85664"/>
    <n v="168.36583999999999"/>
    <n v="0"/>
    <n v="11.971558327820894"/>
    <n v="0"/>
    <n v="0"/>
    <n v="0"/>
    <n v="30.331169040678361"/>
    <n v="87.201683774941159"/>
    <n v="31.475395474897528"/>
    <n v="0"/>
    <n v="0"/>
    <n v="0"/>
    <n v="0"/>
    <n v="0"/>
    <n v="1.5213573054092759"/>
    <m/>
    <n v="0.42331245900861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24495727740372"/>
    <n v="0"/>
    <n v="0"/>
    <n v="0"/>
    <n v="0"/>
    <n v="0"/>
    <m/>
    <m/>
    <m/>
    <m/>
    <m/>
    <m/>
    <n v="109.10104"/>
    <m/>
    <m/>
    <n v="36.407845047671564"/>
    <m/>
    <m/>
    <m/>
    <m/>
    <m/>
    <m/>
    <m/>
    <m/>
    <m/>
    <m/>
    <m/>
    <m/>
    <n v="58.484999999999999"/>
    <n v="-0.63104799999999273"/>
    <m/>
    <m/>
    <m/>
    <m/>
    <n v="-4.5402400000000007"/>
    <n v="5.0494399999999997"/>
    <n v="31"/>
    <n v="11.279786187023475"/>
    <n v="0"/>
    <n v="0"/>
    <n v="0"/>
    <n v="0"/>
    <n v="0"/>
    <n v="0"/>
    <n v="0"/>
    <n v="6.5233769728436144"/>
    <n v="0"/>
    <n v="0"/>
    <n v="4.7782332696564147"/>
    <n v="0"/>
    <n v="0"/>
    <n v="0"/>
    <n v="0.74878787999112717"/>
    <n v="0"/>
    <n v="-0.65752408191163347"/>
    <m/>
    <n v="0"/>
    <n v="0"/>
    <n v="0"/>
    <n v="0"/>
    <n v="-8.4035236353267262E-2"/>
    <n v="-2.9052617202767306E-2"/>
    <n v="0"/>
    <n v="2.6601216763927251"/>
    <m/>
    <m/>
    <m/>
    <n v="87.201683774941159"/>
    <n v="0"/>
    <n v="0"/>
    <n v="-4.5402400000000114"/>
    <n v="5.0494400000000006"/>
    <n v="0"/>
    <n v="0"/>
    <n v="-13.43057822785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Ponta"/>
    <s v="CATIVO"/>
    <x v="1"/>
    <n v="0"/>
    <n v="0"/>
    <n v="0.33"/>
    <n v="0.31680000000000003"/>
    <n v="0.33"/>
    <n v="0.31680000000000003"/>
    <m/>
    <n v="4750.8599999999997"/>
    <n v="207.07"/>
    <m/>
    <n v="1636.1169"/>
    <n v="1636.1169"/>
    <n v="1593.8901000000001"/>
    <n v="0"/>
    <n v="22.612068394193258"/>
    <n v="0"/>
    <n v="0"/>
    <n v="0"/>
    <n v="424.82137827648751"/>
    <n v="1111.8867469537608"/>
    <n v="68.334740175764381"/>
    <n v="0"/>
    <n v="0"/>
    <n v="0"/>
    <n v="0"/>
    <n v="0"/>
    <n v="3.302946781480665"/>
    <m/>
    <n v="0.5970819208434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633753106726624"/>
    <n v="0"/>
    <n v="0"/>
    <n v="0"/>
    <n v="0"/>
    <n v="0"/>
    <m/>
    <m/>
    <m/>
    <m/>
    <m/>
    <n v="63.755603999999956"/>
    <m/>
    <m/>
    <m/>
    <n v="72.89811548643705"/>
    <m/>
    <m/>
    <m/>
    <m/>
    <m/>
    <m/>
    <m/>
    <m/>
    <m/>
    <m/>
    <m/>
    <m/>
    <n v="1545.5904000000003"/>
    <n v="-25.111823999999842"/>
    <m/>
    <m/>
    <m/>
    <m/>
    <n v="-53.1893999999998"/>
    <n v="10.9626"/>
    <n v="31"/>
    <n v="100.96825809894858"/>
    <n v="0"/>
    <n v="0"/>
    <n v="0"/>
    <n v="0"/>
    <n v="0"/>
    <n v="0"/>
    <n v="0"/>
    <n v="91.367068407549027"/>
    <n v="0"/>
    <n v="0"/>
    <n v="10.373795914385639"/>
    <n v="0"/>
    <n v="0"/>
    <n v="0"/>
    <n v="0.6927592617152456"/>
    <n v="0"/>
    <n v="-1.241941867873873"/>
    <m/>
    <n v="0"/>
    <n v="0"/>
    <n v="0"/>
    <n v="0"/>
    <n v="-0.18244492103011956"/>
    <n v="-4.0978695797387665E-2"/>
    <n v="0"/>
    <n v="28.054733302179947"/>
    <m/>
    <m/>
    <m/>
    <n v="1111.8867469537608"/>
    <n v="0"/>
    <n v="0"/>
    <n v="-53.18939999999975"/>
    <n v="10.962599999999995"/>
    <n v="0"/>
    <n v="0"/>
    <n v="-171.2499264809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Fora ponta"/>
    <s v="CATIVO"/>
    <x v="1"/>
    <n v="0"/>
    <n v="0"/>
    <n v="5.8380000000000001"/>
    <n v="5.6044799999999997"/>
    <n v="5.8380000000000001"/>
    <n v="5.6044799999999997"/>
    <m/>
    <n v="94.17"/>
    <n v="207.07"/>
    <m/>
    <n v="1758.6391199999998"/>
    <n v="1758.6391199999998"/>
    <n v="1948.5492600000002"/>
    <n v="0"/>
    <n v="400.02804631909163"/>
    <n v="0"/>
    <n v="0"/>
    <n v="0"/>
    <n v="0"/>
    <n v="0"/>
    <n v="1208.9036762003407"/>
    <n v="0"/>
    <n v="0"/>
    <n v="0"/>
    <n v="0"/>
    <n v="0"/>
    <n v="58.43213124328522"/>
    <m/>
    <n v="10.56292198146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0257768809096"/>
    <n v="0"/>
    <n v="0"/>
    <n v="0"/>
    <n v="0"/>
    <n v="0"/>
    <m/>
    <m/>
    <m/>
    <m/>
    <m/>
    <n v="77.94197040000013"/>
    <m/>
    <m/>
    <m/>
    <n v="1289.6339339691497"/>
    <m/>
    <m/>
    <m/>
    <m/>
    <m/>
    <m/>
    <m/>
    <m/>
    <m/>
    <m/>
    <m/>
    <m/>
    <n v="1869.1119999999996"/>
    <n v="180.78844479999975"/>
    <m/>
    <m/>
    <m/>
    <m/>
    <n v="-4.0282199999999868"/>
    <n v="193.93835999999999"/>
    <n v="31"/>
    <n v="169.85377399512231"/>
    <n v="0"/>
    <n v="0"/>
    <n v="0"/>
    <n v="0"/>
    <n v="0"/>
    <n v="0"/>
    <n v="0"/>
    <n v="0"/>
    <n v="0"/>
    <n v="0"/>
    <n v="183.52188044904051"/>
    <n v="0"/>
    <n v="0"/>
    <n v="0"/>
    <n v="12.255541120889717"/>
    <n v="0"/>
    <n v="-21.971080680750504"/>
    <m/>
    <n v="0"/>
    <n v="0"/>
    <n v="0"/>
    <n v="0"/>
    <n v="-3.2276165120419407"/>
    <n v="-0.72495038201560469"/>
    <n v="0"/>
    <n v="20.0314852653411"/>
    <m/>
    <m/>
    <m/>
    <n v="0"/>
    <n v="0"/>
    <n v="0"/>
    <n v="-4.0282199999999193"/>
    <n v="193.938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Não se aplica"/>
    <s v="CATIVO"/>
    <x v="1"/>
    <n v="226"/>
    <n v="216.96"/>
    <n v="0"/>
    <n v="0"/>
    <n v="0"/>
    <n v="0"/>
    <n v="73.75"/>
    <m/>
    <m/>
    <n v="16667.5"/>
    <m/>
    <n v="16667.5"/>
    <n v="16816.66"/>
    <n v="0"/>
    <n v="0"/>
    <n v="0"/>
    <n v="0"/>
    <n v="0"/>
    <n v="6567.1657460266597"/>
    <n v="10100.3069048557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72.66639999999938"/>
    <m/>
    <m/>
    <m/>
    <n v="0"/>
    <m/>
    <m/>
    <m/>
    <m/>
    <m/>
    <m/>
    <m/>
    <m/>
    <m/>
    <m/>
    <m/>
    <m/>
    <n v="16143.9936"/>
    <n v="143.16359999999804"/>
    <m/>
    <m/>
    <m/>
    <m/>
    <n v="149.15999999999923"/>
    <n v="0"/>
    <n v="31"/>
    <n v="1412.411692639429"/>
    <n v="0"/>
    <n v="0"/>
    <n v="0"/>
    <n v="0"/>
    <m/>
    <m/>
    <m/>
    <n v="1412.411692639429"/>
    <n v="0"/>
    <n v="0"/>
    <m/>
    <m/>
    <n v="0"/>
    <n v="0"/>
    <n v="0"/>
    <n v="0"/>
    <n v="0"/>
    <m/>
    <n v="0"/>
    <n v="0"/>
    <m/>
    <n v="0"/>
    <n v="0"/>
    <n v="0"/>
    <n v="0"/>
    <n v="292.0065616080372"/>
    <m/>
    <m/>
    <n v="10100.306904855783"/>
    <m/>
    <n v="0"/>
    <n v="0"/>
    <n v="149.15999999999985"/>
    <m/>
    <n v="0"/>
    <m/>
    <n v="-1555.62319600483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85"/>
    <s v="Regular"/>
    <s v="Verde"/>
    <s v="A4"/>
    <s v="Rural"/>
    <s v="Agropecuária rural"/>
    <s v="IRRIG./AQUIC. PR"/>
    <s v="Não se aplica"/>
    <s v="Fora ponta"/>
    <s v="CATIVO"/>
    <x v="1"/>
    <n v="0"/>
    <n v="0"/>
    <n v="2.78"/>
    <n v="0.83399999999999996"/>
    <n v="2.78"/>
    <n v="0.83399999999999996"/>
    <m/>
    <n v="94.17"/>
    <n v="207.07"/>
    <m/>
    <n v="837.44719999999995"/>
    <n v="837.44719999999995"/>
    <n v="927.88059999999996"/>
    <n v="0"/>
    <n v="190.4895458662341"/>
    <n v="0"/>
    <n v="0"/>
    <n v="0"/>
    <n v="0"/>
    <n v="0"/>
    <n v="575.66841723825746"/>
    <n v="0"/>
    <n v="0"/>
    <n v="0"/>
    <n v="0"/>
    <n v="0"/>
    <n v="27.824824401564388"/>
    <m/>
    <n v="5.0299628483178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4297988990909"/>
    <n v="0"/>
    <n v="0"/>
    <n v="0"/>
    <n v="0"/>
    <n v="0"/>
    <m/>
    <m/>
    <m/>
    <m/>
    <m/>
    <m/>
    <n v="649.51641999999993"/>
    <m/>
    <m/>
    <n v="614.11139712816657"/>
    <m/>
    <m/>
    <m/>
    <m/>
    <m/>
    <m/>
    <m/>
    <m/>
    <m/>
    <m/>
    <m/>
    <m/>
    <n v="277.02909999999997"/>
    <n v="25.764939999999996"/>
    <m/>
    <m/>
    <m/>
    <m/>
    <n v="-1.9181999999999935"/>
    <n v="92.351599999999991"/>
    <n v="31"/>
    <n v="80.882749521486744"/>
    <n v="0"/>
    <n v="0"/>
    <n v="0"/>
    <n v="0"/>
    <n v="0"/>
    <n v="0"/>
    <n v="0"/>
    <n v="0"/>
    <n v="0"/>
    <n v="0"/>
    <n v="87.391371642400145"/>
    <n v="0"/>
    <n v="0"/>
    <n v="0"/>
    <n v="5.8359719623284363"/>
    <n v="0"/>
    <n v="-10.462419371785955"/>
    <m/>
    <n v="0"/>
    <n v="0"/>
    <n v="0"/>
    <n v="0"/>
    <n v="-1.536960243829494"/>
    <n v="-0.34521446762647834"/>
    <n v="0"/>
    <n v="9.5388025073052845"/>
    <m/>
    <m/>
    <m/>
    <n v="0"/>
    <n v="0"/>
    <n v="0"/>
    <n v="-1.918200000000013"/>
    <n v="92.35159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"/>
    <s v="Não se aplica"/>
    <s v="Não se aplica"/>
    <s v="Não se aplica"/>
    <s v="CATIVO"/>
    <x v="2"/>
    <n v="0"/>
    <n v="0"/>
    <n v="897.89300000000003"/>
    <n v="897.89300000000003"/>
    <n v="897.89300000000003"/>
    <n v="897.89300000000003"/>
    <m/>
    <n v="897.25"/>
    <n v="207.07"/>
    <m/>
    <n v="991561.19776000001"/>
    <n v="991561.19776000001"/>
    <n v="994569.13931000012"/>
    <n v="0"/>
    <n v="70718.279089750562"/>
    <n v="0"/>
    <n v="0"/>
    <n v="0"/>
    <n v="179172.0023910646"/>
    <n v="515116.98322192923"/>
    <n v="185931.16624435637"/>
    <n v="0"/>
    <n v="0"/>
    <n v="0"/>
    <n v="0"/>
    <n v="0"/>
    <n v="8986.947862012179"/>
    <m/>
    <n v="2500.5874589251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6.920685834204"/>
    <n v="0"/>
    <n v="2050.15"/>
    <n v="9494.07"/>
    <n v="0"/>
    <n v="6216"/>
    <m/>
    <m/>
    <m/>
    <m/>
    <m/>
    <m/>
    <m/>
    <m/>
    <m/>
    <n v="215068.08693019056"/>
    <m/>
    <m/>
    <m/>
    <m/>
    <m/>
    <m/>
    <m/>
    <m/>
    <m/>
    <m/>
    <m/>
    <m/>
    <n v="994565.81629999995"/>
    <n v="3004.5885399999097"/>
    <m/>
    <m/>
    <m/>
    <m/>
    <n v="-26820.063910000004"/>
    <n v="29828.00546"/>
    <n v="30"/>
    <n v="66631.849071217759"/>
    <n v="0"/>
    <n v="0"/>
    <n v="0"/>
    <n v="0"/>
    <n v="0"/>
    <n v="0"/>
    <n v="0"/>
    <n v="38534.832370246528"/>
    <n v="0"/>
    <n v="0"/>
    <n v="28225.935560471087"/>
    <n v="0"/>
    <n v="0"/>
    <n v="0"/>
    <n v="4423.2328679531092"/>
    <n v="0"/>
    <n v="-3884.1202005255327"/>
    <m/>
    <n v="0"/>
    <n v="0"/>
    <n v="0"/>
    <n v="0"/>
    <n v="-496.41217417726511"/>
    <n v="-171.61935275029191"/>
    <n v="0"/>
    <n v="15713.846265666405"/>
    <m/>
    <m/>
    <m/>
    <n v="515116.98322192923"/>
    <n v="0"/>
    <n v="0"/>
    <n v="-26820.06390999991"/>
    <n v="29828.005460000015"/>
    <n v="0"/>
    <n v="0"/>
    <n v="-79336.98800487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0.111"/>
    <n v="-100.111"/>
    <n v="-100.111"/>
    <n v="-100.111"/>
    <m/>
    <n v="897.25"/>
    <n v="207.07"/>
    <m/>
    <n v="-110554.57952"/>
    <n v="-110554.57952"/>
    <n v="-110889.95137"/>
    <n v="0"/>
    <n v="-7884.7676036610364"/>
    <n v="0"/>
    <n v="0"/>
    <n v="0"/>
    <n v="-19976.866209416788"/>
    <n v="-57433.208976270624"/>
    <n v="-20730.482344654385"/>
    <n v="0"/>
    <n v="0"/>
    <n v="0"/>
    <n v="0"/>
    <n v="0"/>
    <n v="-1002.0039552751845"/>
    <m/>
    <n v="-278.8041683145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48.6345998683005"/>
    <n v="0"/>
    <n v="-778.72"/>
    <n v="-3594.03"/>
    <n v="0"/>
    <n v="0"/>
    <m/>
    <m/>
    <m/>
    <m/>
    <m/>
    <m/>
    <m/>
    <m/>
    <m/>
    <n v="-23979.116944522684"/>
    <m/>
    <m/>
    <m/>
    <m/>
    <m/>
    <m/>
    <m/>
    <m/>
    <m/>
    <m/>
    <m/>
    <m/>
    <n v="-110888.8437"/>
    <n v="-334.29417999998259"/>
    <m/>
    <m/>
    <m/>
    <m/>
    <n v="2990.3155700000007"/>
    <n v="-3325.6874200000002"/>
    <n v="30"/>
    <n v="-7429.1491774283422"/>
    <n v="0"/>
    <n v="0"/>
    <n v="0"/>
    <n v="0"/>
    <n v="0"/>
    <n v="0"/>
    <n v="0"/>
    <n v="-4296.459158739126"/>
    <n v="0"/>
    <n v="0"/>
    <n v="-3147.0638872274576"/>
    <n v="0"/>
    <n v="0"/>
    <n v="0"/>
    <n v="-493.17041745915594"/>
    <n v="0"/>
    <n v="433.06179844904909"/>
    <m/>
    <n v="0"/>
    <n v="0"/>
    <n v="0"/>
    <n v="0"/>
    <n v="55.347707543170714"/>
    <n v="19.134780005172615"/>
    <n v="0"/>
    <n v="-1752.0226391141589"/>
    <m/>
    <m/>
    <m/>
    <n v="-57433.208976270624"/>
    <n v="0"/>
    <n v="0"/>
    <n v="2990.3155700000061"/>
    <n v="-3325.687420000002"/>
    <n v="0"/>
    <n v="0"/>
    <n v="8845.714585318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.6529999999999996"/>
    <n v="4.6529999999999996"/>
    <n v="4.6529999999999996"/>
    <n v="4.6529999999999996"/>
    <m/>
    <n v="897.25"/>
    <n v="207.07"/>
    <m/>
    <n v="5138.400959999999"/>
    <n v="5138.400959999999"/>
    <n v="5153.9885099999992"/>
    <n v="0"/>
    <n v="366.47145328520139"/>
    <n v="0"/>
    <n v="0"/>
    <n v="0"/>
    <n v="928.49295754129218"/>
    <n v="2669.4041750315869"/>
    <n v="963.51983647827763"/>
    <n v="0"/>
    <n v="0"/>
    <n v="0"/>
    <n v="0"/>
    <n v="0"/>
    <n v="46.57154961887737"/>
    <m/>
    <n v="12.958374156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99136751393155"/>
    <n v="0"/>
    <n v="8.5500000000000007"/>
    <n v="39.549999999999997"/>
    <n v="0"/>
    <n v="38"/>
    <m/>
    <m/>
    <m/>
    <m/>
    <m/>
    <m/>
    <m/>
    <m/>
    <m/>
    <n v="1114.5112039922092"/>
    <m/>
    <m/>
    <m/>
    <m/>
    <m/>
    <m/>
    <m/>
    <m/>
    <m/>
    <m/>
    <m/>
    <m/>
    <n v="5150.665500000001"/>
    <n v="12.234540000001289"/>
    <m/>
    <m/>
    <m/>
    <m/>
    <n v="-138.98511000000002"/>
    <n v="154.57265999999998"/>
    <n v="30"/>
    <n v="345.29503373829175"/>
    <n v="0"/>
    <n v="0"/>
    <n v="0"/>
    <n v="0"/>
    <n v="0"/>
    <n v="0"/>
    <n v="0"/>
    <n v="199.69258588579817"/>
    <n v="0"/>
    <n v="0"/>
    <n v="146.27052239283751"/>
    <n v="0"/>
    <n v="0"/>
    <n v="0"/>
    <n v="22.921776352623112"/>
    <n v="0"/>
    <n v="-20.128023375886983"/>
    <m/>
    <n v="0"/>
    <n v="0"/>
    <n v="0"/>
    <n v="0"/>
    <n v="-2.5724733865246847"/>
    <n v="-0.8893541305557644"/>
    <n v="0"/>
    <n v="81.431224738522047"/>
    <m/>
    <m/>
    <m/>
    <n v="2669.4041750315869"/>
    <n v="0"/>
    <n v="0"/>
    <n v="-138.98511000000008"/>
    <n v="154.57266000000004"/>
    <n v="0"/>
    <n v="0"/>
    <n v="-411.1347400933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2200000000000002"/>
    <n v="2.2200000000000002"/>
    <n v="2.2200000000000002"/>
    <n v="2.2200000000000002"/>
    <m/>
    <n v="808.48"/>
    <n v="207.07"/>
    <m/>
    <n v="2254.5210000000002"/>
    <n v="2254.5210000000002"/>
    <n v="2269.3284000000003"/>
    <n v="0"/>
    <n v="0"/>
    <n v="0"/>
    <n v="0"/>
    <n v="0"/>
    <n v="442.99470572569714"/>
    <n v="1273.6035393445354"/>
    <n v="459.70643390968763"/>
    <n v="0"/>
    <n v="0"/>
    <n v="0"/>
    <n v="0"/>
    <n v="0"/>
    <n v="0"/>
    <m/>
    <n v="6.182589861836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39724023410287"/>
    <n v="0"/>
    <n v="2.39"/>
    <n v="11.29"/>
    <n v="0"/>
    <n v="3"/>
    <m/>
    <m/>
    <m/>
    <m/>
    <m/>
    <m/>
    <m/>
    <n v="1475.0568000000001"/>
    <m/>
    <n v="531.74615793309795"/>
    <m/>
    <m/>
    <m/>
    <m/>
    <m/>
    <m/>
    <m/>
    <m/>
    <m/>
    <m/>
    <m/>
    <m/>
    <n v="794.27160000000003"/>
    <n v="5.1425999999999021"/>
    <m/>
    <m/>
    <m/>
    <m/>
    <n v="-58.941000000000159"/>
    <n v="73.748400000000004"/>
    <n v="30"/>
    <n v="175.57491461671214"/>
    <n v="0"/>
    <n v="0"/>
    <n v="0"/>
    <n v="0"/>
    <n v="0"/>
    <n v="0"/>
    <n v="0"/>
    <n v="95.275637366531782"/>
    <n v="0"/>
    <n v="0"/>
    <n v="69.787354333139717"/>
    <n v="0"/>
    <n v="0"/>
    <n v="0"/>
    <n v="10.936244036712523"/>
    <n v="0"/>
    <n v="0"/>
    <m/>
    <n v="0"/>
    <n v="0"/>
    <n v="0"/>
    <n v="0"/>
    <n v="0"/>
    <n v="-0.4243211196719967"/>
    <n v="0"/>
    <n v="35.399242427722108"/>
    <m/>
    <m/>
    <m/>
    <n v="1273.6035393445354"/>
    <n v="0"/>
    <n v="0"/>
    <n v="-58.941000000000031"/>
    <n v="73.748400000000004"/>
    <n v="0"/>
    <n v="0"/>
    <n v="-196.1571293804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7050000000000001"/>
    <n v="4.7050000000000001"/>
    <n v="4.7050000000000001"/>
    <n v="4.7050000000000001"/>
    <m/>
    <n v="808.48"/>
    <n v="207.07"/>
    <m/>
    <n v="4778.1627500000004"/>
    <n v="4778.1627500000004"/>
    <n v="4809.5451000000003"/>
    <n v="0"/>
    <n v="0"/>
    <n v="0"/>
    <n v="0"/>
    <n v="0"/>
    <n v="938.86941010784005"/>
    <n v="2699.2363300072248"/>
    <n v="974.28773493021629"/>
    <n v="0"/>
    <n v="0"/>
    <n v="0"/>
    <n v="0"/>
    <n v="0"/>
    <n v="0"/>
    <m/>
    <n v="13.10319157654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67878447303846"/>
    <n v="0"/>
    <n v="8.25"/>
    <n v="38.18"/>
    <n v="0"/>
    <n v="12"/>
    <m/>
    <m/>
    <m/>
    <m/>
    <m/>
    <m/>
    <m/>
    <n v="1923.7803999999996"/>
    <m/>
    <n v="1126.9665194032548"/>
    <m/>
    <m/>
    <m/>
    <m/>
    <m/>
    <m/>
    <m/>
    <m/>
    <m/>
    <m/>
    <m/>
    <m/>
    <n v="2888.8314"/>
    <n v="21.903749999999491"/>
    <m/>
    <m/>
    <m/>
    <m/>
    <n v="-124.91775000000032"/>
    <n v="156.30009999999999"/>
    <n v="30"/>
    <n v="372.10809606830162"/>
    <n v="0"/>
    <n v="0"/>
    <n v="0"/>
    <n v="0"/>
    <n v="0"/>
    <n v="0"/>
    <n v="0"/>
    <n v="201.92426748177115"/>
    <n v="0"/>
    <n v="0"/>
    <n v="147.905181142983"/>
    <n v="0"/>
    <n v="0"/>
    <n v="0"/>
    <n v="23.177940627356918"/>
    <n v="0"/>
    <n v="0"/>
    <m/>
    <n v="0"/>
    <n v="0"/>
    <n v="0"/>
    <n v="0"/>
    <n v="0"/>
    <n v="-0.89929318380934298"/>
    <n v="0"/>
    <n v="75.024070100194834"/>
    <m/>
    <m/>
    <m/>
    <n v="2699.2363300072248"/>
    <n v="0"/>
    <n v="0"/>
    <n v="-124.91775000000007"/>
    <n v="156.30010000000004"/>
    <n v="0"/>
    <n v="0"/>
    <n v="-415.72941159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.3809999999999998"/>
    <n v="3.3809999999999998"/>
    <n v="3.3809999999999998"/>
    <n v="3.3809999999999998"/>
    <m/>
    <n v="808.48"/>
    <n v="207.07"/>
    <m/>
    <n v="3433.5745499999998"/>
    <n v="3433.5745499999998"/>
    <n v="3456.1258199999997"/>
    <n v="0"/>
    <n v="0"/>
    <n v="0"/>
    <n v="0"/>
    <n v="0"/>
    <n v="674.66896399035215"/>
    <n v="1939.6637687044476"/>
    <n v="700.12047434624037"/>
    <n v="0"/>
    <n v="0"/>
    <n v="0"/>
    <n v="0"/>
    <n v="0"/>
    <n v="0"/>
    <m/>
    <n v="9.4159172625533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71455266808566"/>
    <n v="0"/>
    <n v="8.27"/>
    <n v="38.479999999999997"/>
    <n v="0"/>
    <n v="53"/>
    <m/>
    <m/>
    <m/>
    <m/>
    <m/>
    <m/>
    <m/>
    <n v="345.60581999999977"/>
    <m/>
    <n v="809.83502701432599"/>
    <m/>
    <m/>
    <m/>
    <m/>
    <m/>
    <m/>
    <m/>
    <m/>
    <m/>
    <m/>
    <m/>
    <m/>
    <n v="3109.6"/>
    <n v="19.335999999999331"/>
    <m/>
    <m/>
    <m/>
    <m/>
    <n v="-89.765550000000218"/>
    <n v="112.31681999999999"/>
    <n v="30"/>
    <n v="267.39584969328985"/>
    <n v="0"/>
    <n v="0"/>
    <n v="0"/>
    <n v="0"/>
    <n v="0"/>
    <n v="0"/>
    <n v="0"/>
    <n v="145.10222069200177"/>
    <n v="0"/>
    <n v="0"/>
    <n v="106.28425450466011"/>
    <n v="0"/>
    <n v="0"/>
    <n v="0"/>
    <n v="16.65560409375"/>
    <n v="0"/>
    <n v="0"/>
    <m/>
    <n v="0"/>
    <n v="0"/>
    <n v="0"/>
    <n v="0"/>
    <n v="0"/>
    <n v="-0.64622959712207972"/>
    <n v="0"/>
    <n v="53.912089481138935"/>
    <m/>
    <m/>
    <m/>
    <n v="1939.6637687044476"/>
    <n v="0"/>
    <n v="0"/>
    <n v="-89.765550000000076"/>
    <n v="112.31682000000001"/>
    <n v="0"/>
    <n v="0"/>
    <n v="-298.7420065024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38800000000000001"/>
    <n v="0.38800000000000001"/>
    <n v="0.38800000000000001"/>
    <n v="0.38800000000000001"/>
    <m/>
    <n v="808.48"/>
    <n v="207.07"/>
    <m/>
    <n v="394.03340000000003"/>
    <n v="394.03340000000003"/>
    <n v="396.62135999999998"/>
    <n v="0"/>
    <n v="0"/>
    <n v="0"/>
    <n v="0"/>
    <n v="0"/>
    <n v="77.42429991962635"/>
    <n v="222.59377174129719"/>
    <n v="80.345088449080535"/>
    <n v="0"/>
    <n v="0"/>
    <n v="0"/>
    <n v="0"/>
    <n v="0"/>
    <n v="0"/>
    <m/>
    <n v="1.080560750627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90726541028465"/>
    <n v="0"/>
    <n v="1.26"/>
    <n v="5.79"/>
    <n v="0"/>
    <n v="4"/>
    <m/>
    <m/>
    <m/>
    <m/>
    <m/>
    <m/>
    <m/>
    <m/>
    <m/>
    <n v="92.935814990108994"/>
    <m/>
    <m/>
    <m/>
    <m/>
    <m/>
    <m/>
    <m/>
    <m/>
    <m/>
    <m/>
    <m/>
    <m/>
    <n v="398.66579999999999"/>
    <n v="4.6023999999999887"/>
    <m/>
    <m/>
    <m/>
    <m/>
    <n v="-10.301400000000028"/>
    <n v="12.88936"/>
    <n v="30"/>
    <n v="30.686066158236173"/>
    <n v="0"/>
    <n v="0"/>
    <n v="0"/>
    <n v="0"/>
    <n v="0"/>
    <n v="0"/>
    <n v="0"/>
    <n v="16.6517780622587"/>
    <n v="0"/>
    <n v="0"/>
    <n v="12.197069135701909"/>
    <n v="0"/>
    <n v="0"/>
    <n v="0"/>
    <n v="1.9113795883984022"/>
    <n v="0"/>
    <n v="0"/>
    <m/>
    <n v="0"/>
    <n v="0"/>
    <n v="0"/>
    <n v="0"/>
    <n v="0"/>
    <n v="-7.4160628122853289E-2"/>
    <n v="0"/>
    <n v="6.1868946225027823"/>
    <m/>
    <m/>
    <m/>
    <n v="222.59377174129719"/>
    <n v="0"/>
    <n v="0"/>
    <n v="-10.301400000000001"/>
    <n v="12.889359999999996"/>
    <n v="0"/>
    <n v="0"/>
    <n v="-34.28331810793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Ponta"/>
    <s v="CATIVO"/>
    <x v="2"/>
    <n v="0"/>
    <n v="0"/>
    <n v="2.8000000000000001E-2"/>
    <n v="2.8000000000000001E-2"/>
    <n v="2.8000000000000001E-2"/>
    <n v="2.8000000000000001E-2"/>
    <m/>
    <n v="2211.7600000000002"/>
    <n v="207.07"/>
    <m/>
    <n v="67.727240000000009"/>
    <n v="67.727240000000009"/>
    <n v="66.302880000000002"/>
    <n v="0"/>
    <n v="2.2052870603880592"/>
    <n v="0"/>
    <n v="0"/>
    <n v="0"/>
    <n v="15.08579702432222"/>
    <n v="43.371349851514161"/>
    <n v="5.7980991664284929"/>
    <n v="0"/>
    <n v="0"/>
    <n v="0"/>
    <n v="0"/>
    <n v="0"/>
    <n v="0.28025002994381398"/>
    <m/>
    <n v="7.79786108700074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60913182679648"/>
    <n v="0"/>
    <n v="0"/>
    <n v="0"/>
    <n v="0"/>
    <n v="0"/>
    <m/>
    <m/>
    <m/>
    <m/>
    <m/>
    <m/>
    <m/>
    <m/>
    <m/>
    <n v="6.7067082982552897"/>
    <m/>
    <m/>
    <m/>
    <m/>
    <m/>
    <m/>
    <m/>
    <m/>
    <m/>
    <m/>
    <m/>
    <m/>
    <n v="71.038799999999995"/>
    <n v="3.2815599999999847"/>
    <m/>
    <m/>
    <m/>
    <m/>
    <n v="-2.3545200000000039"/>
    <n v="0.93015999999999999"/>
    <n v="30"/>
    <n v="4.1207090964058892"/>
    <n v="0"/>
    <n v="0"/>
    <n v="0"/>
    <n v="0"/>
    <n v="0"/>
    <n v="0"/>
    <n v="0"/>
    <n v="3.2445284516885504"/>
    <n v="0"/>
    <n v="0"/>
    <n v="0.88020086546302334"/>
    <n v="0"/>
    <n v="0"/>
    <n v="0"/>
    <n v="0.13793460947204961"/>
    <n v="0"/>
    <n v="-0.12112285719424776"/>
    <m/>
    <n v="0"/>
    <n v="0"/>
    <n v="0"/>
    <n v="0"/>
    <n v="-1.5480175117707107E-2"/>
    <n v="-5.3517979057729204E-3"/>
    <n v="0"/>
    <n v="1.1348531168552878"/>
    <m/>
    <m/>
    <m/>
    <n v="43.371349851514161"/>
    <n v="0"/>
    <n v="0"/>
    <n v="-2.3545200000000008"/>
    <n v="0.93015999999999988"/>
    <n v="0"/>
    <n v="0"/>
    <n v="-6.67994334297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5"/>
    <n v="2.1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4.03"/>
    <n v="4.03"/>
    <n v="4.03"/>
    <n v="4.03"/>
    <m/>
    <n v="897.25"/>
    <n v="207.07"/>
    <m/>
    <n v="4450.4096"/>
    <n v="4450.4096"/>
    <n v="4463.9101000000001"/>
    <n v="0"/>
    <n v="317.4038161915671"/>
    <n v="0"/>
    <n v="0"/>
    <n v="0"/>
    <n v="804.17507390745925"/>
    <n v="2311.9920106119271"/>
    <n v="834.51213002524378"/>
    <n v="0"/>
    <n v="0"/>
    <n v="0"/>
    <n v="0"/>
    <n v="0"/>
    <n v="40.335986452627516"/>
    <m/>
    <n v="11.223350064504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7481433078535"/>
    <n v="0"/>
    <n v="0"/>
    <n v="0"/>
    <n v="0"/>
    <n v="9"/>
    <m/>
    <m/>
    <m/>
    <m/>
    <m/>
    <m/>
    <m/>
    <m/>
    <m/>
    <n v="965.28694435602915"/>
    <m/>
    <m/>
    <m/>
    <m/>
    <m/>
    <m/>
    <m/>
    <m/>
    <m/>
    <m/>
    <m/>
    <m/>
    <n v="4463.9101000000001"/>
    <n v="13.470499999999447"/>
    <m/>
    <m/>
    <m/>
    <m/>
    <n v="-120.37610000000002"/>
    <n v="133.8766"/>
    <n v="30"/>
    <n v="299.06275219542567"/>
    <n v="0"/>
    <n v="0"/>
    <n v="0"/>
    <n v="0"/>
    <n v="0"/>
    <n v="0"/>
    <n v="0"/>
    <n v="172.95532368789327"/>
    <n v="0"/>
    <n v="0"/>
    <n v="126.68605313628518"/>
    <n v="0"/>
    <n v="0"/>
    <n v="0"/>
    <n v="19.852731291870015"/>
    <n v="0"/>
    <n v="-17.433039803314955"/>
    <m/>
    <n v="0"/>
    <n v="0"/>
    <n v="0"/>
    <n v="0"/>
    <n v="-2.2280394901557017"/>
    <n v="-0.77027662715231848"/>
    <n v="0"/>
    <n v="70.528226025412394"/>
    <m/>
    <m/>
    <m/>
    <n v="2311.9920106119271"/>
    <n v="0"/>
    <n v="0"/>
    <n v="-120.37609999999995"/>
    <n v="133.87659999999994"/>
    <n v="0"/>
    <n v="0"/>
    <n v="-356.0870411726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79400000000000004"/>
    <n v="0.79400000000000004"/>
    <n v="0.79400000000000004"/>
    <n v="0.79400000000000004"/>
    <m/>
    <n v="897.25"/>
    <n v="207.07"/>
    <m/>
    <n v="876.83008000000007"/>
    <n v="876.83008000000007"/>
    <n v="879.48998000000006"/>
    <n v="0"/>
    <n v="62.535640212432831"/>
    <n v="0"/>
    <n v="0"/>
    <n v="0"/>
    <n v="158.44044880459617"/>
    <n v="455.514058666469"/>
    <n v="164.41752636229367"/>
    <n v="0"/>
    <n v="0"/>
    <n v="0"/>
    <n v="0"/>
    <n v="0"/>
    <n v="7.9470901348352978"/>
    <m/>
    <n v="2.2112506082423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5558952517015"/>
    <n v="0"/>
    <n v="0"/>
    <n v="0"/>
    <n v="0"/>
    <n v="1"/>
    <m/>
    <m/>
    <m/>
    <m/>
    <m/>
    <m/>
    <m/>
    <m/>
    <m/>
    <n v="190.18308531481068"/>
    <m/>
    <m/>
    <m/>
    <m/>
    <m/>
    <m/>
    <m/>
    <m/>
    <m/>
    <m/>
    <m/>
    <m/>
    <n v="875.05930000000012"/>
    <n v="-1.8007799999999179"/>
    <m/>
    <m/>
    <m/>
    <m/>
    <n v="-23.716780000000004"/>
    <n v="26.37668"/>
    <n v="30"/>
    <n v="58.922041003267395"/>
    <n v="0"/>
    <n v="0"/>
    <n v="0"/>
    <n v="0"/>
    <n v="0"/>
    <n v="0"/>
    <n v="0"/>
    <n v="34.076061292354154"/>
    <n v="0"/>
    <n v="0"/>
    <n v="24.959981684915761"/>
    <n v="0"/>
    <n v="0"/>
    <n v="0"/>
    <n v="3.9114314257431211"/>
    <n v="0"/>
    <n v="-3.4346981647226116"/>
    <m/>
    <n v="0"/>
    <n v="0"/>
    <n v="0"/>
    <n v="0"/>
    <n v="-0.43897353726640986"/>
    <n v="-0.15176169775656101"/>
    <n v="0"/>
    <n v="13.895635599051474"/>
    <m/>
    <m/>
    <m/>
    <n v="455.514058666469"/>
    <n v="0"/>
    <n v="0"/>
    <n v="-23.716779999999972"/>
    <n v="26.376679999999993"/>
    <n v="0"/>
    <n v="0"/>
    <n v="-70.15709942706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2"/>
    <n v="0"/>
    <n v="0"/>
    <n v="1.212"/>
    <n v="1.212"/>
    <n v="1.212"/>
    <n v="1.212"/>
    <m/>
    <n v="4750.8599999999997"/>
    <n v="207.07"/>
    <m/>
    <n v="6009.0111599999991"/>
    <n v="6009.0111599999991"/>
    <n v="5853.9236400000009"/>
    <n v="0"/>
    <n v="83.047960284127967"/>
    <n v="0"/>
    <n v="0"/>
    <n v="0"/>
    <n v="1560.2530620336449"/>
    <n v="4083.6567797210851"/>
    <n v="250.97486391826189"/>
    <n v="0"/>
    <n v="0"/>
    <n v="0"/>
    <n v="0"/>
    <n v="0"/>
    <n v="12.130822724710805"/>
    <m/>
    <n v="2.192919054734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60032959197776"/>
    <n v="0"/>
    <n v="0"/>
    <n v="0"/>
    <n v="0"/>
    <n v="0"/>
    <m/>
    <m/>
    <m/>
    <m/>
    <m/>
    <m/>
    <m/>
    <m/>
    <m/>
    <n v="267.73489687745968"/>
    <m/>
    <m/>
    <m/>
    <m/>
    <m/>
    <m/>
    <m/>
    <m/>
    <m/>
    <m/>
    <m/>
    <m/>
    <n v="5844.2637000000004"/>
    <n v="-164.77745999999934"/>
    <m/>
    <m/>
    <m/>
    <m/>
    <n v="-195.35015999999925"/>
    <n v="40.262639999999998"/>
    <n v="30"/>
    <n v="370.82887519977521"/>
    <n v="0"/>
    <n v="0"/>
    <n v="0"/>
    <n v="0"/>
    <n v="0"/>
    <n v="0"/>
    <n v="0"/>
    <n v="335.56632396954365"/>
    <n v="0"/>
    <n v="0"/>
    <n v="38.100123176470873"/>
    <n v="0"/>
    <n v="0"/>
    <n v="0"/>
    <n v="2.5443158339359933"/>
    <n v="0"/>
    <n v="-4.5613137692822221"/>
    <m/>
    <n v="0"/>
    <n v="0"/>
    <n v="0"/>
    <n v="0"/>
    <n v="-0.67007043723789472"/>
    <n v="-0.1505035736558602"/>
    <n v="0"/>
    <n v="103.03738412800632"/>
    <m/>
    <m/>
    <m/>
    <n v="4083.6567797210851"/>
    <n v="0"/>
    <n v="0"/>
    <n v="-195.35015999999905"/>
    <n v="40.262640000000005"/>
    <n v="0"/>
    <n v="0"/>
    <n v="-628.954275439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2"/>
    <n v="0"/>
    <n v="0"/>
    <n v="87.236999999999995"/>
    <n v="87.236999999999995"/>
    <n v="87.236999999999995"/>
    <n v="87.236999999999995"/>
    <m/>
    <n v="94.17"/>
    <n v="207.07"/>
    <m/>
    <n v="26279.273879999997"/>
    <n v="26279.273879999997"/>
    <n v="29117.093489999999"/>
    <n v="0"/>
    <n v="5977.6030621340515"/>
    <n v="0"/>
    <n v="0"/>
    <n v="0"/>
    <n v="0"/>
    <n v="0"/>
    <n v="18064.599177918655"/>
    <n v="0"/>
    <n v="0"/>
    <n v="0"/>
    <n v="0"/>
    <n v="0"/>
    <n v="873.14899507887503"/>
    <m/>
    <n v="157.841319783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6.3490059913668"/>
    <n v="0"/>
    <n v="0"/>
    <n v="0"/>
    <n v="0"/>
    <n v="0"/>
    <m/>
    <m/>
    <m/>
    <m/>
    <m/>
    <m/>
    <m/>
    <m/>
    <m/>
    <n v="19270.948183910023"/>
    <m/>
    <m/>
    <m/>
    <m/>
    <m/>
    <m/>
    <m/>
    <m/>
    <m/>
    <m/>
    <m/>
    <m/>
    <n v="29118.094799999999"/>
    <n v="2838.7909200000031"/>
    <m/>
    <m/>
    <m/>
    <m/>
    <n v="-60.193529999999797"/>
    <n v="2898.0131399999996"/>
    <n v="30"/>
    <n v="2538.1181366927813"/>
    <n v="0"/>
    <n v="0"/>
    <n v="0"/>
    <n v="0"/>
    <n v="0"/>
    <n v="0"/>
    <n v="0"/>
    <n v="0"/>
    <n v="0"/>
    <n v="0"/>
    <n v="2742.3601035856373"/>
    <n v="0"/>
    <n v="0"/>
    <n v="0"/>
    <n v="183.13405974016018"/>
    <n v="0"/>
    <n v="-328.31297796276613"/>
    <m/>
    <n v="0"/>
    <n v="0"/>
    <n v="0"/>
    <n v="0"/>
    <n v="-48.230144169407822"/>
    <n v="-10.832904500838538"/>
    <n v="0"/>
    <n v="299.3296814135939"/>
    <m/>
    <m/>
    <m/>
    <n v="0"/>
    <n v="0"/>
    <n v="0"/>
    <n v="-60.193530000000464"/>
    <n v="2898.0131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2"/>
    <n v="946"/>
    <n v="946"/>
    <n v="0"/>
    <n v="0"/>
    <n v="0"/>
    <n v="0"/>
    <n v="73.75"/>
    <m/>
    <m/>
    <n v="69767.5"/>
    <m/>
    <n v="69767.5"/>
    <n v="70391.86"/>
    <n v="0"/>
    <n v="0"/>
    <n v="0"/>
    <n v="0"/>
    <n v="0"/>
    <n v="27489.109715669118"/>
    <n v="42278.275805281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391.86"/>
    <n v="624.3300000000163"/>
    <m/>
    <m/>
    <m/>
    <m/>
    <n v="624.35999999999672"/>
    <n v="0"/>
    <n v="30"/>
    <n v="5912.1303594553101"/>
    <n v="0"/>
    <n v="0"/>
    <n v="0"/>
    <n v="0"/>
    <m/>
    <m/>
    <m/>
    <n v="5912.1303594553101"/>
    <n v="0"/>
    <n v="0"/>
    <m/>
    <m/>
    <n v="0"/>
    <n v="0"/>
    <n v="0"/>
    <n v="0"/>
    <n v="0"/>
    <m/>
    <n v="0"/>
    <n v="0"/>
    <m/>
    <n v="0"/>
    <n v="0"/>
    <n v="0"/>
    <n v="0"/>
    <n v="1222.2929525716957"/>
    <m/>
    <m/>
    <n v="42278.275805281286"/>
    <m/>
    <n v="0"/>
    <n v="0"/>
    <n v="624.36000000000058"/>
    <m/>
    <n v="0"/>
    <m/>
    <n v="-6511.590900091039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2"/>
    <n v="0"/>
    <n v="0"/>
    <n v="106.11"/>
    <n v="106.11"/>
    <n v="106.11"/>
    <n v="106.11"/>
    <m/>
    <n v="897.25"/>
    <n v="207.07"/>
    <m/>
    <n v="117179.3952"/>
    <n v="117179.3952"/>
    <n v="117534.8637"/>
    <n v="0"/>
    <n v="8357.2503563491773"/>
    <n v="0"/>
    <n v="0"/>
    <n v="0"/>
    <n v="21173.949650699873"/>
    <n v="60874.807008940836"/>
    <n v="21972.725091061689"/>
    <n v="0"/>
    <n v="0"/>
    <n v="0"/>
    <n v="0"/>
    <n v="0"/>
    <n v="1062.0475241906465"/>
    <m/>
    <n v="295.5110856934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3.3041063621918"/>
    <n v="0"/>
    <n v="207.05"/>
    <n v="956.9"/>
    <n v="0"/>
    <n v="236"/>
    <m/>
    <m/>
    <m/>
    <m/>
    <m/>
    <m/>
    <m/>
    <m/>
    <m/>
    <n v="25416.029197423883"/>
    <m/>
    <m/>
    <m/>
    <m/>
    <m/>
    <m/>
    <m/>
    <m/>
    <m/>
    <m/>
    <m/>
    <m/>
    <n v="117534.8637"/>
    <n v="355.43850000001839"/>
    <m/>
    <m/>
    <m/>
    <m/>
    <n v="-3169.5057000000006"/>
    <n v="3524.9741999999997"/>
    <n v="30"/>
    <n v="7874.3296862175193"/>
    <n v="0"/>
    <n v="0"/>
    <n v="0"/>
    <n v="0"/>
    <n v="0"/>
    <n v="0"/>
    <n v="0"/>
    <n v="4553.9179643976058"/>
    <n v="0"/>
    <n v="0"/>
    <n v="3335.646922652908"/>
    <n v="0"/>
    <n v="0"/>
    <n v="0"/>
    <n v="522.72290753854259"/>
    <n v="0"/>
    <n v="-459.01237060291623"/>
    <m/>
    <n v="0"/>
    <n v="0"/>
    <n v="0"/>
    <n v="0"/>
    <n v="-58.664335062139457"/>
    <n v="-20.281402706484471"/>
    <n v="0"/>
    <n v="1857.0099413291584"/>
    <m/>
    <m/>
    <m/>
    <n v="60874.807008940836"/>
    <n v="0"/>
    <n v="0"/>
    <n v="-3169.5056999999942"/>
    <n v="3524.9741999999969"/>
    <n v="0"/>
    <n v="0"/>
    <n v="-9375.780629982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2799999999999996"/>
    <n v="0.82799999999999996"/>
    <n v="0.82799999999999996"/>
    <n v="0.82799999999999996"/>
    <m/>
    <n v="897.25"/>
    <n v="207.07"/>
    <m/>
    <n v="914.37696000000005"/>
    <n v="914.37696000000005"/>
    <n v="917.15075999999988"/>
    <n v="0"/>
    <n v="65.213488785761186"/>
    <n v="0"/>
    <n v="0"/>
    <n v="0"/>
    <n v="165.22505240580054"/>
    <n v="475.01969845823209"/>
    <n v="171.4580753500997"/>
    <n v="0"/>
    <n v="0"/>
    <n v="0"/>
    <n v="0"/>
    <n v="0"/>
    <n v="8.2873937426242144"/>
    <m/>
    <n v="2.305938921441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68870041163834"/>
    <n v="0"/>
    <n v="17.29"/>
    <n v="79.92"/>
    <n v="0"/>
    <n v="6"/>
    <m/>
    <m/>
    <m/>
    <m/>
    <m/>
    <m/>
    <m/>
    <m/>
    <m/>
    <n v="198.32694539126354"/>
    <m/>
    <m/>
    <m/>
    <m/>
    <m/>
    <m/>
    <m/>
    <m/>
    <m/>
    <m/>
    <m/>
    <m/>
    <n v="919.36609999999996"/>
    <n v="4.9591399999999339"/>
    <m/>
    <m/>
    <m/>
    <m/>
    <n v="-24.732360000000003"/>
    <n v="27.506159999999998"/>
    <n v="30"/>
    <n v="61.445151071417513"/>
    <n v="0"/>
    <n v="0"/>
    <n v="0"/>
    <n v="0"/>
    <n v="0"/>
    <n v="0"/>
    <n v="0"/>
    <n v="35.535237720490215"/>
    <n v="0"/>
    <n v="0"/>
    <n v="26.028797021549394"/>
    <n v="0"/>
    <n v="0"/>
    <n v="0"/>
    <n v="4.0789234515306134"/>
    <n v="0"/>
    <n v="-3.5817759198870576"/>
    <m/>
    <n v="0"/>
    <n v="0"/>
    <n v="0"/>
    <n v="0"/>
    <n v="-0.45777089276648297"/>
    <n v="-0.15826030949928471"/>
    <n v="0"/>
    <n v="14.49066281613932"/>
    <m/>
    <m/>
    <m/>
    <n v="475.01969845823209"/>
    <n v="0"/>
    <n v="0"/>
    <n v="-24.732360000000085"/>
    <n v="27.506159999999994"/>
    <n v="0"/>
    <n v="0"/>
    <n v="-73.16130771487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2"/>
    <s v="Regular"/>
    <s v="Azul"/>
    <s v="A4"/>
    <s v="Comercial"/>
    <s v="Não se aplica"/>
    <s v="Não se aplica"/>
    <s v="Não se aplica"/>
    <s v="Ponta"/>
    <s v="CATIVO"/>
    <x v="2"/>
    <n v="100"/>
    <n v="100"/>
    <n v="3.093"/>
    <n v="3.093"/>
    <n v="3.093"/>
    <n v="3.093"/>
    <n v="193.63"/>
    <n v="94.17"/>
    <n v="207.07"/>
    <n v="19363"/>
    <n v="931.73532"/>
    <n v="20294.73532"/>
    <n v="19727.350610000001"/>
    <n v="0"/>
    <n v="211.93675013102953"/>
    <n v="0"/>
    <n v="0"/>
    <n v="0"/>
    <n v="5352.7545792855199"/>
    <n v="14009.762805225198"/>
    <n v="640.48288292011887"/>
    <n v="0"/>
    <n v="0"/>
    <n v="0"/>
    <n v="0"/>
    <n v="0"/>
    <n v="30.957619379150596"/>
    <m/>
    <n v="5.596286003542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71272230031954"/>
    <n v="0"/>
    <n v="0"/>
    <n v="0"/>
    <n v="0"/>
    <n v="0"/>
    <m/>
    <m/>
    <m/>
    <m/>
    <m/>
    <m/>
    <m/>
    <m/>
    <m/>
    <n v="683.25415515015084"/>
    <m/>
    <m/>
    <m/>
    <m/>
    <m/>
    <m/>
    <m/>
    <m/>
    <m/>
    <m/>
    <m/>
    <m/>
    <n v="19726.349300000002"/>
    <n v="-568.4160199999933"/>
    <m/>
    <m/>
    <m/>
    <m/>
    <n v="-670.13417000000072"/>
    <n v="102.74946"/>
    <n v="30"/>
    <n v="1241.2155155756063"/>
    <n v="0"/>
    <n v="0"/>
    <n v="0"/>
    <n v="0"/>
    <n v="0"/>
    <n v="0"/>
    <n v="0"/>
    <n v="1151.2261831043998"/>
    <n v="0"/>
    <n v="0"/>
    <n v="97.230759888468924"/>
    <n v="0"/>
    <n v="0"/>
    <n v="0"/>
    <n v="6.4930436257128932"/>
    <n v="0"/>
    <n v="-11.640382416163277"/>
    <m/>
    <n v="0"/>
    <n v="0"/>
    <n v="0"/>
    <n v="0"/>
    <n v="-1.7100064871095775"/>
    <n v="-0.38408213970097016"/>
    <n v="0"/>
    <n v="349.83529864701302"/>
    <m/>
    <m/>
    <n v="14009.762805225198"/>
    <n v="0"/>
    <n v="0"/>
    <n v="0"/>
    <n v="-670.13417000000118"/>
    <n v="102.74946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3"/>
    <s v="Regular"/>
    <s v="Azul"/>
    <s v="A4"/>
    <s v="Comercial"/>
    <s v="Não se aplica"/>
    <s v="Não se aplica"/>
    <s v="Não se aplica"/>
    <s v="Fora ponta"/>
    <s v="CATIVO"/>
    <x v="2"/>
    <n v="100"/>
    <n v="100"/>
    <n v="26.829000000000001"/>
    <n v="26.829000000000001"/>
    <n v="26.829000000000001"/>
    <n v="26.829000000000001"/>
    <n v="73.75"/>
    <n v="94.17"/>
    <n v="207.07"/>
    <n v="7375"/>
    <n v="8081.9679599999999"/>
    <n v="15456.967959999998"/>
    <n v="16395.715329999999"/>
    <n v="0"/>
    <n v="1838.3611604479117"/>
    <n v="0"/>
    <n v="0"/>
    <n v="0"/>
    <n v="2905.8255513392301"/>
    <n v="4469.1623472813199"/>
    <n v="5555.6143762896436"/>
    <n v="0"/>
    <n v="0"/>
    <n v="0"/>
    <n v="0"/>
    <n v="0"/>
    <n v="268.52957333437809"/>
    <m/>
    <n v="48.54276016457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00241275768747"/>
    <n v="0"/>
    <n v="0"/>
    <n v="0"/>
    <n v="0"/>
    <n v="0"/>
    <m/>
    <m/>
    <m/>
    <m/>
    <m/>
    <m/>
    <m/>
    <m/>
    <m/>
    <n v="5926.6167890473307"/>
    <m/>
    <m/>
    <m/>
    <m/>
    <m/>
    <m/>
    <m/>
    <m/>
    <m/>
    <m/>
    <m/>
    <m/>
    <n v="16396.0491"/>
    <n v="939.05113999999776"/>
    <m/>
    <m/>
    <m/>
    <m/>
    <n v="47.487989999999719"/>
    <n v="891.25937999999996"/>
    <n v="30"/>
    <n v="1405.5376478574308"/>
    <n v="0"/>
    <n v="0"/>
    <n v="0"/>
    <n v="0"/>
    <n v="0"/>
    <n v="0"/>
    <n v="0"/>
    <n v="624.9609259466497"/>
    <n v="0"/>
    <n v="0"/>
    <n v="843.3896078395519"/>
    <n v="0"/>
    <n v="0"/>
    <n v="0"/>
    <n v="56.321327977449471"/>
    <n v="0"/>
    <n v="-100.96987385814577"/>
    <m/>
    <n v="0"/>
    <n v="0"/>
    <n v="0"/>
    <n v="0"/>
    <n v="-14.832772079748764"/>
    <n v="-3.3315679683276258"/>
    <n v="0"/>
    <n v="221.26274983273998"/>
    <m/>
    <m/>
    <n v="4469.1623472813199"/>
    <n v="0"/>
    <n v="0"/>
    <n v="0"/>
    <n v="47.487990000001446"/>
    <n v="891.2593800000004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6.29000000000002"/>
    <n v="1182.910000000000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5"/>
    <s v="Regular"/>
    <s v="Verde"/>
    <s v="A4"/>
    <s v="Comercial"/>
    <s v="Não se aplica"/>
    <s v="Não se aplica"/>
    <s v="Não se aplica"/>
    <s v="Ponta"/>
    <s v="CATIVO"/>
    <x v="2"/>
    <n v="0"/>
    <n v="0"/>
    <n v="0.52"/>
    <n v="0.52"/>
    <n v="0.52"/>
    <n v="0.52"/>
    <m/>
    <n v="4750.8599999999997"/>
    <n v="207.07"/>
    <m/>
    <n v="2578.1235999999999"/>
    <n v="2578.1235999999999"/>
    <n v="2511.5844000000002"/>
    <n v="0"/>
    <n v="35.631138075698466"/>
    <n v="0"/>
    <n v="0"/>
    <n v="0"/>
    <n v="669.41550516295001"/>
    <n v="1752.0639648968352"/>
    <n v="107.67898451938629"/>
    <n v="0"/>
    <n v="0"/>
    <n v="0"/>
    <n v="0"/>
    <n v="0"/>
    <n v="5.2046434132422599"/>
    <m/>
    <n v="0.94085636011700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07732168175285"/>
    <n v="0"/>
    <n v="0"/>
    <n v="0"/>
    <n v="0"/>
    <n v="0"/>
    <m/>
    <m/>
    <m/>
    <m/>
    <m/>
    <m/>
    <m/>
    <m/>
    <m/>
    <n v="114.86975773620382"/>
    <m/>
    <m/>
    <m/>
    <m/>
    <m/>
    <m/>
    <m/>
    <m/>
    <m/>
    <m/>
    <m/>
    <m/>
    <n v="2511.5844000000002"/>
    <n v="-66.569200000000365"/>
    <m/>
    <m/>
    <m/>
    <m/>
    <n v="-83.813599999999681"/>
    <n v="17.2744"/>
    <n v="30"/>
    <n v="159.10149761046443"/>
    <n v="0"/>
    <n v="0"/>
    <n v="0"/>
    <n v="0"/>
    <n v="0"/>
    <n v="0"/>
    <n v="0"/>
    <n v="143.97235021795598"/>
    <n v="0"/>
    <n v="0"/>
    <n v="16.346587501456156"/>
    <n v="0"/>
    <n v="0"/>
    <n v="0"/>
    <n v="1.0916206548240242"/>
    <n v="0"/>
    <n v="-1.9569993069527669"/>
    <m/>
    <n v="0"/>
    <n v="0"/>
    <n v="0"/>
    <n v="0"/>
    <n v="-0.28748896647170419"/>
    <n v="-6.4572490347398759E-2"/>
    <n v="0"/>
    <n v="44.207458536768392"/>
    <m/>
    <m/>
    <m/>
    <n v="1752.0639648968352"/>
    <n v="0"/>
    <n v="0"/>
    <n v="-83.813599999999951"/>
    <n v="17.2744"/>
    <n v="0"/>
    <n v="0"/>
    <n v="-269.848369000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70.647999999999996"/>
    <n v="70.647999999999996"/>
    <n v="70.647999999999996"/>
    <n v="70.647999999999996"/>
    <m/>
    <n v="94.17"/>
    <n v="207.07"/>
    <m/>
    <n v="21282.003519999998"/>
    <n v="21282.003519999998"/>
    <n v="23580.182959999998"/>
    <n v="0"/>
    <n v="4840.901236099894"/>
    <n v="0"/>
    <n v="0"/>
    <n v="0"/>
    <n v="0"/>
    <n v="0"/>
    <n v="14629.432496780004"/>
    <n v="0"/>
    <n v="0"/>
    <n v="0"/>
    <n v="0"/>
    <n v="0"/>
    <n v="707.11086126680607"/>
    <m/>
    <n v="127.8261925568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94951196485522"/>
    <n v="0"/>
    <n v="0"/>
    <n v="0"/>
    <n v="0"/>
    <n v="0"/>
    <m/>
    <m/>
    <m/>
    <m/>
    <m/>
    <m/>
    <m/>
    <m/>
    <m/>
    <n v="15606.382008744858"/>
    <m/>
    <m/>
    <m/>
    <m/>
    <m/>
    <m/>
    <m/>
    <m/>
    <m/>
    <m/>
    <m/>
    <m/>
    <n v="23580.8505"/>
    <n v="2298.8169800000032"/>
    <m/>
    <m/>
    <m/>
    <m/>
    <n v="-48.747119999999839"/>
    <n v="2346.9265599999999"/>
    <n v="30"/>
    <n v="2055.46924035755"/>
    <n v="0"/>
    <n v="0"/>
    <n v="0"/>
    <n v="0"/>
    <n v="0"/>
    <n v="0"/>
    <n v="0"/>
    <n v="0"/>
    <n v="0"/>
    <n v="0"/>
    <n v="2220.872526543988"/>
    <n v="0"/>
    <n v="0"/>
    <n v="0"/>
    <n v="148.30926158078387"/>
    <n v="0"/>
    <n v="-265.88093661076709"/>
    <m/>
    <n v="0"/>
    <n v="0"/>
    <n v="0"/>
    <n v="0"/>
    <n v="-39.058693275563314"/>
    <n v="-8.7729178808904464"/>
    <n v="0"/>
    <n v="242.40910774679992"/>
    <m/>
    <m/>
    <m/>
    <n v="0"/>
    <n v="0"/>
    <n v="0"/>
    <n v="-48.747119999999995"/>
    <n v="2346.92656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Não se aplica"/>
    <s v="CATIVO"/>
    <x v="2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8"/>
    <s v="Regular"/>
    <s v="Branca"/>
    <s v="B3"/>
    <s v="Comercial"/>
    <s v="Não se aplica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2482.39"/>
    <n v="207.07"/>
    <m/>
    <n v="145.23084"/>
    <n v="145.23084"/>
    <n v="141.88121999999998"/>
    <n v="0"/>
    <n v="4.2530536164626858"/>
    <n v="0"/>
    <n v="0"/>
    <n v="0"/>
    <n v="32.865457357277656"/>
    <n v="94.487576401192683"/>
    <n v="11.182048392397807"/>
    <n v="0"/>
    <n v="0"/>
    <n v="0"/>
    <n v="0"/>
    <n v="0"/>
    <n v="0.540482200605927"/>
    <m/>
    <n v="0.1503873209635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523176113802501"/>
    <n v="0"/>
    <n v="0"/>
    <n v="0"/>
    <n v="0"/>
    <n v="0"/>
    <m/>
    <m/>
    <m/>
    <m/>
    <m/>
    <m/>
    <m/>
    <m/>
    <m/>
    <n v="12.934366003778056"/>
    <m/>
    <m/>
    <m/>
    <m/>
    <m/>
    <m/>
    <m/>
    <m/>
    <m/>
    <m/>
    <m/>
    <m/>
    <n v="131.3715"/>
    <n v="-13.889339999999976"/>
    <m/>
    <m/>
    <m/>
    <m/>
    <n v="-5.1434999999999995"/>
    <n v="1.7938799999999999"/>
    <n v="30"/>
    <n v="8.7582077009387831"/>
    <n v="0"/>
    <n v="0"/>
    <n v="0"/>
    <n v="0"/>
    <n v="0"/>
    <n v="0"/>
    <n v="0"/>
    <n v="7.0684307432696158"/>
    <n v="0"/>
    <n v="0"/>
    <n v="1.6975302405358317"/>
    <n v="0"/>
    <n v="0"/>
    <n v="0"/>
    <n v="0.26601674683895293"/>
    <n v="0"/>
    <n v="-0.23359408173176366"/>
    <m/>
    <n v="0"/>
    <n v="0"/>
    <n v="0"/>
    <n v="0"/>
    <n v="-2.9854623441292305E-2"/>
    <n v="-1.0321324532562071E-2"/>
    <n v="0"/>
    <n v="2.4446803374829829"/>
    <m/>
    <m/>
    <m/>
    <n v="94.487576401192683"/>
    <n v="0"/>
    <n v="0"/>
    <n v="-5.1435000000000173"/>
    <n v="1.7938799999999997"/>
    <n v="0"/>
    <n v="0"/>
    <n v="-14.55273260194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9"/>
    <s v="Regular"/>
    <s v="Branca"/>
    <s v="B3"/>
    <s v="Comercial"/>
    <s v="Não se aplica"/>
    <s v="Não se aplica"/>
    <s v="Não se aplica"/>
    <s v="Fora ponta"/>
    <s v="CATIVO"/>
    <x v="2"/>
    <n v="0"/>
    <n v="0"/>
    <n v="0.35499999999999998"/>
    <n v="0.35499999999999998"/>
    <n v="0.35499999999999998"/>
    <n v="0.35499999999999998"/>
    <m/>
    <n v="595.67999999999995"/>
    <n v="207.07"/>
    <m/>
    <n v="284.97624999999994"/>
    <n v="284.97624999999994"/>
    <n v="290.58170000000001"/>
    <n v="0"/>
    <n v="27.959889515634323"/>
    <n v="0"/>
    <n v="0"/>
    <n v="0"/>
    <n v="43.211576594744763"/>
    <n v="124.23370128769247"/>
    <n v="73.5116144315041"/>
    <n v="0"/>
    <n v="0"/>
    <n v="0"/>
    <n v="0"/>
    <n v="0"/>
    <n v="3.5531700225019271"/>
    <m/>
    <n v="0.98865738781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865778518311"/>
    <n v="0"/>
    <n v="0"/>
    <n v="0"/>
    <n v="0"/>
    <n v="0"/>
    <m/>
    <m/>
    <m/>
    <m/>
    <m/>
    <m/>
    <m/>
    <m/>
    <m/>
    <n v="85.031480210022409"/>
    <m/>
    <m/>
    <m/>
    <m/>
    <m/>
    <m/>
    <m/>
    <m/>
    <m/>
    <m/>
    <m/>
    <m/>
    <n v="294.67439999999999"/>
    <n v="9.6681500000000824"/>
    <m/>
    <m/>
    <m/>
    <m/>
    <n v="-6.1876499999999819"/>
    <n v="11.793099999999999"/>
    <n v="30"/>
    <n v="20.402307386086505"/>
    <n v="0"/>
    <n v="0"/>
    <n v="0"/>
    <n v="0"/>
    <n v="0"/>
    <n v="0"/>
    <n v="0"/>
    <n v="9.2935884977058905"/>
    <n v="0"/>
    <n v="0"/>
    <n v="11.15968954426333"/>
    <n v="0"/>
    <n v="0"/>
    <n v="0"/>
    <n v="1.7488137986634875"/>
    <n v="0"/>
    <n v="-1.5356647965699324"/>
    <m/>
    <n v="0"/>
    <n v="0"/>
    <n v="0"/>
    <n v="0"/>
    <n v="-0.19626650595664374"/>
    <n v="-6.7853152019620944E-2"/>
    <n v="0"/>
    <n v="4.3372152411395355"/>
    <m/>
    <m/>
    <m/>
    <n v="124.23370128769247"/>
    <n v="0"/>
    <n v="0"/>
    <n v="-6.1876499999999623"/>
    <n v="11.793099999999995"/>
    <n v="0"/>
    <n v="0"/>
    <n v="-19.134153968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Intermediário"/>
    <s v="CATIVO"/>
    <x v="2"/>
    <n v="0"/>
    <n v="0"/>
    <n v="3.6999999999999998E-2"/>
    <n v="3.6999999999999998E-2"/>
    <n v="3.6999999999999998E-2"/>
    <n v="3.6999999999999998E-2"/>
    <m/>
    <n v="1539.04"/>
    <n v="207.07"/>
    <m/>
    <n v="64.606070000000003"/>
    <n v="64.606070000000003"/>
    <n v="63.750629999999994"/>
    <n v="0"/>
    <n v="2.9141293297985067"/>
    <n v="0"/>
    <n v="0"/>
    <n v="0"/>
    <n v="13.51133728104211"/>
    <n v="38.844888766349634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68.919600000000003"/>
    <n v="4.2835299999999989"/>
    <m/>
    <m/>
    <m/>
    <m/>
    <n v="-2.0845799999999968"/>
    <n v="1.2291399999999999"/>
    <n v="30"/>
    <n v="4.0637168098800167"/>
    <n v="0"/>
    <n v="0"/>
    <n v="0"/>
    <n v="0"/>
    <n v="0"/>
    <n v="0"/>
    <n v="0"/>
    <n v="2.9059066722178137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063553241694158"/>
    <m/>
    <m/>
    <m/>
    <n v="38.844888766349634"/>
    <n v="0"/>
    <n v="0"/>
    <n v="-2.0845800000000025"/>
    <n v="1.2291400000000001"/>
    <n v="0"/>
    <n v="0"/>
    <n v="-5.9827894914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2"/>
    <n v="0"/>
    <n v="0"/>
    <n v="47.582999999999998"/>
    <n v="47.582999999999998"/>
    <n v="47.582999999999998"/>
    <n v="47.582999999999998"/>
    <m/>
    <n v="897.25"/>
    <n v="207.07"/>
    <m/>
    <n v="52546.858559999993"/>
    <n v="52546.858559999993"/>
    <n v="52706.261609999994"/>
    <n v="0"/>
    <n v="3747.6490783730364"/>
    <n v="0"/>
    <n v="0"/>
    <n v="0"/>
    <n v="9495.0527398855156"/>
    <n v="27298.142888572533"/>
    <n v="9853.2483084345331"/>
    <n v="0"/>
    <n v="0"/>
    <n v="0"/>
    <n v="0"/>
    <n v="0"/>
    <n v="476.25489910058934"/>
    <m/>
    <n v="132.5162943224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.0838685612305"/>
    <n v="0"/>
    <n v="27.41"/>
    <n v="126.73"/>
    <n v="0"/>
    <n v="166"/>
    <m/>
    <m/>
    <m/>
    <m/>
    <m/>
    <n v="6324.7323600000009"/>
    <m/>
    <m/>
    <m/>
    <n v="11397.332176995764"/>
    <m/>
    <m/>
    <m/>
    <m/>
    <m/>
    <m/>
    <m/>
    <m/>
    <m/>
    <m/>
    <m/>
    <m/>
    <n v="46378.604999999996"/>
    <n v="136.93976999998995"/>
    <m/>
    <m/>
    <m/>
    <m/>
    <n v="-1421.3042100000002"/>
    <n v="1580.7072599999999"/>
    <n v="30"/>
    <n v="3531.0925403759138"/>
    <n v="0"/>
    <n v="0"/>
    <n v="0"/>
    <n v="0"/>
    <n v="0"/>
    <n v="0"/>
    <n v="0"/>
    <n v="2042.1174111764321"/>
    <n v="0"/>
    <n v="0"/>
    <n v="1495.807063618824"/>
    <n v="0"/>
    <n v="0"/>
    <n v="0"/>
    <n v="234.40509008959066"/>
    <n v="0"/>
    <n v="-205.83531835263921"/>
    <m/>
    <n v="0"/>
    <n v="0"/>
    <n v="0"/>
    <n v="0"/>
    <n v="-26.306899022352127"/>
    <n v="-9.0948071339426093"/>
    <n v="0"/>
    <n v="832.74059031444108"/>
    <m/>
    <m/>
    <m/>
    <n v="27298.142888572533"/>
    <n v="0"/>
    <n v="0"/>
    <n v="-1421.3042100000021"/>
    <n v="1580.7072599999992"/>
    <n v="0"/>
    <n v="0"/>
    <n v="-4204.389498788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34200000000000003"/>
    <n v="0.34200000000000003"/>
    <n v="0.34200000000000003"/>
    <n v="0.34200000000000003"/>
    <m/>
    <n v="897.25"/>
    <n v="207.07"/>
    <m/>
    <n v="377.67744000000005"/>
    <n v="377.67744000000005"/>
    <n v="378.82313999999997"/>
    <n v="0"/>
    <n v="26.936006237597013"/>
    <n v="0"/>
    <n v="0"/>
    <n v="0"/>
    <n v="68.24513034152632"/>
    <n v="196.20378849361762"/>
    <n v="70.819639818519448"/>
    <n v="0"/>
    <n v="0"/>
    <n v="0"/>
    <n v="0"/>
    <n v="0"/>
    <n v="3.423053937170871"/>
    <m/>
    <n v="0.95245303276937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8011538741586"/>
    <n v="0"/>
    <n v="0"/>
    <n v="0"/>
    <n v="0"/>
    <n v="3"/>
    <m/>
    <m/>
    <m/>
    <m/>
    <m/>
    <n v="45.45864000000001"/>
    <m/>
    <m/>
    <m/>
    <n v="81.917651357261036"/>
    <m/>
    <m/>
    <m/>
    <m/>
    <m/>
    <m/>
    <m/>
    <m/>
    <m/>
    <m/>
    <m/>
    <m/>
    <n v="331.41500000000002"/>
    <n v="-0.97401999999999589"/>
    <m/>
    <m/>
    <m/>
    <m/>
    <n v="-10.215540000000003"/>
    <n v="11.36124"/>
    <n v="30"/>
    <n v="25.379518920802838"/>
    <n v="0"/>
    <n v="0"/>
    <n v="0"/>
    <n v="0"/>
    <n v="0"/>
    <n v="0"/>
    <n v="0"/>
    <n v="14.677598188898131"/>
    <n v="0"/>
    <n v="0"/>
    <n v="10.751024856726929"/>
    <n v="0"/>
    <n v="0"/>
    <n v="0"/>
    <n v="1.6847727299800344"/>
    <n v="0"/>
    <n v="-1.4794291843011749"/>
    <m/>
    <n v="0"/>
    <n v="0"/>
    <n v="0"/>
    <n v="0"/>
    <n v="-0.18907928179485145"/>
    <n v="-6.536838870622641E-2"/>
    <n v="0"/>
    <n v="5.9852737718836329"/>
    <m/>
    <m/>
    <m/>
    <n v="196.20378849361762"/>
    <n v="0"/>
    <n v="0"/>
    <n v="-10.215540000000033"/>
    <n v="11.361239999999995"/>
    <n v="0"/>
    <n v="0"/>
    <n v="-30.218801012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.064"/>
    <n v="18.064"/>
    <n v="18.064"/>
    <n v="18.064"/>
    <m/>
    <n v="897.25"/>
    <n v="207.07"/>
    <m/>
    <n v="19948.43648"/>
    <n v="19948.43648"/>
    <n v="20008.95088"/>
    <n v="0"/>
    <n v="1422.7251949589252"/>
    <n v="0"/>
    <n v="0"/>
    <n v="0"/>
    <n v="3604.6199838869338"/>
    <n v="10363.231682306165"/>
    <n v="3740.6022622272958"/>
    <n v="0"/>
    <n v="0"/>
    <n v="0"/>
    <n v="0"/>
    <n v="0"/>
    <n v="180.80130503232343"/>
    <m/>
    <n v="50.30734381270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18269133283036"/>
    <n v="0"/>
    <n v="141.11000000000001"/>
    <n v="651.79999999999995"/>
    <n v="0"/>
    <n v="33"/>
    <m/>
    <m/>
    <m/>
    <m/>
    <m/>
    <m/>
    <m/>
    <m/>
    <m/>
    <n v="4326.7849535601263"/>
    <m/>
    <m/>
    <m/>
    <m/>
    <m/>
    <m/>
    <m/>
    <m/>
    <m/>
    <m/>
    <m/>
    <m/>
    <n v="20004.520199999999"/>
    <n v="56.053719999999885"/>
    <m/>
    <m/>
    <m/>
    <m/>
    <n v="-539.57168000000013"/>
    <n v="600.08608000000004"/>
    <n v="30"/>
    <n v="1340.5135373841586"/>
    <n v="0"/>
    <n v="0"/>
    <n v="0"/>
    <n v="0"/>
    <n v="0"/>
    <n v="0"/>
    <n v="0"/>
    <n v="775.25185287794147"/>
    <n v="0"/>
    <n v="0"/>
    <n v="567.85530120443036"/>
    <n v="0"/>
    <n v="0"/>
    <n v="0"/>
    <n v="88.987528053682354"/>
    <n v="0"/>
    <n v="-78.141546155603464"/>
    <m/>
    <n v="0"/>
    <n v="0"/>
    <n v="0"/>
    <n v="0"/>
    <n v="-9.9869244045093524"/>
    <n v="-3.4526741917815045"/>
    <n v="0"/>
    <n v="316.13446027867235"/>
    <m/>
    <m/>
    <m/>
    <n v="10363.231682306165"/>
    <n v="0"/>
    <n v="0"/>
    <n v="-539.57168000000092"/>
    <n v="600.08607999999958"/>
    <n v="0"/>
    <n v="0"/>
    <n v="-1596.118191499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34699999999998"/>
    <n v="288.34699999999998"/>
    <n v="288.34699999999998"/>
    <n v="288.34699999999998"/>
    <m/>
    <n v="493.49"/>
    <n v="113.89"/>
    <m/>
    <n v="175136.20085999998"/>
    <n v="175136.20085999998"/>
    <n v="175666.75933999999"/>
    <n v="0"/>
    <n v="12490.655335747979"/>
    <n v="0"/>
    <n v="0"/>
    <n v="0"/>
    <n v="31646.354471413659"/>
    <n v="90982.823363810137"/>
    <n v="32840.195542435227"/>
    <n v="0"/>
    <n v="0"/>
    <n v="0"/>
    <n v="0"/>
    <n v="0"/>
    <n v="1587.3246593326739"/>
    <m/>
    <n v="441.66764927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3248047919133"/>
    <n v="0"/>
    <n v="1306.52"/>
    <n v="6030.14"/>
    <n v="0"/>
    <n v="3"/>
    <m/>
    <m/>
    <m/>
    <m/>
    <m/>
    <m/>
    <m/>
    <m/>
    <m/>
    <n v="37986.520347227139"/>
    <m/>
    <m/>
    <m/>
    <m/>
    <m/>
    <m/>
    <m/>
    <m/>
    <m/>
    <m/>
    <m/>
    <m/>
    <n v="175668.58700000003"/>
    <n v="532.35614000001806"/>
    <m/>
    <m/>
    <m/>
    <m/>
    <n v="-4737.5412100000012"/>
    <n v="5268.0996899999982"/>
    <n v="30"/>
    <n v="11768.887363278147"/>
    <n v="0"/>
    <n v="0"/>
    <n v="0"/>
    <n v="0"/>
    <n v="0"/>
    <n v="0"/>
    <n v="0"/>
    <n v="6806.2361775899844"/>
    <n v="0"/>
    <n v="0"/>
    <n v="4985.4215508754714"/>
    <n v="0"/>
    <n v="0"/>
    <n v="0"/>
    <n v="781.2559628782401"/>
    <n v="0"/>
    <n v="-686.03488845944048"/>
    <m/>
    <n v="0"/>
    <n v="0"/>
    <n v="0"/>
    <n v="0"/>
    <n v="-87.679076073785609"/>
    <n v="-30.312363532312531"/>
    <n v="0"/>
    <n v="2775.4668273851839"/>
    <m/>
    <m/>
    <m/>
    <n v="90982.823363810137"/>
    <n v="0"/>
    <n v="0"/>
    <n v="-4737.5412099999958"/>
    <n v="5268.0996900000027"/>
    <n v="0"/>
    <n v="0"/>
    <n v="-14012.93958649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76"/>
    <n v="20.4544"/>
    <n v="21.76"/>
    <n v="20.4544"/>
    <m/>
    <n v="897.25"/>
    <n v="207.07"/>
    <m/>
    <n v="24030.003199999999"/>
    <n v="24030.003199999999"/>
    <n v="24102.8992"/>
    <n v="0"/>
    <n v="1713.8230869301492"/>
    <n v="0"/>
    <n v="0"/>
    <n v="0"/>
    <n v="4342.1463047707975"/>
    <n v="12483.60946672842"/>
    <n v="4505.951352195857"/>
    <n v="0"/>
    <n v="0"/>
    <n v="0"/>
    <n v="0"/>
    <n v="0"/>
    <n v="217.79430898490691"/>
    <m/>
    <n v="60.60052044754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11909673396758"/>
    <n v="0"/>
    <n v="11.76"/>
    <n v="54.29"/>
    <n v="0"/>
    <n v="3"/>
    <m/>
    <m/>
    <m/>
    <m/>
    <n v="1446.1739520000021"/>
    <m/>
    <m/>
    <m/>
    <m/>
    <n v="5212.0704489298241"/>
    <m/>
    <m/>
    <m/>
    <m/>
    <m/>
    <m/>
    <m/>
    <m/>
    <m/>
    <m/>
    <m/>
    <m/>
    <n v="22651.851499999997"/>
    <n v="63.618492000001424"/>
    <m/>
    <m/>
    <m/>
    <m/>
    <n v="-649.97120000000018"/>
    <n v="722.86720000000003"/>
    <n v="30"/>
    <n v="1614.7904436159952"/>
    <n v="0"/>
    <n v="0"/>
    <n v="0"/>
    <n v="0"/>
    <n v="0"/>
    <n v="0"/>
    <n v="0"/>
    <n v="933.87291400708546"/>
    <n v="0"/>
    <n v="0"/>
    <n v="684.04181544555013"/>
    <n v="0"/>
    <n v="0"/>
    <n v="0"/>
    <n v="107.19489650399282"/>
    <n v="0"/>
    <n v="-94.129763305244296"/>
    <m/>
    <n v="0"/>
    <n v="0"/>
    <n v="0"/>
    <n v="0"/>
    <n v="-12.030307520046705"/>
    <n v="-4.1591115153435254"/>
    <n v="0"/>
    <n v="380.81741893622177"/>
    <m/>
    <m/>
    <m/>
    <n v="12483.60946672842"/>
    <n v="0"/>
    <n v="0"/>
    <n v="-649.97119999999995"/>
    <n v="722.86719999999968"/>
    <n v="0"/>
    <n v="0"/>
    <n v="-1922.693304197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742"/>
    <n v="1.63748"/>
    <n v="1.742"/>
    <n v="1.63748"/>
    <m/>
    <n v="4750.8599999999997"/>
    <n v="207.07"/>
    <m/>
    <n v="8636.7140600000002"/>
    <n v="8636.7140600000002"/>
    <n v="8413.8077400000002"/>
    <n v="0"/>
    <n v="119.36431255358985"/>
    <n v="0"/>
    <n v="0"/>
    <n v="0"/>
    <n v="2242.5419422958826"/>
    <n v="5869.4142824043984"/>
    <n v="360.72459813994408"/>
    <n v="0"/>
    <n v="0"/>
    <n v="0"/>
    <n v="0"/>
    <n v="0"/>
    <n v="17.435555434361572"/>
    <m/>
    <n v="3.151868806391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8909027633872"/>
    <n v="0"/>
    <n v="0"/>
    <n v="0"/>
    <n v="0"/>
    <n v="0"/>
    <m/>
    <m/>
    <m/>
    <m/>
    <n v="504.82846439999975"/>
    <m/>
    <m/>
    <m/>
    <m/>
    <n v="384.81368841628279"/>
    <m/>
    <m/>
    <m/>
    <m/>
    <m/>
    <m/>
    <m/>
    <m/>
    <m/>
    <m/>
    <m/>
    <m/>
    <n v="7921.1508000000003"/>
    <n v="-197.39041639999959"/>
    <m/>
    <m/>
    <m/>
    <m/>
    <n v="-280.7755599999989"/>
    <n v="57.869239999999998"/>
    <n v="30"/>
    <n v="532.9900169950547"/>
    <n v="0"/>
    <n v="0"/>
    <n v="0"/>
    <n v="0"/>
    <n v="0"/>
    <n v="0"/>
    <n v="0"/>
    <n v="482.30737323015228"/>
    <n v="0"/>
    <n v="0"/>
    <n v="54.761068129878083"/>
    <n v="0"/>
    <n v="0"/>
    <n v="0"/>
    <n v="3.6569291936604813"/>
    <n v="0"/>
    <n v="-6.5559476782917727"/>
    <m/>
    <n v="0"/>
    <n v="0"/>
    <n v="0"/>
    <n v="0"/>
    <n v="-0.96308803768020823"/>
    <n v="-0.21631784266378595"/>
    <n v="0"/>
    <n v="148.09498609817413"/>
    <m/>
    <m/>
    <m/>
    <n v="5869.4142824043984"/>
    <n v="0"/>
    <n v="0"/>
    <n v="-280.77556000000004"/>
    <n v="57.869239999999991"/>
    <n v="0"/>
    <n v="0"/>
    <n v="-903.9920361509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7.077000000000002"/>
    <n v="16.052379999999999"/>
    <n v="17.077000000000002"/>
    <n v="16.052379999999999"/>
    <m/>
    <n v="94.17"/>
    <n v="207.07"/>
    <m/>
    <n v="5144.2754800000002"/>
    <n v="5144.2754800000002"/>
    <n v="5699.7902900000008"/>
    <n v="0"/>
    <n v="1170.1402786898129"/>
    <n v="0"/>
    <n v="0"/>
    <n v="0"/>
    <n v="0"/>
    <n v="0"/>
    <n v="3536.2192666106921"/>
    <n v="0"/>
    <n v="0"/>
    <n v="0"/>
    <n v="0"/>
    <n v="0"/>
    <n v="170.922491476804"/>
    <m/>
    <n v="30.8980847340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775812229411"/>
    <n v="0"/>
    <n v="0"/>
    <n v="0"/>
    <n v="0"/>
    <n v="0"/>
    <m/>
    <m/>
    <m/>
    <m/>
    <n v="341.98741740000077"/>
    <m/>
    <m/>
    <m/>
    <m/>
    <n v="3772.367024732986"/>
    <m/>
    <m/>
    <m/>
    <m/>
    <m/>
    <m/>
    <m/>
    <m/>
    <m/>
    <m/>
    <m/>
    <m/>
    <n v="5357.0084999999999"/>
    <n v="521.35954880000008"/>
    <m/>
    <m/>
    <m/>
    <m/>
    <n v="-11.783129999999963"/>
    <n v="567.29794000000004"/>
    <n v="30"/>
    <n v="496.84701927281549"/>
    <n v="0"/>
    <n v="0"/>
    <n v="0"/>
    <n v="0"/>
    <n v="0"/>
    <n v="0"/>
    <n v="0"/>
    <n v="0"/>
    <n v="0"/>
    <n v="0"/>
    <n v="536.82822069685881"/>
    <n v="0"/>
    <n v="0"/>
    <n v="0"/>
    <n v="35.84924215851899"/>
    <n v="0"/>
    <n v="-64.268609932370055"/>
    <m/>
    <n v="0"/>
    <n v="0"/>
    <n v="0"/>
    <n v="0"/>
    <n v="-9.4412482316101602"/>
    <n v="-2.1205854185817863"/>
    <n v="0"/>
    <n v="58.595010941457687"/>
    <m/>
    <m/>
    <m/>
    <n v="0"/>
    <n v="0"/>
    <n v="0"/>
    <n v="-11.783130000000028"/>
    <n v="567.29794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9"/>
    <s v="Regular"/>
    <s v="Verde"/>
    <s v="A4"/>
    <s v="Serviço público"/>
    <s v="Água, esgoto e saneamento"/>
    <s v="Não se aplica"/>
    <s v="Não se aplica"/>
    <s v="Não se aplica"/>
    <s v="CATIVO"/>
    <x v="2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79"/>
    <n v="575.98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000000000000003E-2"/>
    <n v="3.5000000000000003E-2"/>
    <n v="3.5000000000000003E-2"/>
    <n v="3.5000000000000003E-2"/>
    <m/>
    <n v="897.25"/>
    <n v="207.07"/>
    <m/>
    <n v="38.651200000000003"/>
    <n v="38.651200000000003"/>
    <n v="38.768450000000001"/>
    <n v="0"/>
    <n v="2.7566088254850745"/>
    <n v="0"/>
    <n v="0"/>
    <n v="0"/>
    <n v="6.9841507659456763"/>
    <n v="20.079335079756191"/>
    <n v="7.2476239580356161"/>
    <n v="0"/>
    <n v="0"/>
    <n v="0"/>
    <n v="0"/>
    <n v="0"/>
    <n v="0.35031253742976753"/>
    <m/>
    <n v="9.74732635875092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57614147834956"/>
    <n v="0"/>
    <n v="0.27"/>
    <n v="1.27"/>
    <n v="0"/>
    <n v="1"/>
    <m/>
    <m/>
    <m/>
    <m/>
    <m/>
    <m/>
    <m/>
    <m/>
    <m/>
    <n v="8.3833853728191112"/>
    <m/>
    <m/>
    <m/>
    <m/>
    <m/>
    <m/>
    <m/>
    <m/>
    <m/>
    <m/>
    <m/>
    <m/>
    <n v="44.306799999999996"/>
    <n v="5.6255999999999915"/>
    <m/>
    <m/>
    <m/>
    <m/>
    <n v="-1.0454500000000002"/>
    <n v="1.1627000000000001"/>
    <n v="30"/>
    <n v="2.5973191878014603"/>
    <n v="0"/>
    <n v="0"/>
    <n v="0"/>
    <n v="0"/>
    <n v="0"/>
    <n v="0"/>
    <n v="0"/>
    <n v="1.5020933819047801"/>
    <n v="0"/>
    <n v="0"/>
    <n v="1.1002510818287803"/>
    <n v="0"/>
    <n v="0"/>
    <n v="0"/>
    <n v="0.17241826184006204"/>
    <n v="0"/>
    <n v="-0.15140357149281014"/>
    <m/>
    <n v="0"/>
    <n v="0"/>
    <n v="0"/>
    <n v="0"/>
    <n v="-1.9350218897133953E-2"/>
    <n v="-6.6897473822161574E-3"/>
    <n v="0"/>
    <n v="0.61252801759043018"/>
    <m/>
    <m/>
    <m/>
    <n v="20.079335079756191"/>
    <n v="0"/>
    <n v="0"/>
    <n v="-1.0454499999999989"/>
    <n v="1.1626999999999992"/>
    <n v="0"/>
    <n v="0"/>
    <n v="-3.092567355097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256"/>
    <n v="1.256"/>
    <n v="1.256"/>
    <n v="1.256"/>
    <m/>
    <n v="897.25"/>
    <n v="207.07"/>
    <m/>
    <n v="1387.02592"/>
    <n v="1387.02592"/>
    <n v="1391.23352"/>
    <n v="0"/>
    <n v="98.922876708835801"/>
    <n v="0"/>
    <n v="0"/>
    <n v="0"/>
    <n v="250.63123891507908"/>
    <n v="720.5612817192507"/>
    <n v="260.08616260836379"/>
    <n v="0"/>
    <n v="0"/>
    <n v="0"/>
    <n v="0"/>
    <n v="0"/>
    <n v="12.571215628908227"/>
    <m/>
    <n v="3.497897687597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57609627659157"/>
    <n v="0"/>
    <n v="0"/>
    <n v="0"/>
    <n v="0"/>
    <n v="0"/>
    <m/>
    <m/>
    <m/>
    <m/>
    <m/>
    <n v="166.94752000000003"/>
    <m/>
    <m/>
    <m/>
    <n v="300.84377223602297"/>
    <m/>
    <m/>
    <m/>
    <m/>
    <m/>
    <m/>
    <m/>
    <m/>
    <m/>
    <m/>
    <m/>
    <m/>
    <n v="1228.1849999999999"/>
    <n v="7.5616399999998976"/>
    <m/>
    <m/>
    <m/>
    <m/>
    <n v="-37.516720000000007"/>
    <n v="41.724319999999999"/>
    <n v="30"/>
    <n v="93.206654282246518"/>
    <n v="0"/>
    <n v="0"/>
    <n v="0"/>
    <n v="0"/>
    <n v="0"/>
    <n v="0"/>
    <n v="0"/>
    <n v="53.903693933497237"/>
    <n v="0"/>
    <n v="0"/>
    <n v="39.483295965055618"/>
    <n v="0"/>
    <n v="0"/>
    <n v="0"/>
    <n v="6.1873524820319403"/>
    <n v="0"/>
    <n v="-5.4332253084276942"/>
    <m/>
    <n v="0"/>
    <n v="0"/>
    <n v="0"/>
    <n v="0"/>
    <n v="-0.69439642670857715"/>
    <n v="-0.24006636320181407"/>
    <n v="0"/>
    <n v="21.981005431245151"/>
    <m/>
    <m/>
    <m/>
    <n v="720.5612817192507"/>
    <n v="0"/>
    <n v="0"/>
    <n v="-37.51671999999985"/>
    <n v="41.724319999999977"/>
    <n v="0"/>
    <n v="0"/>
    <n v="-110.97898851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0000000000000001E-3"/>
    <n v="1.6000000000000001E-3"/>
    <n v="4.0000000000000001E-3"/>
    <n v="1.6000000000000001E-3"/>
    <m/>
    <n v="897.25"/>
    <n v="207.07"/>
    <m/>
    <n v="4.4172799999999999"/>
    <n v="4.4172799999999999"/>
    <n v="4.4306800000000006"/>
    <n v="0"/>
    <n v="0.31504100862686563"/>
    <n v="0"/>
    <n v="0"/>
    <n v="0"/>
    <n v="0.79818865896522007"/>
    <n v="2.2947811519721357"/>
    <n v="0.82829988091835605"/>
    <n v="0"/>
    <n v="0"/>
    <n v="0"/>
    <n v="0"/>
    <n v="0"/>
    <n v="4.0035718563402004E-2"/>
    <m/>
    <n v="1.11398015528582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98013045466852"/>
    <n v="0"/>
    <n v="0"/>
    <n v="0"/>
    <n v="0"/>
    <n v="0"/>
    <m/>
    <m/>
    <m/>
    <m/>
    <m/>
    <m/>
    <n v="2.8710800000000005"/>
    <m/>
    <m/>
    <n v="0.95810118546504119"/>
    <m/>
    <m/>
    <m/>
    <m/>
    <m/>
    <m/>
    <m/>
    <m/>
    <m/>
    <m/>
    <m/>
    <m/>
    <n v="0"/>
    <n v="-1.5848960000000003"/>
    <m/>
    <m/>
    <m/>
    <m/>
    <n v="-0.11948000000000002"/>
    <n v="0.13288"/>
    <n v="30"/>
    <n v="0.29683647860588147"/>
    <n v="0"/>
    <n v="0"/>
    <n v="0"/>
    <n v="0"/>
    <n v="0"/>
    <n v="0"/>
    <n v="0"/>
    <n v="0.17166781507483198"/>
    <n v="0"/>
    <n v="0"/>
    <n v="0.125742980780432"/>
    <n v="0"/>
    <n v="0"/>
    <n v="0"/>
    <n v="1.9704944210292813E-2"/>
    <n v="0"/>
    <n v="-1.7303265313463989E-2"/>
    <m/>
    <n v="0"/>
    <n v="0"/>
    <n v="0"/>
    <n v="0"/>
    <n v="-2.2114535882438793E-3"/>
    <n v="-7.6454255796756104E-4"/>
    <n v="0"/>
    <n v="7.0003202010334872E-2"/>
    <m/>
    <m/>
    <m/>
    <n v="2.2947811519721357"/>
    <n v="0"/>
    <n v="0"/>
    <n v="-0.11947999999999981"/>
    <n v="0.13288"/>
    <n v="0"/>
    <n v="0"/>
    <n v="-0.353436269153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2"/>
    <n v="0"/>
    <n v="0"/>
    <n v="0.375"/>
    <n v="0.36"/>
    <n v="0.375"/>
    <n v="0.36"/>
    <m/>
    <n v="4750.8599999999997"/>
    <n v="207.07"/>
    <m/>
    <n v="1859.2237499999997"/>
    <n v="1859.2237499999997"/>
    <n v="1811.2387500000002"/>
    <n v="0"/>
    <n v="25.695532266128701"/>
    <n v="0"/>
    <n v="0"/>
    <n v="0"/>
    <n v="482.75156622328126"/>
    <n v="1263.5076669929099"/>
    <n v="77.653113836095883"/>
    <n v="0"/>
    <n v="0"/>
    <n v="0"/>
    <n v="0"/>
    <n v="0"/>
    <n v="3.7533486153189375"/>
    <m/>
    <n v="0.67850218277668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85653762128025"/>
    <n v="0"/>
    <n v="0"/>
    <n v="0"/>
    <n v="0"/>
    <n v="0"/>
    <m/>
    <m/>
    <m/>
    <m/>
    <m/>
    <n v="72.449550000000059"/>
    <m/>
    <m/>
    <m/>
    <n v="82.83876759822391"/>
    <m/>
    <m/>
    <m/>
    <m/>
    <m/>
    <m/>
    <m/>
    <m/>
    <m/>
    <m/>
    <m/>
    <m/>
    <n v="1738.7892000000002"/>
    <n v="-46.095599999999649"/>
    <m/>
    <m/>
    <m/>
    <m/>
    <n v="-60.442499999999768"/>
    <n v="12.4575"/>
    <n v="30"/>
    <n v="114.73665693062333"/>
    <n v="0"/>
    <n v="0"/>
    <n v="0"/>
    <n v="0"/>
    <n v="0"/>
    <n v="0"/>
    <n v="0"/>
    <n v="103.82621409948746"/>
    <n v="0"/>
    <n v="0"/>
    <n v="11.788404448165494"/>
    <n v="0"/>
    <n v="0"/>
    <n v="0"/>
    <n v="0.78722643376732471"/>
    <n v="0"/>
    <n v="-1.4112975771293996"/>
    <m/>
    <n v="0"/>
    <n v="0"/>
    <n v="0"/>
    <n v="0"/>
    <n v="-0.20732377389786327"/>
    <n v="-4.6566699769758801E-2"/>
    <n v="0"/>
    <n v="31.880378752477206"/>
    <m/>
    <m/>
    <m/>
    <n v="1263.5076669929099"/>
    <n v="0"/>
    <n v="0"/>
    <n v="-60.442499999999654"/>
    <n v="12.457499999999996"/>
    <n v="0"/>
    <n v="0"/>
    <n v="-194.6021891829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2"/>
    <n v="0"/>
    <n v="0"/>
    <n v="11.494999999999999"/>
    <n v="11.0352"/>
    <n v="11.494999999999999"/>
    <n v="11.0352"/>
    <m/>
    <n v="94.17"/>
    <n v="207.07"/>
    <m/>
    <n v="3462.7537999999995"/>
    <n v="3462.7537999999995"/>
    <n v="3836.6861499999995"/>
    <n v="0"/>
    <n v="787.65371573106506"/>
    <n v="0"/>
    <n v="0"/>
    <n v="0"/>
    <n v="0"/>
    <n v="0"/>
    <n v="2380.3267827891254"/>
    <n v="0"/>
    <n v="0"/>
    <n v="0"/>
    <n v="0"/>
    <n v="0"/>
    <n v="115.0526462215765"/>
    <m/>
    <n v="20.79835357604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95757332176439"/>
    <n v="0"/>
    <n v="0"/>
    <n v="0"/>
    <n v="0"/>
    <n v="0"/>
    <m/>
    <m/>
    <m/>
    <m/>
    <m/>
    <n v="153.46744599999985"/>
    <m/>
    <m/>
    <m/>
    <n v="2539.2843561108898"/>
    <m/>
    <m/>
    <m/>
    <m/>
    <m/>
    <m/>
    <m/>
    <m/>
    <m/>
    <m/>
    <m/>
    <m/>
    <n v="3684.8207999999995"/>
    <n v="360.54715199999964"/>
    <m/>
    <m/>
    <m/>
    <m/>
    <n v="-7.931549999999973"/>
    <n v="381.86389999999994"/>
    <n v="30"/>
    <n v="334.44144091708222"/>
    <n v="0"/>
    <n v="0"/>
    <n v="0"/>
    <n v="0"/>
    <n v="0"/>
    <n v="0"/>
    <n v="0"/>
    <n v="0"/>
    <n v="0"/>
    <n v="0"/>
    <n v="361.35389101776627"/>
    <n v="0"/>
    <n v="0"/>
    <n v="0"/>
    <n v="24.131114283081075"/>
    <n v="0"/>
    <n v="-43.260975064273225"/>
    <m/>
    <n v="0"/>
    <n v="0"/>
    <n v="0"/>
    <n v="0"/>
    <n v="-6.3551647492158452"/>
    <n v="-1.4274245702756687"/>
    <n v="0"/>
    <n v="39.441919000530305"/>
    <m/>
    <m/>
    <m/>
    <n v="0"/>
    <n v="0"/>
    <n v="0"/>
    <n v="-7.9315500000000156"/>
    <n v="381.863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2"/>
    <n v="224"/>
    <n v="215.04"/>
    <n v="0"/>
    <n v="0"/>
    <n v="0"/>
    <n v="0"/>
    <n v="73.75"/>
    <m/>
    <m/>
    <n v="16520"/>
    <m/>
    <n v="16520"/>
    <n v="16667.84"/>
    <n v="0"/>
    <n v="0"/>
    <n v="0"/>
    <n v="0"/>
    <n v="0"/>
    <n v="6509.0492349998749"/>
    <n v="10010.923657910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66.71360000000061"/>
    <m/>
    <m/>
    <m/>
    <n v="0"/>
    <m/>
    <m/>
    <m/>
    <m/>
    <m/>
    <m/>
    <m/>
    <m/>
    <m/>
    <m/>
    <m/>
    <m/>
    <n v="16001.126399999999"/>
    <n v="141.89639999999963"/>
    <m/>
    <m/>
    <m/>
    <m/>
    <n v="147.83999999999924"/>
    <n v="0"/>
    <n v="30"/>
    <n v="1399.912474120496"/>
    <n v="0"/>
    <n v="0"/>
    <n v="0"/>
    <n v="0"/>
    <m/>
    <m/>
    <m/>
    <n v="1399.912474120496"/>
    <n v="0"/>
    <n v="0"/>
    <m/>
    <m/>
    <n v="0"/>
    <n v="0"/>
    <n v="0"/>
    <n v="0"/>
    <n v="0"/>
    <m/>
    <n v="0"/>
    <n v="0"/>
    <m/>
    <n v="0"/>
    <n v="0"/>
    <n v="0"/>
    <n v="0"/>
    <n v="289.42243274424931"/>
    <m/>
    <m/>
    <n v="10010.923657910156"/>
    <m/>
    <n v="0"/>
    <n v="0"/>
    <n v="147.84000000000015"/>
    <m/>
    <n v="0"/>
    <m/>
    <n v="-1541.8566190490401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2"/>
    <n v="0"/>
    <n v="0"/>
    <n v="5.0410000000000004"/>
    <n v="1.5123"/>
    <n v="5.0410000000000004"/>
    <n v="1.5123"/>
    <m/>
    <n v="94.17"/>
    <n v="207.07"/>
    <m/>
    <n v="1518.5508400000001"/>
    <n v="1518.5508400000001"/>
    <n v="1682.53457"/>
    <n v="0"/>
    <n v="345.41647507614613"/>
    <n v="0"/>
    <n v="0"/>
    <n v="0"/>
    <n v="0"/>
    <n v="0"/>
    <n v="1043.8649249273583"/>
    <n v="0"/>
    <n v="0"/>
    <n v="0"/>
    <n v="0"/>
    <n v="0"/>
    <n v="50.455014319527372"/>
    <m/>
    <n v="9.12087867567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709014973033007"/>
    <n v="0"/>
    <n v="0"/>
    <n v="0"/>
    <n v="0"/>
    <n v="0"/>
    <m/>
    <m/>
    <m/>
    <m/>
    <m/>
    <m/>
    <n v="1177.7741990000002"/>
    <m/>
    <m/>
    <n v="1113.5739399003912"/>
    <m/>
    <m/>
    <m/>
    <m/>
    <m/>
    <m/>
    <m/>
    <m/>
    <m/>
    <m/>
    <m/>
    <m/>
    <n v="503.99270000000001"/>
    <n v="48.397448000000054"/>
    <m/>
    <m/>
    <m/>
    <m/>
    <n v="-3.4782899999999888"/>
    <n v="167.46202"/>
    <n v="30"/>
    <n v="146.6654461646815"/>
    <n v="0"/>
    <n v="0"/>
    <n v="0"/>
    <n v="0"/>
    <n v="0"/>
    <n v="0"/>
    <n v="0"/>
    <n v="0"/>
    <n v="0"/>
    <n v="0"/>
    <n v="158.46759152853929"/>
    <n v="0"/>
    <n v="0"/>
    <n v="0"/>
    <n v="10.582422540322895"/>
    <n v="0"/>
    <n v="-18.971602896824834"/>
    <m/>
    <n v="0"/>
    <n v="0"/>
    <n v="0"/>
    <n v="0"/>
    <n v="-2.7869843845843434"/>
    <n v="-0.62598062277161048"/>
    <n v="0"/>
    <n v="17.296799798318688"/>
    <m/>
    <m/>
    <m/>
    <n v="0"/>
    <n v="0"/>
    <n v="0"/>
    <n v="-3.4782899999999586"/>
    <n v="167.4620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3"/>
    <n v="0"/>
    <n v="0"/>
    <n v="680.02599999999995"/>
    <n v="680.02599999999995"/>
    <n v="680.02599999999995"/>
    <n v="680.02599999999995"/>
    <m/>
    <n v="897.25"/>
    <n v="207.07"/>
    <m/>
    <n v="750966.31231999991"/>
    <n v="750966.31231999991"/>
    <n v="753244.39941999991"/>
    <n v="0"/>
    <n v="53559.019233123225"/>
    <n v="0"/>
    <n v="0"/>
    <n v="0"/>
    <n v="135697.26025037066"/>
    <n v="390127.71191275091"/>
    <n v="140816.36370534648"/>
    <n v="0"/>
    <n v="0"/>
    <n v="0"/>
    <n v="0"/>
    <n v="0"/>
    <n v="6806.3323879490017"/>
    <m/>
    <n v="1893.8386726959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7.065481416037"/>
    <n v="0"/>
    <n v="1343.22"/>
    <n v="6232"/>
    <n v="0"/>
    <n v="6215"/>
    <m/>
    <m/>
    <m/>
    <m/>
    <m/>
    <m/>
    <m/>
    <m/>
    <m/>
    <n v="162883.42918676251"/>
    <m/>
    <m/>
    <m/>
    <m/>
    <m/>
    <m/>
    <m/>
    <m/>
    <m/>
    <m/>
    <m/>
    <m/>
    <n v="753248.83010000002"/>
    <n v="2282.4877800000831"/>
    <m/>
    <m/>
    <m/>
    <m/>
    <n v="-20312.376620000003"/>
    <n v="22590.463719999996"/>
    <n v="31"/>
    <n v="50464.130800110754"/>
    <n v="0"/>
    <n v="0"/>
    <n v="0"/>
    <n v="0"/>
    <n v="0"/>
    <n v="0"/>
    <n v="0"/>
    <n v="29184.644403519429"/>
    <n v="0"/>
    <n v="0"/>
    <n v="21377.124062048504"/>
    <n v="0"/>
    <n v="0"/>
    <n v="0"/>
    <n v="3349.9685978871421"/>
    <n v="0"/>
    <n v="-2941.6675745134198"/>
    <m/>
    <n v="0"/>
    <n v="0"/>
    <n v="0"/>
    <n v="0"/>
    <n v="-375.9614844497828"/>
    <n v="-129.97720438111196"/>
    <n v="0"/>
    <n v="11900.999362569995"/>
    <m/>
    <m/>
    <m/>
    <n v="390127.71191275091"/>
    <n v="0"/>
    <n v="0"/>
    <n v="-20312.376619999995"/>
    <n v="22590.46372"/>
    <n v="0"/>
    <n v="0"/>
    <n v="-60086.4630919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109"/>
    <n v="-2.109"/>
    <n v="-2.109"/>
    <n v="-2.109"/>
    <m/>
    <n v="897.25"/>
    <n v="207.07"/>
    <m/>
    <n v="-2329.0108799999998"/>
    <n v="-2329.0108799999998"/>
    <n v="-2336.0760299999997"/>
    <n v="0"/>
    <n v="-166.10537179851491"/>
    <n v="0"/>
    <n v="0"/>
    <n v="0"/>
    <n v="-420.84497043941224"/>
    <n v="-1209.9233623773086"/>
    <n v="-436.72111221420323"/>
    <n v="0"/>
    <n v="0"/>
    <n v="0"/>
    <n v="0"/>
    <n v="0"/>
    <n v="-21.108832612553705"/>
    <m/>
    <n v="-5.873460368744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437737822239768"/>
    <n v="0"/>
    <n v="-150.59"/>
    <n v="-689.05"/>
    <n v="0"/>
    <n v="0"/>
    <m/>
    <m/>
    <m/>
    <m/>
    <m/>
    <m/>
    <m/>
    <m/>
    <m/>
    <n v="-505.15885003644303"/>
    <m/>
    <m/>
    <m/>
    <m/>
    <m/>
    <m/>
    <m/>
    <m/>
    <m/>
    <m/>
    <m/>
    <m/>
    <n v="-2337.1836999999996"/>
    <n v="-8.2028199999999742"/>
    <m/>
    <m/>
    <m/>
    <m/>
    <n v="62.995830000000012"/>
    <n v="-70.060980000000001"/>
    <n v="31"/>
    <n v="-156.50703334495097"/>
    <n v="0"/>
    <n v="0"/>
    <n v="0"/>
    <n v="0"/>
    <n v="0"/>
    <n v="0"/>
    <n v="0"/>
    <n v="-90.511855498205193"/>
    <n v="0"/>
    <n v="0"/>
    <n v="-66.297986616482717"/>
    <n v="0"/>
    <n v="0"/>
    <n v="0"/>
    <n v="-10.389431834876888"/>
    <n v="0"/>
    <n v="9.1231466365238987"/>
    <m/>
    <n v="0"/>
    <n v="0"/>
    <n v="0"/>
    <n v="0"/>
    <n v="1.1659889044015834"/>
    <n v="0.40310506368839683"/>
    <n v="0"/>
    <n v="-36.909188259949069"/>
    <m/>
    <m/>
    <m/>
    <n v="-1209.9233623773086"/>
    <n v="0"/>
    <n v="0"/>
    <n v="62.995830000000069"/>
    <n v="-70.060979999999972"/>
    <n v="0"/>
    <n v="0"/>
    <n v="186.3492729114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1900000000000004"/>
    <n v="4.1900000000000004"/>
    <n v="4.1900000000000004"/>
    <n v="4.1900000000000004"/>
    <m/>
    <n v="897.25"/>
    <n v="207.07"/>
    <m/>
    <n v="4627.1008000000002"/>
    <n v="4627.1008000000002"/>
    <n v="4641.1373000000003"/>
    <n v="0"/>
    <n v="330.00545653664176"/>
    <n v="0"/>
    <n v="0"/>
    <n v="0"/>
    <n v="836.10262026606813"/>
    <n v="2403.7832566908123"/>
    <n v="867.64412526197805"/>
    <n v="0"/>
    <n v="0"/>
    <n v="0"/>
    <n v="0"/>
    <n v="0"/>
    <n v="41.937415195163602"/>
    <m/>
    <n v="11.66894212661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96686651265276"/>
    <n v="0"/>
    <n v="6.84"/>
    <n v="31.67"/>
    <n v="0"/>
    <n v="40"/>
    <m/>
    <m/>
    <m/>
    <m/>
    <m/>
    <m/>
    <m/>
    <m/>
    <m/>
    <n v="1003.6109917746307"/>
    <m/>
    <m/>
    <m/>
    <m/>
    <m/>
    <m/>
    <m/>
    <m/>
    <m/>
    <m/>
    <m/>
    <m/>
    <n v="4641.1373000000003"/>
    <n v="14.006499999999505"/>
    <m/>
    <m/>
    <m/>
    <m/>
    <n v="-125.15530000000003"/>
    <n v="139.1918"/>
    <n v="31"/>
    <n v="310.93621133966008"/>
    <n v="0"/>
    <n v="0"/>
    <n v="0"/>
    <n v="0"/>
    <n v="0"/>
    <n v="0"/>
    <n v="0"/>
    <n v="179.82203629088644"/>
    <n v="0"/>
    <n v="0"/>
    <n v="131.7157723675025"/>
    <n v="0"/>
    <n v="0"/>
    <n v="0"/>
    <n v="20.640929060281735"/>
    <n v="0"/>
    <n v="-18.125170415853518"/>
    <m/>
    <n v="0"/>
    <n v="0"/>
    <n v="0"/>
    <n v="0"/>
    <n v="-2.316497633685465"/>
    <n v="-0.8008583294710192"/>
    <n v="0"/>
    <n v="73.328354105825795"/>
    <m/>
    <m/>
    <m/>
    <n v="2403.7832566908123"/>
    <n v="0"/>
    <n v="0"/>
    <n v="-125.1552999999999"/>
    <n v="139.19179999999994"/>
    <n v="0"/>
    <n v="0"/>
    <n v="-370.2244919388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2799999999999998"/>
    <n v="2.2799999999999998"/>
    <n v="2.2799999999999998"/>
    <n v="2.2799999999999998"/>
    <m/>
    <n v="808.48"/>
    <n v="207.07"/>
    <m/>
    <n v="2315.4539999999997"/>
    <n v="2315.4539999999997"/>
    <n v="2330.6615999999995"/>
    <n v="0"/>
    <n v="0"/>
    <n v="0"/>
    <n v="0"/>
    <n v="0"/>
    <n v="454.96753561017539"/>
    <n v="1308.0252566241172"/>
    <n v="472.13093212346291"/>
    <n v="0"/>
    <n v="0"/>
    <n v="0"/>
    <n v="0"/>
    <n v="0"/>
    <n v="0"/>
    <m/>
    <n v="6.3496868851291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86743591610562"/>
    <n v="0"/>
    <n v="2.31"/>
    <n v="10.95"/>
    <n v="0"/>
    <n v="3"/>
    <m/>
    <m/>
    <m/>
    <m/>
    <m/>
    <m/>
    <m/>
    <n v="1514.9231999999997"/>
    <m/>
    <n v="546.11767571507346"/>
    <m/>
    <m/>
    <m/>
    <m/>
    <m/>
    <m/>
    <m/>
    <m/>
    <m/>
    <m/>
    <m/>
    <m/>
    <n v="815.73839999999984"/>
    <n v="5.282399999999825"/>
    <m/>
    <m/>
    <m/>
    <m/>
    <n v="-60.534000000000148"/>
    <n v="75.741599999999991"/>
    <n v="31"/>
    <n v="180.320182579326"/>
    <n v="0"/>
    <n v="0"/>
    <n v="0"/>
    <n v="0"/>
    <n v="0"/>
    <n v="0"/>
    <n v="0"/>
    <n v="97.85065459265428"/>
    <n v="0"/>
    <n v="0"/>
    <n v="71.673499044846153"/>
    <n v="0"/>
    <n v="0"/>
    <n v="0"/>
    <n v="11.231818199866893"/>
    <n v="0"/>
    <n v="0"/>
    <m/>
    <n v="0"/>
    <n v="0"/>
    <n v="0"/>
    <n v="0"/>
    <n v="0"/>
    <n v="-0.4357892580415097"/>
    <n v="0"/>
    <n v="36.355978709552431"/>
    <m/>
    <m/>
    <m/>
    <n v="1308.0252566241172"/>
    <n v="0"/>
    <n v="0"/>
    <n v="-60.534000000000333"/>
    <n v="75.741600000000005"/>
    <n v="0"/>
    <n v="0"/>
    <n v="-201.4586734177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46"/>
    <n v="4.46"/>
    <n v="4.46"/>
    <n v="4.46"/>
    <m/>
    <n v="808.48"/>
    <n v="207.07"/>
    <m/>
    <n v="4529.3530000000001"/>
    <n v="4529.3530000000001"/>
    <n v="4559.1012000000001"/>
    <n v="0"/>
    <n v="0"/>
    <n v="0"/>
    <n v="0"/>
    <n v="0"/>
    <n v="889.98035474622031"/>
    <n v="2558.6809844489312"/>
    <n v="923.55436722396701"/>
    <n v="0"/>
    <n v="0"/>
    <n v="0"/>
    <n v="0"/>
    <n v="0"/>
    <n v="0"/>
    <m/>
    <n v="12.420878731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728454569554"/>
    <n v="0"/>
    <n v="7.18"/>
    <n v="33.369999999999997"/>
    <n v="0"/>
    <n v="28"/>
    <m/>
    <m/>
    <m/>
    <m/>
    <m/>
    <m/>
    <m/>
    <n v="1823.6047999999996"/>
    <m/>
    <n v="1068.282821793521"/>
    <m/>
    <m/>
    <m/>
    <m/>
    <m/>
    <m/>
    <m/>
    <m/>
    <m/>
    <m/>
    <m/>
    <m/>
    <n v="2735.4964000000004"/>
    <n v="17.854600000000119"/>
    <m/>
    <m/>
    <m/>
    <m/>
    <n v="-118.41300000000031"/>
    <n v="148.16119999999998"/>
    <n v="31"/>
    <n v="352.73158522096219"/>
    <n v="0"/>
    <n v="0"/>
    <n v="0"/>
    <n v="0"/>
    <n v="0"/>
    <n v="0"/>
    <n v="0"/>
    <n v="191.40961380843771"/>
    <n v="0"/>
    <n v="0"/>
    <n v="140.2034235701816"/>
    <n v="0"/>
    <n v="0"/>
    <n v="0"/>
    <n v="21.971012794476479"/>
    <n v="0"/>
    <n v="0"/>
    <m/>
    <n v="0"/>
    <n v="0"/>
    <n v="0"/>
    <n v="0"/>
    <n v="0"/>
    <n v="-0.85246495213383078"/>
    <n v="0"/>
    <n v="71.117396949387654"/>
    <m/>
    <m/>
    <m/>
    <n v="2558.6809844489312"/>
    <n v="0"/>
    <n v="0"/>
    <n v="-118.41300000000001"/>
    <n v="148.16119999999989"/>
    <n v="0"/>
    <n v="0"/>
    <n v="-394.0814401067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3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5980000000000001"/>
    <n v="1.5980000000000001"/>
    <n v="1.5980000000000001"/>
    <n v="1.5980000000000001"/>
    <m/>
    <n v="808.48"/>
    <n v="207.07"/>
    <m/>
    <n v="1622.8489000000002"/>
    <n v="1622.8489000000002"/>
    <n v="1633.50756"/>
    <n v="0"/>
    <n v="0"/>
    <n v="0"/>
    <n v="0"/>
    <n v="0"/>
    <n v="318.87636925660541"/>
    <n v="916.7650702128683"/>
    <n v="330.90580242688327"/>
    <n v="0"/>
    <n v="0"/>
    <n v="0"/>
    <n v="0"/>
    <n v="0"/>
    <n v="0"/>
    <m/>
    <n v="4.4503507203668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55621166400738"/>
    <n v="0"/>
    <n v="3.51"/>
    <n v="16.45"/>
    <n v="0"/>
    <n v="42"/>
    <m/>
    <m/>
    <m/>
    <m/>
    <m/>
    <m/>
    <m/>
    <n v="163.34755999999993"/>
    <m/>
    <n v="382.76142359328401"/>
    <m/>
    <m/>
    <m/>
    <m/>
    <m/>
    <m/>
    <m/>
    <m/>
    <m/>
    <m/>
    <m/>
    <m/>
    <n v="1472.0000000000002"/>
    <n v="11.398000000000138"/>
    <m/>
    <m/>
    <m/>
    <m/>
    <n v="-42.42690000000011"/>
    <n v="53.085560000000001"/>
    <n v="31"/>
    <n v="126.38230340428197"/>
    <n v="0"/>
    <n v="0"/>
    <n v="0"/>
    <n v="0"/>
    <n v="0"/>
    <n v="0"/>
    <n v="0"/>
    <n v="68.581292122395382"/>
    <n v="0"/>
    <n v="0"/>
    <n v="50.234320821782546"/>
    <n v="0"/>
    <n v="0"/>
    <n v="0"/>
    <n v="7.87212521201198"/>
    <n v="0"/>
    <n v="0"/>
    <m/>
    <n v="0"/>
    <n v="0"/>
    <n v="0"/>
    <n v="0"/>
    <n v="0"/>
    <n v="-0.30543475190803981"/>
    <n v="0"/>
    <n v="25.481076306081047"/>
    <m/>
    <m/>
    <m/>
    <n v="916.7650702128683"/>
    <n v="0"/>
    <n v="0"/>
    <n v="-42.42690000000016"/>
    <n v="53.085560000000044"/>
    <n v="0"/>
    <n v="0"/>
    <n v="-141.1977895270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18"/>
    <n v="0.18"/>
    <n v="0.18"/>
    <n v="0.18"/>
    <m/>
    <n v="808.48"/>
    <n v="207.07"/>
    <m/>
    <n v="182.79899999999998"/>
    <n v="182.79899999999998"/>
    <n v="183.99959999999999"/>
    <n v="0"/>
    <n v="0"/>
    <n v="0"/>
    <n v="0"/>
    <n v="0"/>
    <n v="35.918489653434904"/>
    <n v="103.26515183874611"/>
    <n v="37.273494641326018"/>
    <n v="0"/>
    <n v="0"/>
    <n v="0"/>
    <n v="0"/>
    <n v="0"/>
    <n v="0"/>
    <m/>
    <n v="0.5012910698786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1058704600834"/>
    <n v="0"/>
    <n v="1.34"/>
    <n v="6.18"/>
    <n v="0"/>
    <n v="3"/>
    <m/>
    <m/>
    <m/>
    <m/>
    <m/>
    <m/>
    <m/>
    <m/>
    <m/>
    <n v="43.114553345926851"/>
    <m/>
    <m/>
    <m/>
    <m/>
    <m/>
    <m/>
    <m/>
    <m/>
    <m/>
    <m/>
    <m/>
    <m/>
    <n v="183.99959999999999"/>
    <n v="1.1706000000000358"/>
    <m/>
    <m/>
    <m/>
    <m/>
    <n v="-4.7790000000000123"/>
    <n v="5.9795999999999996"/>
    <n v="31"/>
    <n v="14.235803887841513"/>
    <n v="0"/>
    <n v="0"/>
    <n v="0"/>
    <n v="0"/>
    <n v="0"/>
    <n v="0"/>
    <n v="0"/>
    <n v="7.7250516783674357"/>
    <n v="0"/>
    <n v="0"/>
    <n v="5.6584341351194425"/>
    <n v="0"/>
    <n v="0"/>
    <n v="0"/>
    <n v="0.88672248946317644"/>
    <n v="0"/>
    <n v="0"/>
    <m/>
    <n v="0"/>
    <n v="0"/>
    <n v="0"/>
    <n v="0"/>
    <n v="0"/>
    <n v="-3.4404415108540254E-2"/>
    <n v="0"/>
    <n v="2.8702088454909815"/>
    <m/>
    <m/>
    <m/>
    <n v="103.26515183874611"/>
    <n v="0"/>
    <n v="0"/>
    <n v="-4.7789999999999964"/>
    <n v="5.9795999999999978"/>
    <n v="0"/>
    <n v="0"/>
    <n v="-15.90463211192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3"/>
    <n v="0"/>
    <n v="0"/>
    <n v="3.0000000000000001E-3"/>
    <n v="3.0000000000000001E-3"/>
    <n v="3.0000000000000001E-3"/>
    <n v="3.0000000000000001E-3"/>
    <m/>
    <n v="2211.7600000000002"/>
    <n v="207.07"/>
    <m/>
    <n v="7.2564900000000012"/>
    <n v="7.2564900000000012"/>
    <n v="7.1038800000000002"/>
    <n v="0"/>
    <n v="0.23628075647014921"/>
    <n v="0"/>
    <n v="0"/>
    <n v="0"/>
    <n v="1.616335395463095"/>
    <n v="4.64693034123366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m/>
    <m/>
    <m/>
    <n v="0.71857588909878101"/>
    <m/>
    <m/>
    <m/>
    <m/>
    <m/>
    <m/>
    <m/>
    <m/>
    <m/>
    <m/>
    <m/>
    <m/>
    <n v="0"/>
    <n v="-7.2864900000000006"/>
    <m/>
    <m/>
    <m/>
    <m/>
    <n v="-0.25227000000000044"/>
    <n v="9.9659999999999999E-2"/>
    <n v="31"/>
    <n v="0.44150454604348832"/>
    <n v="0"/>
    <n v="0"/>
    <n v="0"/>
    <n v="0"/>
    <n v="0"/>
    <n v="0"/>
    <n v="0"/>
    <n v="0.34762804839520189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0.12159140537735227"/>
    <m/>
    <m/>
    <m/>
    <n v="4.6469303412336602"/>
    <n v="0"/>
    <n v="0"/>
    <n v="-0.25227000000000022"/>
    <n v="9.9659999999999971E-2"/>
    <n v="0"/>
    <n v="0"/>
    <n v="-0.7157082153183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3"/>
    <n v="0"/>
    <n v="0"/>
    <n v="6.3E-2"/>
    <n v="6.3E-2"/>
    <n v="6.3E-2"/>
    <n v="6.3E-2"/>
    <m/>
    <n v="541.55999999999995"/>
    <n v="207.07"/>
    <m/>
    <n v="47.163690000000003"/>
    <n v="47.163690000000003"/>
    <n v="48.298949999999998"/>
    <n v="0"/>
    <n v="4.9618958858731332"/>
    <n v="0"/>
    <n v="0"/>
    <n v="0"/>
    <n v="6.7885846629871409"/>
    <n v="19.517099762558914"/>
    <n v="13.045723124464107"/>
    <n v="0"/>
    <n v="0"/>
    <n v="0"/>
    <n v="0"/>
    <n v="0"/>
    <n v="0.63056256737358152"/>
    <m/>
    <n v="0.17545187445751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43705466102919"/>
    <n v="0"/>
    <n v="0"/>
    <n v="0"/>
    <n v="0"/>
    <n v="0"/>
    <m/>
    <m/>
    <m/>
    <m/>
    <m/>
    <m/>
    <m/>
    <m/>
    <m/>
    <n v="15.090093671074399"/>
    <m/>
    <m/>
    <m/>
    <m/>
    <m/>
    <m/>
    <m/>
    <m/>
    <m/>
    <m/>
    <m/>
    <m/>
    <n v="45.998999999999995"/>
    <n v="-1.1946900000000014"/>
    <m/>
    <m/>
    <m/>
    <m/>
    <n v="-0.95759999999999568"/>
    <n v="2.0928599999999999"/>
    <n v="31"/>
    <n v="3.4314390925915852"/>
    <n v="0"/>
    <n v="0"/>
    <n v="0"/>
    <n v="0"/>
    <n v="0"/>
    <n v="0"/>
    <n v="0"/>
    <n v="1.4600326419775538"/>
    <n v="0"/>
    <n v="0"/>
    <n v="1.9804519472918045"/>
    <n v="0"/>
    <n v="0"/>
    <n v="0"/>
    <n v="0.31035287131211176"/>
    <n v="0"/>
    <n v="-0.27252642868705745"/>
    <m/>
    <n v="0"/>
    <n v="0"/>
    <n v="0"/>
    <n v="0"/>
    <n v="-3.4830394014841115E-2"/>
    <n v="-1.2041545287989092E-2"/>
    <n v="0"/>
    <n v="0.70996209618529882"/>
    <m/>
    <m/>
    <m/>
    <n v="19.517099762558914"/>
    <n v="0"/>
    <n v="0"/>
    <n v="-0.95759999999999934"/>
    <n v="2.0928599999999999"/>
    <n v="0"/>
    <n v="0"/>
    <n v="-3.00597332292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897.25"/>
    <n v="207.07"/>
    <m/>
    <n v="3861.8070400000001"/>
    <n v="3861.8070400000001"/>
    <n v="3873.5219900000002"/>
    <n v="0"/>
    <n v="275.42460179203727"/>
    <n v="0"/>
    <n v="0"/>
    <n v="0"/>
    <n v="697.8164351003436"/>
    <n v="2006.2124221116396"/>
    <n v="724.14117089287276"/>
    <n v="0"/>
    <n v="0"/>
    <n v="0"/>
    <n v="0"/>
    <n v="0"/>
    <n v="35.001226954054196"/>
    <m/>
    <n v="9.7389715075862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7879049993954"/>
    <n v="0"/>
    <n v="0"/>
    <n v="0"/>
    <n v="0"/>
    <n v="9"/>
    <m/>
    <m/>
    <m/>
    <m/>
    <m/>
    <m/>
    <m/>
    <m/>
    <m/>
    <n v="837.61996139281234"/>
    <m/>
    <m/>
    <m/>
    <m/>
    <m/>
    <m/>
    <m/>
    <m/>
    <m/>
    <m/>
    <m/>
    <m/>
    <n v="3876.8449999999998"/>
    <n v="15.007959999999002"/>
    <m/>
    <m/>
    <m/>
    <m/>
    <n v="-104.45539000000001"/>
    <n v="116.17034"/>
    <n v="31"/>
    <n v="259.50929142119185"/>
    <n v="0"/>
    <n v="0"/>
    <n v="0"/>
    <n v="0"/>
    <n v="0"/>
    <n v="0"/>
    <n v="0"/>
    <n v="150.08058732917186"/>
    <n v="0"/>
    <n v="0"/>
    <n v="109.9308009472926"/>
    <n v="0"/>
    <n v="0"/>
    <n v="0"/>
    <n v="17.227047475848494"/>
    <n v="0"/>
    <n v="-15.127379700295933"/>
    <m/>
    <n v="0"/>
    <n v="0"/>
    <n v="0"/>
    <n v="0"/>
    <n v="-1.9333632995222061"/>
    <n v="-0.66840133130314072"/>
    <n v="0"/>
    <n v="61.200299357535265"/>
    <m/>
    <m/>
    <m/>
    <n v="2006.2124221116396"/>
    <n v="0"/>
    <n v="0"/>
    <n v="-104.45539000000008"/>
    <n v="116.17034000000001"/>
    <n v="0"/>
    <n v="0"/>
    <n v="-308.991658307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55800000000000005"/>
    <n v="0.55800000000000005"/>
    <n v="0.55800000000000005"/>
    <n v="0.55800000000000005"/>
    <m/>
    <n v="897.25"/>
    <n v="207.07"/>
    <m/>
    <n v="616.2105600000001"/>
    <n v="616.2105600000001"/>
    <n v="618.07986000000005"/>
    <n v="0"/>
    <n v="43.94822070344776"/>
    <n v="0"/>
    <n v="0"/>
    <n v="0"/>
    <n v="111.34731792564821"/>
    <n v="320.12197070011297"/>
    <n v="115.54783338811067"/>
    <n v="0"/>
    <n v="0"/>
    <n v="0"/>
    <n v="0"/>
    <n v="0"/>
    <n v="5.5849827395945795"/>
    <m/>
    <n v="1.554002316623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7281984262588"/>
    <n v="0"/>
    <n v="0"/>
    <n v="0"/>
    <n v="0"/>
    <n v="1"/>
    <m/>
    <m/>
    <m/>
    <m/>
    <m/>
    <m/>
    <m/>
    <m/>
    <m/>
    <n v="133.65511537237327"/>
    <m/>
    <m/>
    <m/>
    <m/>
    <m/>
    <m/>
    <m/>
    <m/>
    <m/>
    <m/>
    <m/>
    <m/>
    <n v="620.29520000000002"/>
    <n v="4.0546399999999494"/>
    <m/>
    <m/>
    <m/>
    <m/>
    <n v="-16.667460000000005"/>
    <n v="18.536760000000001"/>
    <n v="31"/>
    <n v="41.408688765520424"/>
    <n v="0"/>
    <n v="0"/>
    <n v="0"/>
    <n v="0"/>
    <n v="0"/>
    <n v="0"/>
    <n v="0"/>
    <n v="23.947660202939062"/>
    <n v="0"/>
    <n v="0"/>
    <n v="17.541145818870248"/>
    <n v="0"/>
    <n v="0"/>
    <n v="0"/>
    <n v="2.7488397173358443"/>
    <n v="0"/>
    <n v="-2.4138055112282331"/>
    <m/>
    <n v="0"/>
    <n v="0"/>
    <n v="0"/>
    <n v="0"/>
    <n v="-0.30849777556002067"/>
    <n v="-0.10665368683647469"/>
    <n v="0"/>
    <n v="9.7654466804417162"/>
    <m/>
    <m/>
    <m/>
    <n v="320.12197070011297"/>
    <n v="0"/>
    <n v="0"/>
    <n v="-16.667460000000005"/>
    <n v="18.536760000000015"/>
    <n v="0"/>
    <n v="0"/>
    <n v="-49.30435954698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3"/>
    <n v="0"/>
    <n v="0"/>
    <n v="1.1910000000000001"/>
    <n v="1.1910000000000001"/>
    <n v="1.1910000000000001"/>
    <n v="1.1910000000000001"/>
    <m/>
    <n v="4750.8599999999997"/>
    <n v="207.07"/>
    <m/>
    <n v="5904.8946299999998"/>
    <n v="5904.8946299999998"/>
    <n v="5752.4942700000001"/>
    <n v="0"/>
    <n v="81.609010477224757"/>
    <n v="0"/>
    <n v="0"/>
    <n v="0"/>
    <n v="1533.2189743251413"/>
    <n v="4012.9003503694826"/>
    <n v="246.62628954344052"/>
    <n v="0"/>
    <n v="0"/>
    <n v="0"/>
    <n v="0"/>
    <n v="0"/>
    <n v="11.920635202252946"/>
    <m/>
    <n v="2.1549229324987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9636348518609"/>
    <n v="0"/>
    <n v="0"/>
    <n v="0"/>
    <n v="0"/>
    <n v="0"/>
    <m/>
    <m/>
    <m/>
    <m/>
    <m/>
    <m/>
    <m/>
    <m/>
    <m/>
    <n v="263.09592589195915"/>
    <m/>
    <m/>
    <m/>
    <m/>
    <m/>
    <m/>
    <m/>
    <m/>
    <m/>
    <m/>
    <m/>
    <m/>
    <n v="5747.6643000000004"/>
    <n v="-157.26033000000007"/>
    <m/>
    <m/>
    <m/>
    <m/>
    <n v="-191.96537999999927"/>
    <n v="39.565020000000004"/>
    <n v="31"/>
    <n v="364.40362241165985"/>
    <n v="0"/>
    <n v="0"/>
    <n v="0"/>
    <n v="0"/>
    <n v="0"/>
    <n v="0"/>
    <n v="0"/>
    <n v="329.75205597997228"/>
    <n v="0"/>
    <n v="0"/>
    <n v="37.439972527373641"/>
    <n v="0"/>
    <n v="0"/>
    <n v="0"/>
    <n v="2.500231153645025"/>
    <n v="0"/>
    <n v="-4.4822811049629649"/>
    <m/>
    <n v="0"/>
    <n v="0"/>
    <n v="0"/>
    <n v="0"/>
    <n v="-0.6584603058996148"/>
    <n v="-0.14789583846875365"/>
    <n v="0"/>
    <n v="101.25208291786761"/>
    <m/>
    <m/>
    <m/>
    <n v="4012.9003503694826"/>
    <n v="0"/>
    <n v="0"/>
    <n v="-191.96537999999964"/>
    <n v="39.565019999999976"/>
    <n v="0"/>
    <n v="0"/>
    <n v="-618.056552844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3"/>
    <n v="0"/>
    <n v="0"/>
    <n v="103.90900000000001"/>
    <n v="103.90900000000001"/>
    <n v="103.90900000000001"/>
    <n v="103.90900000000001"/>
    <m/>
    <n v="94.17"/>
    <n v="207.07"/>
    <m/>
    <n v="31301.547160000002"/>
    <n v="31301.547160000002"/>
    <n v="34681.70693"/>
    <n v="0"/>
    <n v="7119.9921659764459"/>
    <n v="0"/>
    <n v="0"/>
    <n v="0"/>
    <n v="0"/>
    <n v="0"/>
    <n v="21516.953081586365"/>
    <n v="0"/>
    <n v="0"/>
    <n v="0"/>
    <n v="0"/>
    <n v="0"/>
    <n v="1040.0178700511347"/>
    <m/>
    <n v="188.00662216038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8962580505627"/>
    <n v="0"/>
    <n v="0"/>
    <n v="0"/>
    <n v="0"/>
    <n v="0"/>
    <m/>
    <m/>
    <m/>
    <m/>
    <m/>
    <m/>
    <m/>
    <m/>
    <m/>
    <n v="22953.849339636927"/>
    <m/>
    <m/>
    <m/>
    <m/>
    <m/>
    <m/>
    <m/>
    <m/>
    <m/>
    <m/>
    <m/>
    <m/>
    <n v="34682.040699999998"/>
    <n v="3380.4635400000006"/>
    <m/>
    <m/>
    <m/>
    <m/>
    <n v="-71.697209999999771"/>
    <n v="3451.85698"/>
    <n v="31"/>
    <n v="3023.1818777079752"/>
    <n v="0"/>
    <n v="0"/>
    <n v="0"/>
    <n v="0"/>
    <n v="0"/>
    <n v="0"/>
    <n v="0"/>
    <n v="0"/>
    <n v="0"/>
    <n v="0"/>
    <n v="3266.4568474784755"/>
    <n v="0"/>
    <n v="0"/>
    <n v="0"/>
    <n v="218.13309735021062"/>
    <n v="0"/>
    <n v="-391.05738651183674"/>
    <m/>
    <n v="0"/>
    <n v="0"/>
    <n v="0"/>
    <n v="0"/>
    <n v="-57.44748272520826"/>
    <n v="-12.90319788366898"/>
    <n v="0"/>
    <n v="356.53504666603777"/>
    <m/>
    <m/>
    <m/>
    <n v="0"/>
    <n v="0"/>
    <n v="0"/>
    <n v="-71.697209999998449"/>
    <n v="3451.85698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3"/>
    <n v="954"/>
    <n v="954"/>
    <n v="0"/>
    <n v="0"/>
    <n v="0"/>
    <n v="0"/>
    <n v="73.75"/>
    <m/>
    <m/>
    <n v="70357.5"/>
    <m/>
    <n v="70357.5"/>
    <n v="70987.14"/>
    <n v="0"/>
    <n v="0"/>
    <n v="0"/>
    <n v="0"/>
    <n v="0"/>
    <n v="27721.575759776253"/>
    <n v="42635.808793063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987.14"/>
    <n v="629.61000000001513"/>
    <m/>
    <m/>
    <m/>
    <m/>
    <n v="629.63999999999669"/>
    <n v="0"/>
    <n v="31"/>
    <n v="5962.1272335310387"/>
    <n v="0"/>
    <n v="0"/>
    <n v="0"/>
    <n v="0"/>
    <m/>
    <m/>
    <m/>
    <n v="5962.1272335310387"/>
    <n v="0"/>
    <n v="0"/>
    <m/>
    <m/>
    <n v="0"/>
    <n v="0"/>
    <n v="0"/>
    <n v="0"/>
    <n v="0"/>
    <m/>
    <n v="0"/>
    <n v="0"/>
    <m/>
    <n v="0"/>
    <n v="0"/>
    <n v="0"/>
    <n v="0"/>
    <n v="1232.6294680268475"/>
    <m/>
    <m/>
    <n v="42635.808793063792"/>
    <m/>
    <n v="0"/>
    <n v="0"/>
    <n v="629.63999999999942"/>
    <m/>
    <n v="0"/>
    <m/>
    <n v="-6566.6572079142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3"/>
    <n v="0"/>
    <n v="0"/>
    <n v="94.671000000000006"/>
    <n v="94.671000000000006"/>
    <n v="94.671000000000006"/>
    <n v="94.671000000000006"/>
    <m/>
    <n v="897.25"/>
    <n v="207.07"/>
    <m/>
    <n v="104547.07872000002"/>
    <n v="104547.07872000002"/>
    <n v="104864.22657000001"/>
    <n v="0"/>
    <n v="7456.3118319284995"/>
    <n v="0"/>
    <n v="0"/>
    <n v="0"/>
    <n v="18891.32963322409"/>
    <n v="54312.306609588522"/>
    <n v="19603.994506605424"/>
    <n v="0"/>
    <n v="0"/>
    <n v="0"/>
    <n v="0"/>
    <n v="0"/>
    <n v="947.55537802895776"/>
    <m/>
    <n v="263.6540382026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2.1048256848089"/>
    <n v="0"/>
    <n v="159.41"/>
    <n v="736.93"/>
    <n v="0"/>
    <n v="233"/>
    <m/>
    <m/>
    <m/>
    <m/>
    <m/>
    <m/>
    <m/>
    <m/>
    <m/>
    <n v="22676.099332290232"/>
    <m/>
    <m/>
    <m/>
    <m/>
    <m/>
    <m/>
    <m/>
    <m/>
    <m/>
    <m/>
    <m/>
    <m/>
    <n v="104863.1189"/>
    <n v="316.01017999999749"/>
    <m/>
    <m/>
    <m/>
    <m/>
    <n v="-2827.8227700000007"/>
    <n v="3144.9706200000001"/>
    <n v="31"/>
    <n v="7025.4515665243453"/>
    <n v="0"/>
    <n v="0"/>
    <n v="0"/>
    <n v="0"/>
    <n v="0"/>
    <n v="0"/>
    <n v="0"/>
    <n v="4062.9909302373526"/>
    <n v="0"/>
    <n v="0"/>
    <n v="2976.0534333660653"/>
    <n v="0"/>
    <n v="0"/>
    <n v="0"/>
    <n v="466.37169333315751"/>
    <n v="0"/>
    <n v="-409.52935762273773"/>
    <m/>
    <n v="0"/>
    <n v="0"/>
    <n v="0"/>
    <n v="0"/>
    <n v="-52.340130663159016"/>
    <n v="-18.095002126336738"/>
    <n v="0"/>
    <n v="1656.8182843801035"/>
    <m/>
    <m/>
    <m/>
    <n v="54312.306609588522"/>
    <n v="0"/>
    <n v="0"/>
    <n v="-2827.8227699999989"/>
    <n v="3144.9706200000001"/>
    <n v="0"/>
    <n v="0"/>
    <n v="-8365.041259269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6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5299999999999994"/>
    <n v="-39.2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69599999999999995"/>
    <n v="0.69599999999999995"/>
    <n v="0.69599999999999995"/>
    <n v="0.69599999999999995"/>
    <m/>
    <n v="897.25"/>
    <n v="207.07"/>
    <m/>
    <n v="768.60672"/>
    <n v="768.60672"/>
    <n v="770.93831999999998"/>
    <n v="0"/>
    <n v="54.817135501074617"/>
    <n v="0"/>
    <n v="0"/>
    <n v="0"/>
    <n v="138.88482665994829"/>
    <n v="399.29192044315158"/>
    <n v="144.12417927979394"/>
    <n v="0"/>
    <n v="0"/>
    <n v="0"/>
    <n v="0"/>
    <n v="0"/>
    <n v="6.9662150300319476"/>
    <m/>
    <n v="1.938325470197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85426991123224"/>
    <n v="0"/>
    <n v="14.46"/>
    <n v="66.84"/>
    <n v="0"/>
    <n v="6"/>
    <m/>
    <m/>
    <m/>
    <m/>
    <m/>
    <m/>
    <m/>
    <m/>
    <m/>
    <n v="166.70960627091716"/>
    <m/>
    <m/>
    <m/>
    <m/>
    <m/>
    <m/>
    <m/>
    <m/>
    <m/>
    <m/>
    <m/>
    <m/>
    <n v="775.36899999999991"/>
    <n v="6.7322799999999461"/>
    <m/>
    <m/>
    <m/>
    <m/>
    <n v="-20.789520000000003"/>
    <n v="23.121119999999998"/>
    <n v="31"/>
    <n v="51.649547277423324"/>
    <n v="0"/>
    <n v="0"/>
    <n v="0"/>
    <n v="0"/>
    <n v="0"/>
    <n v="0"/>
    <n v="0"/>
    <n v="29.870199823020755"/>
    <n v="0"/>
    <n v="0"/>
    <n v="21.879278655795162"/>
    <n v="0"/>
    <n v="0"/>
    <n v="0"/>
    <n v="3.4286602925909477"/>
    <n v="0"/>
    <n v="-3.0107681645427391"/>
    <m/>
    <n v="0"/>
    <n v="0"/>
    <n v="0"/>
    <n v="0"/>
    <n v="-0.3847929243544348"/>
    <n v="-0.13303040508635555"/>
    <n v="0"/>
    <n v="12.180557149798268"/>
    <m/>
    <m/>
    <m/>
    <n v="399.29192044315158"/>
    <n v="0"/>
    <n v="0"/>
    <n v="-20.789520000000039"/>
    <n v="23.121120000000019"/>
    <n v="0"/>
    <n v="0"/>
    <n v="-61.4979108327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8"/>
    <s v="Regular"/>
    <s v="Azul"/>
    <s v="A4"/>
    <s v="Comercial"/>
    <s v="Não se aplica"/>
    <s v="Não se aplica"/>
    <s v="Não se aplica"/>
    <s v="Ponta"/>
    <s v="CATIVO"/>
    <x v="3"/>
    <n v="100"/>
    <n v="100"/>
    <n v="3.032"/>
    <n v="3.032"/>
    <n v="3.032"/>
    <n v="3.032"/>
    <n v="193.63"/>
    <n v="94.17"/>
    <n v="207.07"/>
    <n v="19363"/>
    <n v="913.35968000000003"/>
    <n v="20276.359680000001"/>
    <n v="19706.99064"/>
    <n v="0"/>
    <n v="207.75694354907259"/>
    <n v="0"/>
    <n v="0"/>
    <n v="0"/>
    <n v="5352.7545792855199"/>
    <n v="14009.762805225198"/>
    <n v="627.85130973611388"/>
    <n v="0"/>
    <n v="0"/>
    <n v="0"/>
    <n v="0"/>
    <n v="0"/>
    <n v="30.347074671058717"/>
    <m/>
    <n v="5.48591631514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27739218059124"/>
    <n v="0"/>
    <n v="0"/>
    <n v="0"/>
    <n v="0"/>
    <n v="0"/>
    <m/>
    <m/>
    <m/>
    <m/>
    <m/>
    <m/>
    <m/>
    <m/>
    <m/>
    <n v="669.77904895417305"/>
    <m/>
    <m/>
    <m/>
    <m/>
    <m/>
    <m/>
    <m/>
    <m/>
    <m/>
    <m/>
    <m/>
    <m/>
    <n v="19706.323099999998"/>
    <n v="-570.06657999999879"/>
    <m/>
    <m/>
    <m/>
    <m/>
    <n v="-670.09208000000069"/>
    <n v="100.72304"/>
    <n v="31"/>
    <n v="1239.4407502084086"/>
    <n v="0"/>
    <n v="0"/>
    <n v="0"/>
    <n v="0"/>
    <n v="0"/>
    <n v="0"/>
    <n v="0"/>
    <n v="1151.2261831043998"/>
    <n v="0"/>
    <n v="0"/>
    <n v="95.313179431567391"/>
    <n v="0"/>
    <n v="0"/>
    <n v="0"/>
    <n v="6.3649881258200836"/>
    <n v="0"/>
    <n v="-11.410811343616899"/>
    <m/>
    <n v="0"/>
    <n v="0"/>
    <n v="0"/>
    <n v="0"/>
    <n v="-1.6762818198888603"/>
    <n v="-0.37650728987175608"/>
    <n v="0"/>
    <n v="349.62599398768003"/>
    <m/>
    <m/>
    <n v="14009.762805225198"/>
    <n v="0"/>
    <n v="0"/>
    <n v="0"/>
    <n v="-670.09208000000217"/>
    <n v="100.72303999999997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9"/>
    <s v="Regular"/>
    <s v="Azul"/>
    <s v="A4"/>
    <s v="Comercial"/>
    <s v="Não se aplica"/>
    <s v="Não se aplica"/>
    <s v="Não se aplica"/>
    <s v="Fora ponta"/>
    <s v="CATIVO"/>
    <x v="3"/>
    <n v="100"/>
    <n v="100"/>
    <n v="25.114000000000001"/>
    <n v="25.114000000000001"/>
    <n v="25.114000000000001"/>
    <n v="25.114000000000001"/>
    <n v="73.75"/>
    <n v="94.17"/>
    <n v="207.07"/>
    <n v="7375"/>
    <n v="7565.3413600000003"/>
    <n v="14940.34136"/>
    <n v="15823.299779999999"/>
    <n v="0"/>
    <n v="1720.8469262174833"/>
    <n v="0"/>
    <n v="0"/>
    <n v="0"/>
    <n v="2905.8255513392301"/>
    <n v="4469.1623472813199"/>
    <n v="5200.4808023458991"/>
    <n v="0"/>
    <n v="0"/>
    <n v="0"/>
    <n v="0"/>
    <n v="0"/>
    <n v="251.36425900031946"/>
    <m/>
    <n v="45.439743515343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28668955222196"/>
    <n v="0"/>
    <n v="0"/>
    <n v="0"/>
    <n v="0"/>
    <n v="0"/>
    <m/>
    <m/>
    <m/>
    <m/>
    <m/>
    <m/>
    <m/>
    <m/>
    <m/>
    <n v="5547.7674918981211"/>
    <m/>
    <m/>
    <m/>
    <m/>
    <m/>
    <m/>
    <m/>
    <m/>
    <m/>
    <m/>
    <m/>
    <m/>
    <n v="15821.9647"/>
    <n v="881.59333999999944"/>
    <m/>
    <m/>
    <m/>
    <m/>
    <n v="48.671339999999716"/>
    <n v="834.28707999999995"/>
    <n v="31"/>
    <n v="1355.6405559763662"/>
    <n v="0"/>
    <n v="0"/>
    <n v="0"/>
    <n v="0"/>
    <n v="0"/>
    <n v="0"/>
    <n v="0"/>
    <n v="624.9609259466497"/>
    <n v="0"/>
    <n v="0"/>
    <n v="789.4773048299412"/>
    <n v="0"/>
    <n v="0"/>
    <n v="0"/>
    <n v="52.721079087020257"/>
    <n v="0"/>
    <n v="-94.515539605407412"/>
    <m/>
    <n v="0"/>
    <n v="0"/>
    <n v="0"/>
    <n v="0"/>
    <n v="-13.884611353789182"/>
    <n v="-3.1186029280472596"/>
    <n v="0"/>
    <n v="215.37820080395272"/>
    <m/>
    <m/>
    <n v="4469.1623472813199"/>
    <n v="0"/>
    <n v="0"/>
    <n v="0"/>
    <n v="48.671339999998963"/>
    <n v="834.28708000000006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0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7.70999999999998"/>
    <n v="1189.4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3"/>
    <n v="0"/>
    <n v="0"/>
    <n v="0.92800000000000005"/>
    <n v="0.92800000000000005"/>
    <n v="0.92800000000000005"/>
    <n v="0.92800000000000005"/>
    <m/>
    <n v="4750.8599999999997"/>
    <n v="207.07"/>
    <m/>
    <n v="4600.9590399999997"/>
    <n v="4600.9590399999997"/>
    <n v="4482.2121600000009"/>
    <n v="0"/>
    <n v="63.587877181246498"/>
    <n v="0"/>
    <n v="0"/>
    <n v="0"/>
    <n v="1194.6492092138801"/>
    <n v="3126.7603065851213"/>
    <n v="192.16557237305861"/>
    <n v="0"/>
    <n v="0"/>
    <n v="0"/>
    <n v="0"/>
    <n v="0"/>
    <n v="9.2882867067092647"/>
    <m/>
    <n v="1.6790667349780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3276451001282"/>
    <n v="0"/>
    <n v="0"/>
    <n v="0"/>
    <n v="0"/>
    <n v="0"/>
    <m/>
    <m/>
    <m/>
    <m/>
    <m/>
    <m/>
    <m/>
    <m/>
    <m/>
    <n v="204.99833688307143"/>
    <m/>
    <m/>
    <m/>
    <m/>
    <m/>
    <m/>
    <m/>
    <m/>
    <m/>
    <m/>
    <m/>
    <m/>
    <n v="4491.8721000000005"/>
    <n v="-109.11693999999989"/>
    <m/>
    <m/>
    <m/>
    <m/>
    <n v="-149.57503999999943"/>
    <n v="30.82816"/>
    <n v="31"/>
    <n v="283.93498035098219"/>
    <n v="0"/>
    <n v="0"/>
    <n v="0"/>
    <n v="0"/>
    <n v="0"/>
    <n v="0"/>
    <n v="0"/>
    <n v="256.93527115819825"/>
    <n v="0"/>
    <n v="0"/>
    <n v="29.172371541060215"/>
    <n v="0"/>
    <n v="0"/>
    <n v="0"/>
    <n v="1.9481230147628725"/>
    <n v="0"/>
    <n v="-3.4924910708695549"/>
    <m/>
    <n v="0"/>
    <n v="0"/>
    <n v="0"/>
    <n v="0"/>
    <n v="-0.51305723247257973"/>
    <n v="-0.11523705969689635"/>
    <n v="0"/>
    <n v="78.893310619463605"/>
    <m/>
    <m/>
    <m/>
    <n v="3126.7603065851213"/>
    <n v="0"/>
    <n v="0"/>
    <n v="-149.57503999999881"/>
    <n v="30.828159999999997"/>
    <n v="0"/>
    <n v="0"/>
    <n v="-481.5755508312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2"/>
    <s v="Regular"/>
    <s v="Verde"/>
    <s v="A4"/>
    <s v="Comercial"/>
    <s v="Não se aplica"/>
    <s v="Não se aplica"/>
    <s v="Não se aplica"/>
    <s v="Fora ponta"/>
    <s v="CATIVO"/>
    <x v="3"/>
    <n v="0"/>
    <n v="0"/>
    <n v="69.599000000000004"/>
    <n v="69.599000000000004"/>
    <n v="69.599000000000004"/>
    <n v="69.599000000000004"/>
    <m/>
    <n v="94.17"/>
    <n v="207.07"/>
    <m/>
    <n v="20966.002759999999"/>
    <n v="20966.002759999999"/>
    <n v="23230.058230000002"/>
    <n v="0"/>
    <n v="4769.0222671741112"/>
    <n v="0"/>
    <n v="0"/>
    <n v="0"/>
    <n v="0"/>
    <n v="0"/>
    <n v="14412.210853009166"/>
    <n v="0"/>
    <n v="0"/>
    <n v="0"/>
    <n v="0"/>
    <n v="0"/>
    <n v="696.61149407355401"/>
    <m/>
    <n v="125.9281957841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4350984092921"/>
    <n v="0"/>
    <n v="0"/>
    <n v="0"/>
    <n v="0"/>
    <n v="0"/>
    <m/>
    <m/>
    <m/>
    <m/>
    <m/>
    <m/>
    <m/>
    <m/>
    <m/>
    <n v="15374.654362850095"/>
    <m/>
    <m/>
    <m/>
    <m/>
    <m/>
    <m/>
    <m/>
    <m/>
    <m/>
    <m/>
    <m/>
    <m/>
    <n v="23230.391999999996"/>
    <n v="2264.359239999998"/>
    <m/>
    <m/>
    <m/>
    <m/>
    <n v="-48.023309999999846"/>
    <n v="2312.0787799999998"/>
    <n v="31"/>
    <n v="2024.9490949445862"/>
    <n v="0"/>
    <n v="0"/>
    <n v="0"/>
    <n v="0"/>
    <n v="0"/>
    <n v="0"/>
    <n v="0"/>
    <n v="0"/>
    <n v="0"/>
    <n v="0"/>
    <n v="2187.8964298343217"/>
    <n v="0"/>
    <n v="0"/>
    <n v="0"/>
    <n v="146.10712683672546"/>
    <n v="0"/>
    <n v="-261.93306685501102"/>
    <m/>
    <n v="0"/>
    <n v="0"/>
    <n v="0"/>
    <n v="0"/>
    <n v="-38.478739572046379"/>
    <n v="-8.6426552994011701"/>
    <n v="0"/>
    <n v="238.80975385105779"/>
    <m/>
    <m/>
    <m/>
    <n v="0"/>
    <n v="0"/>
    <n v="0"/>
    <n v="-48.023309999999583"/>
    <n v="2312.078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Não se aplica"/>
    <s v="CATIVO"/>
    <x v="3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1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Ponta"/>
    <s v="CATIVO"/>
    <x v="3"/>
    <n v="0"/>
    <n v="0"/>
    <n v="0.02"/>
    <n v="0.02"/>
    <n v="0.02"/>
    <n v="0.02"/>
    <m/>
    <n v="2482.39"/>
    <n v="207.07"/>
    <m/>
    <n v="53.789199999999994"/>
    <n v="53.789199999999994"/>
    <n v="52.548599999999993"/>
    <n v="0"/>
    <n v="1.5752050431343281"/>
    <n v="0"/>
    <n v="0"/>
    <n v="0"/>
    <n v="12.172391613806539"/>
    <n v="34.995398667108404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52.548599999999993"/>
    <n v="-1.2705999999999946"/>
    <m/>
    <m/>
    <m/>
    <m/>
    <n v="-1.905"/>
    <n v="0.66439999999999999"/>
    <n v="31"/>
    <n v="3.24378062997733"/>
    <n v="0"/>
    <n v="0"/>
    <n v="0"/>
    <n v="0"/>
    <n v="0"/>
    <n v="0"/>
    <n v="0"/>
    <n v="2.6179373123220824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90543716203073443"/>
    <m/>
    <m/>
    <m/>
    <n v="34.995398667108404"/>
    <n v="0"/>
    <n v="0"/>
    <n v="-1.9050000000000011"/>
    <n v="0.66439999999999966"/>
    <n v="0"/>
    <n v="0"/>
    <n v="-5.389900963684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5"/>
    <s v="Regular"/>
    <s v="Branca"/>
    <s v="B3"/>
    <s v="Comercial"/>
    <s v="Não se aplica"/>
    <s v="Não se aplica"/>
    <s v="Não se aplica"/>
    <s v="Fora ponta"/>
    <s v="CATIVO"/>
    <x v="3"/>
    <n v="0"/>
    <n v="0"/>
    <n v="0.16"/>
    <n v="0.16"/>
    <n v="0.16"/>
    <n v="0.16"/>
    <m/>
    <n v="595.67999999999995"/>
    <n v="207.07"/>
    <m/>
    <n v="128.44"/>
    <n v="128.44"/>
    <n v="130.96639999999999"/>
    <n v="0"/>
    <n v="12.601640345074625"/>
    <n v="0"/>
    <n v="0"/>
    <n v="0"/>
    <n v="19.475640155377921"/>
    <n v="55.992654101495198"/>
    <n v="33.131995236734241"/>
    <n v="0"/>
    <n v="0"/>
    <n v="0"/>
    <n v="0"/>
    <n v="0"/>
    <n v="1.60142874253608"/>
    <m/>
    <n v="0.44559206211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920521818674086"/>
    <n v="0"/>
    <n v="0"/>
    <n v="0"/>
    <n v="0"/>
    <n v="0"/>
    <m/>
    <m/>
    <m/>
    <m/>
    <m/>
    <m/>
    <m/>
    <m/>
    <m/>
    <n v="38.324047418601651"/>
    <m/>
    <m/>
    <m/>
    <m/>
    <m/>
    <m/>
    <m/>
    <m/>
    <m/>
    <m/>
    <m/>
    <m/>
    <n v="130.96639999999999"/>
    <n v="2.4963999999999942"/>
    <m/>
    <m/>
    <m/>
    <m/>
    <n v="-2.7887999999999922"/>
    <n v="5.3151999999999999"/>
    <n v="31"/>
    <n v="9.1954061458418153"/>
    <n v="0"/>
    <n v="0"/>
    <n v="0"/>
    <n v="0"/>
    <n v="0"/>
    <n v="0"/>
    <n v="0"/>
    <n v="4.1886596045998417"/>
    <n v="0"/>
    <n v="0"/>
    <n v="5.0297192312172783"/>
    <n v="0"/>
    <n v="0"/>
    <n v="0"/>
    <n v="0.7881977684117123"/>
    <n v="0"/>
    <n v="-0.6921306125385609"/>
    <m/>
    <n v="0"/>
    <n v="0"/>
    <n v="0"/>
    <n v="0"/>
    <n v="-8.8458143529755118E-2"/>
    <n v="-3.0581702318702386E-2"/>
    <n v="0"/>
    <n v="1.9548012354431714"/>
    <m/>
    <m/>
    <m/>
    <n v="55.992654101495198"/>
    <n v="0"/>
    <n v="0"/>
    <n v="-2.7887999999999948"/>
    <n v="5.3151999999999973"/>
    <n v="0"/>
    <n v="0"/>
    <n v="-8.623844042232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1539.04"/>
    <n v="207.07"/>
    <m/>
    <n v="26.191649999999999"/>
    <n v="26.191649999999999"/>
    <n v="25.844850000000001"/>
    <n v="0"/>
    <n v="1.1814037823507459"/>
    <n v="0"/>
    <n v="0"/>
    <n v="0"/>
    <n v="5.4775691679900449"/>
    <n v="15.74792787824985"/>
    <n v="3.1061245534438351"/>
    <n v="0"/>
    <n v="0"/>
    <n v="0"/>
    <n v="0"/>
    <n v="0"/>
    <n v="0.1501339446127575"/>
    <m/>
    <n v="4.17742558232182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67548920500695"/>
    <n v="0"/>
    <n v="0"/>
    <n v="0"/>
    <n v="0"/>
    <n v="0"/>
    <m/>
    <m/>
    <m/>
    <m/>
    <m/>
    <m/>
    <m/>
    <m/>
    <m/>
    <n v="3.5928794454939048"/>
    <m/>
    <m/>
    <m/>
    <m/>
    <m/>
    <m/>
    <m/>
    <m/>
    <m/>
    <m/>
    <m/>
    <m/>
    <n v="34.459800000000001"/>
    <n v="8.2381499999999974"/>
    <m/>
    <m/>
    <m/>
    <m/>
    <n v="-0.84509999999999874"/>
    <n v="0.49829999999999997"/>
    <n v="31"/>
    <n v="1.6474527607621674"/>
    <n v="0"/>
    <n v="0"/>
    <n v="0"/>
    <n v="0"/>
    <n v="0"/>
    <n v="0"/>
    <n v="0"/>
    <n v="1.1780702725207348"/>
    <n v="0"/>
    <n v="0"/>
    <n v="0.47153617792661962"/>
    <n v="0"/>
    <n v="0"/>
    <n v="0"/>
    <n v="7.3893540788598E-2"/>
    <n v="0"/>
    <n v="-6.4887244925490029E-2"/>
    <m/>
    <n v="0"/>
    <n v="0"/>
    <n v="0"/>
    <n v="0"/>
    <n v="-8.2929509559145353E-3"/>
    <n v="-2.8670345923783522E-3"/>
    <n v="0"/>
    <n v="0.43117023311925329"/>
    <m/>
    <m/>
    <m/>
    <n v="15.74792787824985"/>
    <n v="0"/>
    <n v="0"/>
    <n v="-0.84509999999999863"/>
    <n v="0.49829999999999997"/>
    <n v="0"/>
    <n v="0"/>
    <n v="-2.42545519925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8"/>
    <s v="Regular"/>
    <s v="Convencional"/>
    <s v="B2"/>
    <s v="Rural"/>
    <s v="Não se aplica"/>
    <s v="Não se aplica"/>
    <s v="Não se aplica"/>
    <s v="Não se aplica"/>
    <s v="CATIVO"/>
    <x v="3"/>
    <n v="0"/>
    <n v="0"/>
    <n v="63.924999999999997"/>
    <n v="63.924999999999997"/>
    <n v="63.924999999999997"/>
    <n v="63.924999999999997"/>
    <m/>
    <n v="897.25"/>
    <n v="207.07"/>
    <m/>
    <n v="70593.655999999988"/>
    <n v="70593.655999999988"/>
    <n v="70807.804749999996"/>
    <n v="0"/>
    <n v="5034.7491191180961"/>
    <n v="0"/>
    <n v="0"/>
    <n v="0"/>
    <n v="12756.052506087923"/>
    <n v="36673.471284954692"/>
    <n v="13237.267471926478"/>
    <n v="0"/>
    <n v="0"/>
    <n v="0"/>
    <n v="0"/>
    <n v="0"/>
    <n v="639.82082729136823"/>
    <m/>
    <n v="178.02795356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4.3870982867129"/>
    <n v="0"/>
    <n v="95.6"/>
    <n v="441.41"/>
    <n v="0"/>
    <n v="162"/>
    <m/>
    <m/>
    <m/>
    <m/>
    <m/>
    <n v="8496.9110000000001"/>
    <m/>
    <m/>
    <m/>
    <n v="15311.654570213192"/>
    <m/>
    <m/>
    <m/>
    <m/>
    <m/>
    <m/>
    <m/>
    <m/>
    <m/>
    <m/>
    <m/>
    <m/>
    <n v="62315.767500000002"/>
    <n v="192.78325000000041"/>
    <m/>
    <m/>
    <m/>
    <m/>
    <n v="-1909.4397500000002"/>
    <n v="2123.5884999999998"/>
    <n v="31"/>
    <n v="4743.8179737202445"/>
    <n v="0"/>
    <n v="0"/>
    <n v="0"/>
    <n v="0"/>
    <n v="0"/>
    <n v="0"/>
    <n v="0"/>
    <n v="2743.4662696646574"/>
    <n v="0"/>
    <n v="0"/>
    <n v="2009.5300115972768"/>
    <n v="0"/>
    <n v="0"/>
    <n v="0"/>
    <n v="314.90963966074196"/>
    <n v="0"/>
    <n v="-276.52780879079728"/>
    <m/>
    <n v="0"/>
    <n v="0"/>
    <n v="0"/>
    <n v="0"/>
    <n v="-35.341792657122483"/>
    <n v="-12.218345754519078"/>
    <n v="0"/>
    <n v="1118.7386721276641"/>
    <m/>
    <m/>
    <m/>
    <n v="36673.471284954692"/>
    <n v="0"/>
    <n v="0"/>
    <n v="-1909.4397499999977"/>
    <n v="2123.5884999999998"/>
    <n v="0"/>
    <n v="0"/>
    <n v="-5648.353376417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45"/>
    <n v="-2.02999999999999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58699999999999997"/>
    <n v="0.58699999999999997"/>
    <n v="0.58699999999999997"/>
    <n v="0.58699999999999997"/>
    <m/>
    <n v="897.25"/>
    <n v="207.07"/>
    <m/>
    <n v="648.23583999999994"/>
    <n v="648.23583999999994"/>
    <n v="650.20228999999995"/>
    <n v="0"/>
    <n v="46.232268015992524"/>
    <n v="0"/>
    <n v="0"/>
    <n v="0"/>
    <n v="117.13418570314603"/>
    <n v="336.75913405191091"/>
    <n v="121.55300752476874"/>
    <n v="0"/>
    <n v="0"/>
    <n v="0"/>
    <n v="0"/>
    <n v="0"/>
    <n v="5.8752416991792433"/>
    <m/>
    <n v="1.6347658778819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48341442226054"/>
    <n v="0"/>
    <n v="0"/>
    <n v="0"/>
    <n v="0"/>
    <n v="5"/>
    <m/>
    <m/>
    <m/>
    <m/>
    <m/>
    <n v="78.024040000000014"/>
    <m/>
    <m/>
    <m/>
    <n v="140.60134896699481"/>
    <m/>
    <m/>
    <m/>
    <m/>
    <m/>
    <m/>
    <m/>
    <m/>
    <m/>
    <m/>
    <m/>
    <m/>
    <n v="575.10249999999996"/>
    <n v="4.6200300000000425"/>
    <m/>
    <m/>
    <m/>
    <m/>
    <n v="-17.53369"/>
    <n v="19.500139999999998"/>
    <n v="31"/>
    <n v="43.560753235413131"/>
    <n v="0"/>
    <n v="0"/>
    <n v="0"/>
    <n v="0"/>
    <n v="0"/>
    <n v="0"/>
    <n v="0"/>
    <n v="25.192251862231601"/>
    <n v="0"/>
    <n v="0"/>
    <n v="18.452782429528398"/>
    <n v="0"/>
    <n v="0"/>
    <n v="0"/>
    <n v="2.8917005628604677"/>
    <n v="0"/>
    <n v="-2.5392541847508383"/>
    <m/>
    <n v="0"/>
    <n v="0"/>
    <n v="0"/>
    <n v="0"/>
    <n v="-0.32453081407478912"/>
    <n v="-0.1121966203817395"/>
    <n v="0"/>
    <n v="10.272969895016642"/>
    <m/>
    <m/>
    <m/>
    <n v="336.75913405191091"/>
    <n v="0"/>
    <n v="0"/>
    <n v="-17.533690000000036"/>
    <n v="19.500140000000016"/>
    <n v="0"/>
    <n v="0"/>
    <n v="-51.86677249834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.027999999999999"/>
    <n v="16.027999999999999"/>
    <n v="16.027999999999999"/>
    <n v="16.027999999999999"/>
    <m/>
    <n v="897.25"/>
    <n v="207.07"/>
    <m/>
    <n v="17700.040959999998"/>
    <n v="17700.040959999998"/>
    <n v="17753.734759999999"/>
    <n v="0"/>
    <n v="1262.3693215678504"/>
    <n v="0"/>
    <n v="0"/>
    <n v="0"/>
    <n v="3198.3419564736364"/>
    <n v="9195.1880759523483"/>
    <n v="3318.9976228398523"/>
    <n v="0"/>
    <n v="0"/>
    <n v="0"/>
    <n v="0"/>
    <n v="0"/>
    <n v="160.4231242835518"/>
    <m/>
    <n v="44.637184822302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11382731856759"/>
    <n v="0"/>
    <n v="137.25"/>
    <n v="633.97"/>
    <n v="0"/>
    <n v="33"/>
    <m/>
    <m/>
    <m/>
    <m/>
    <m/>
    <m/>
    <m/>
    <m/>
    <m/>
    <n v="3839.1114501584198"/>
    <m/>
    <m/>
    <m/>
    <m/>
    <m/>
    <m/>
    <m/>
    <m/>
    <m/>
    <m/>
    <m/>
    <m/>
    <n v="17755.950100000002"/>
    <n v="55.879140000004554"/>
    <m/>
    <m/>
    <m/>
    <m/>
    <n v="-478.75636000000003"/>
    <n v="532.45015999999998"/>
    <n v="31"/>
    <n v="1189.4237697737681"/>
    <n v="0"/>
    <n v="0"/>
    <n v="0"/>
    <n v="0"/>
    <n v="0"/>
    <n v="0"/>
    <n v="0"/>
    <n v="687.87293500485157"/>
    <n v="0"/>
    <n v="0"/>
    <n v="503.85212398719068"/>
    <n v="0"/>
    <n v="0"/>
    <n v="0"/>
    <n v="78.957711450643274"/>
    <n v="0"/>
    <n v="-69.334184111050263"/>
    <m/>
    <n v="0"/>
    <n v="0"/>
    <n v="0"/>
    <n v="0"/>
    <n v="-8.8612945280932252"/>
    <n v="-3.0635220297760171"/>
    <n v="0"/>
    <n v="280.50283045541187"/>
    <m/>
    <m/>
    <m/>
    <n v="9195.1880759523483"/>
    <n v="0"/>
    <n v="0"/>
    <n v="-478.75636000000122"/>
    <n v="532.45015999999987"/>
    <n v="0"/>
    <n v="0"/>
    <n v="-1416.219130500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2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14"/>
    <n v="-42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88200000000001"/>
    <n v="294.88200000000001"/>
    <n v="294.88200000000001"/>
    <n v="294.88200000000001"/>
    <m/>
    <n v="493.49"/>
    <n v="113.89"/>
    <m/>
    <n v="179105.42916"/>
    <n v="179105.42916"/>
    <n v="179648.01204"/>
    <n v="0"/>
    <n v="12773.739372062259"/>
    <n v="0"/>
    <n v="0"/>
    <n v="0"/>
    <n v="32363.576868285098"/>
    <n v="93044.827652679101"/>
    <n v="33584.474754182927"/>
    <n v="0"/>
    <n v="0"/>
    <n v="0"/>
    <n v="0"/>
    <n v="0"/>
    <n v="1623.299254694301"/>
    <m/>
    <n v="451.6774572076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2.9593895086446"/>
    <n v="0"/>
    <n v="1400.76"/>
    <n v="6465.12"/>
    <n v="0"/>
    <n v="3"/>
    <m/>
    <m/>
    <m/>
    <m/>
    <m/>
    <m/>
    <m/>
    <m/>
    <m/>
    <n v="38847.434143691571"/>
    <m/>
    <m/>
    <m/>
    <m/>
    <m/>
    <m/>
    <m/>
    <m/>
    <m/>
    <m/>
    <m/>
    <m/>
    <n v="179646.7936"/>
    <n v="541.33443999997689"/>
    <m/>
    <m/>
    <m/>
    <m/>
    <n v="-4844.9112600000017"/>
    <n v="5387.4941399999989"/>
    <n v="31"/>
    <n v="12035.613491585478"/>
    <n v="0"/>
    <n v="0"/>
    <n v="0"/>
    <n v="0"/>
    <n v="0"/>
    <n v="0"/>
    <n v="0"/>
    <n v="6960.490438673165"/>
    <n v="0"/>
    <n v="0"/>
    <n v="5098.409478042995"/>
    <n v="0"/>
    <n v="0"/>
    <n v="0"/>
    <n v="798.96208681020107"/>
    <n v="0"/>
    <n v="-701.58295379767151"/>
    <m/>
    <n v="0"/>
    <n v="0"/>
    <n v="0"/>
    <n v="0"/>
    <n v="-89.666205338671944"/>
    <n v="-30.999352804556281"/>
    <n v="0"/>
    <n v="2838.3690795915959"/>
    <m/>
    <m/>
    <m/>
    <n v="93044.827652679101"/>
    <n v="0"/>
    <n v="0"/>
    <n v="-4844.9112599999935"/>
    <n v="5387.4941400000025"/>
    <n v="0"/>
    <n v="0"/>
    <n v="-14330.52416409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9.3780000000000001"/>
    <n v="8.8153199999999998"/>
    <n v="9.3780000000000001"/>
    <n v="8.8153199999999998"/>
    <m/>
    <n v="897.25"/>
    <n v="207.07"/>
    <m/>
    <n v="10356.312959999999"/>
    <n v="10356.312959999999"/>
    <n v="10387.72926"/>
    <n v="0"/>
    <n v="738.61364472568641"/>
    <n v="0"/>
    <n v="0"/>
    <n v="0"/>
    <n v="1871.3533109439584"/>
    <n v="5380.1144107986729"/>
    <n v="1941.9490708130859"/>
    <n v="0"/>
    <n v="0"/>
    <n v="0"/>
    <n v="0"/>
    <n v="0"/>
    <n v="93.863742171895993"/>
    <m/>
    <n v="26.11726474067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1915850970347"/>
    <n v="0"/>
    <n v="11.99"/>
    <n v="55.35"/>
    <n v="0"/>
    <n v="3"/>
    <m/>
    <m/>
    <m/>
    <m/>
    <n v="623.26375560000031"/>
    <m/>
    <m/>
    <m/>
    <m/>
    <n v="2246.2682293227895"/>
    <m/>
    <m/>
    <m/>
    <m/>
    <m/>
    <m/>
    <m/>
    <m/>
    <m/>
    <m/>
    <m/>
    <m/>
    <n v="9769.6494000000002"/>
    <n v="34.685217599999305"/>
    <m/>
    <m/>
    <m/>
    <m/>
    <n v="-280.12086000000005"/>
    <n v="311.53715999999997"/>
    <n v="31"/>
    <n v="695.93312409148893"/>
    <n v="0"/>
    <n v="0"/>
    <n v="0"/>
    <n v="0"/>
    <n v="0"/>
    <n v="0"/>
    <n v="0"/>
    <n v="402.47519244294358"/>
    <n v="0"/>
    <n v="0"/>
    <n v="294.80441843972244"/>
    <n v="0"/>
    <n v="0"/>
    <n v="0"/>
    <n v="46.198241701031463"/>
    <n v="0"/>
    <n v="-40.567505527416301"/>
    <m/>
    <n v="0"/>
    <n v="0"/>
    <n v="0"/>
    <n v="0"/>
    <n v="-5.1847529376377679"/>
    <n v="-1.7924700271549483"/>
    <n v="0"/>
    <n v="164.12250711323014"/>
    <m/>
    <m/>
    <m/>
    <n v="5380.1144107986729"/>
    <n v="0"/>
    <n v="0"/>
    <n v="-280.12085999999999"/>
    <n v="311.53716000000009"/>
    <n v="0"/>
    <n v="0"/>
    <n v="-828.6313330315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5"/>
    <s v="Refaturamento - 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88"/>
    <n v="-8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080000000000001"/>
    <n v="1.6995199999999999"/>
    <n v="1.8080000000000001"/>
    <n v="1.6995199999999999"/>
    <m/>
    <n v="4750.8599999999997"/>
    <n v="207.07"/>
    <m/>
    <n v="8963.9374399999997"/>
    <n v="8963.9374399999997"/>
    <n v="8732.5857600000018"/>
    <n v="0"/>
    <n v="123.88672623242852"/>
    <n v="0"/>
    <n v="0"/>
    <n v="0"/>
    <n v="2327.5062179511801"/>
    <n v="6091.7916317951504"/>
    <n v="374.39154617509695"/>
    <n v="0"/>
    <n v="0"/>
    <n v="0"/>
    <n v="0"/>
    <n v="0"/>
    <n v="18.096144790657704"/>
    <m/>
    <n v="3.27128519056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01765338473252"/>
    <n v="0"/>
    <n v="0"/>
    <n v="0"/>
    <n v="0"/>
    <n v="0"/>
    <m/>
    <m/>
    <m/>
    <m/>
    <n v="523.95514560000072"/>
    <m/>
    <m/>
    <m/>
    <m/>
    <n v="399.39331151357021"/>
    <m/>
    <m/>
    <m/>
    <m/>
    <m/>
    <m/>
    <m/>
    <m/>
    <m/>
    <m/>
    <m/>
    <m/>
    <n v="8210.9490000000005"/>
    <n v="-215.18219359999966"/>
    <m/>
    <m/>
    <m/>
    <m/>
    <n v="-291.4134399999989"/>
    <n v="60.06176"/>
    <n v="31"/>
    <n v="553.18366861484537"/>
    <n v="0"/>
    <n v="0"/>
    <n v="0"/>
    <n v="0"/>
    <n v="0"/>
    <n v="0"/>
    <n v="0"/>
    <n v="500.58078691166247"/>
    <n v="0"/>
    <n v="0"/>
    <n v="56.835827312755214"/>
    <n v="0"/>
    <n v="0"/>
    <n v="0"/>
    <n v="3.7954810460035304"/>
    <n v="0"/>
    <n v="-6.8043360518665423"/>
    <m/>
    <n v="0"/>
    <n v="0"/>
    <n v="0"/>
    <n v="0"/>
    <n v="-0.99957702188623188"/>
    <n v="-0.22451358182326331"/>
    <n v="0"/>
    <n v="153.70593275861012"/>
    <m/>
    <m/>
    <m/>
    <n v="6091.7916317951504"/>
    <n v="0"/>
    <n v="0"/>
    <n v="-291.41343999999845"/>
    <n v="60.061759999999992"/>
    <n v="0"/>
    <n v="0"/>
    <n v="-938.242021447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006"/>
    <n v="16.925640000000001"/>
    <n v="18.006"/>
    <n v="16.925640000000001"/>
    <m/>
    <n v="94.17"/>
    <n v="207.07"/>
    <m/>
    <n v="5424.1274400000002"/>
    <n v="5424.1274400000002"/>
    <n v="6009.8626199999999"/>
    <n v="0"/>
    <n v="1233.7966772904358"/>
    <n v="0"/>
    <n v="0"/>
    <n v="0"/>
    <n v="0"/>
    <n v="0"/>
    <n v="3728.5919139539797"/>
    <n v="0"/>
    <n v="0"/>
    <n v="0"/>
    <n v="0"/>
    <n v="0"/>
    <n v="180.2207871131541"/>
    <m/>
    <n v="32.57896080820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99435104233928"/>
    <n v="0"/>
    <n v="0"/>
    <n v="0"/>
    <n v="0"/>
    <n v="0"/>
    <m/>
    <m/>
    <m/>
    <m/>
    <n v="360.59175719999962"/>
    <m/>
    <m/>
    <m/>
    <m/>
    <n v="3977.5862649963187"/>
    <m/>
    <m/>
    <m/>
    <m/>
    <m/>
    <m/>
    <m/>
    <m/>
    <m/>
    <m/>
    <m/>
    <m/>
    <n v="5650.7260999999999"/>
    <n v="552.01630639999894"/>
    <m/>
    <m/>
    <m/>
    <m/>
    <n v="-12.424139999999959"/>
    <n v="598.15931999999998"/>
    <n v="31"/>
    <n v="523.87582297981589"/>
    <n v="0"/>
    <n v="0"/>
    <n v="0"/>
    <n v="0"/>
    <n v="0"/>
    <n v="0"/>
    <n v="0"/>
    <n v="0"/>
    <n v="0"/>
    <n v="0"/>
    <n v="566.0320279831144"/>
    <n v="0"/>
    <n v="0"/>
    <n v="0"/>
    <n v="37.799464443771882"/>
    <n v="0"/>
    <n v="-67.764864463445292"/>
    <m/>
    <n v="0"/>
    <n v="0"/>
    <n v="0"/>
    <n v="0"/>
    <n v="-9.9548583274797977"/>
    <n v="-2.2359466561447334"/>
    <n v="0"/>
    <n v="61.782617966380926"/>
    <m/>
    <m/>
    <m/>
    <n v="0"/>
    <n v="0"/>
    <n v="0"/>
    <n v="-12.424139999999852"/>
    <n v="598.1593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Não se aplica"/>
    <s v="CATIVO"/>
    <x v="3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54"/>
    <n v="616.3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6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4"/>
    <n v="1.1100000000000001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3"/>
    <n v="0"/>
    <n v="0"/>
    <n v="1.0760000000000001"/>
    <n v="1.0760000000000001"/>
    <n v="1.0760000000000001"/>
    <n v="1.0760000000000001"/>
    <m/>
    <n v="897.25"/>
    <n v="207.07"/>
    <m/>
    <n v="1188.2483200000001"/>
    <n v="1188.2483200000001"/>
    <n v="1191.85292"/>
    <n v="0"/>
    <n v="84.746031320626855"/>
    <n v="0"/>
    <n v="0"/>
    <n v="0"/>
    <n v="214.71274926164421"/>
    <n v="617.29612988050462"/>
    <n v="222.81266796703778"/>
    <n v="0"/>
    <n v="0"/>
    <n v="0"/>
    <n v="0"/>
    <n v="0"/>
    <n v="10.769608293555139"/>
    <m/>
    <n v="2.996606617718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16550923058324"/>
    <n v="0"/>
    <n v="0"/>
    <n v="0"/>
    <n v="0"/>
    <n v="0"/>
    <m/>
    <m/>
    <m/>
    <m/>
    <m/>
    <n v="143.02192000000002"/>
    <m/>
    <m/>
    <m/>
    <n v="257.72921889009609"/>
    <m/>
    <m/>
    <m/>
    <m/>
    <m/>
    <m/>
    <m/>
    <m/>
    <m/>
    <m/>
    <m/>
    <m/>
    <n v="1052.73"/>
    <n v="7.0324399999999514"/>
    <m/>
    <m/>
    <m/>
    <m/>
    <n v="-32.14012000000001"/>
    <n v="35.744720000000001"/>
    <n v="31"/>
    <n v="79.849012744981906"/>
    <n v="0"/>
    <n v="0"/>
    <n v="0"/>
    <n v="0"/>
    <n v="0"/>
    <n v="0"/>
    <n v="0"/>
    <n v="46.17864225512983"/>
    <n v="0"/>
    <n v="0"/>
    <n v="33.824861829936197"/>
    <n v="0"/>
    <n v="0"/>
    <n v="0"/>
    <n v="5.3006299925687657"/>
    <n v="0"/>
    <n v="-4.6545783693218112"/>
    <m/>
    <n v="0"/>
    <n v="0"/>
    <n v="0"/>
    <n v="0"/>
    <n v="-0.59488101523760406"/>
    <n v="-0.20566194809327376"/>
    <n v="0"/>
    <n v="18.830861340780086"/>
    <m/>
    <m/>
    <m/>
    <n v="617.29612988050462"/>
    <n v="0"/>
    <n v="0"/>
    <n v="-32.140120000000024"/>
    <n v="35.744720000000029"/>
    <n v="0"/>
    <n v="0"/>
    <n v="-95.07435640242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3.0000000000000001E-3"/>
    <n v="1.1999999999999999E-3"/>
    <n v="3.0000000000000001E-3"/>
    <n v="1.1999999999999999E-3"/>
    <m/>
    <n v="897.25"/>
    <n v="207.07"/>
    <m/>
    <n v="3.3129599999999999"/>
    <n v="3.3129599999999999"/>
    <n v="3.32301"/>
    <n v="0"/>
    <n v="0.23628075647014921"/>
    <n v="0"/>
    <n v="0"/>
    <n v="0"/>
    <n v="0.59864149422391499"/>
    <n v="1.7210858639791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n v="2.1533100000000003"/>
    <m/>
    <m/>
    <n v="0.71857588909878101"/>
    <m/>
    <m/>
    <m/>
    <m/>
    <m/>
    <m/>
    <m/>
    <m/>
    <m/>
    <m/>
    <m/>
    <m/>
    <n v="0"/>
    <n v="-1.196172"/>
    <m/>
    <m/>
    <m/>
    <m/>
    <n v="-8.9610000000000009E-2"/>
    <n v="9.9659999999999999E-2"/>
    <n v="31"/>
    <n v="0.22262735895441121"/>
    <n v="0"/>
    <n v="0"/>
    <n v="0"/>
    <n v="0"/>
    <n v="0"/>
    <n v="0"/>
    <n v="0"/>
    <n v="0.12875086130612401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5.2502401507751165E-2"/>
    <m/>
    <m/>
    <m/>
    <n v="1.721085863979102"/>
    <n v="0"/>
    <n v="0"/>
    <n v="-8.9609999999999967E-2"/>
    <n v="9.9659999999999971E-2"/>
    <n v="0"/>
    <n v="0"/>
    <n v="-0.2650772018654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Agropecuária rural"/>
    <s v="Não se aplica"/>
    <s v="Não se aplica"/>
    <s v="Ponta"/>
    <s v="CATIVO"/>
    <x v="3"/>
    <n v="0"/>
    <n v="0"/>
    <n v="0.42399999999999999"/>
    <n v="0.40704000000000001"/>
    <n v="0.42399999999999999"/>
    <n v="0.40704000000000001"/>
    <m/>
    <n v="4750.8599999999997"/>
    <n v="207.07"/>
    <m/>
    <n v="2102.1623199999999"/>
    <n v="2102.1623199999999"/>
    <n v="2047.9072799999999"/>
    <n v="0"/>
    <n v="29.053081815569517"/>
    <n v="0"/>
    <n v="0"/>
    <n v="0"/>
    <n v="545.83110420978994"/>
    <n v="1428.6060021466501"/>
    <n v="87.799787377345737"/>
    <n v="0"/>
    <n v="0"/>
    <n v="0"/>
    <n v="0"/>
    <n v="0"/>
    <n v="4.2437861677206117"/>
    <m/>
    <n v="0.7671598013261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2458537127539"/>
    <n v="0"/>
    <n v="0"/>
    <n v="0"/>
    <n v="0"/>
    <n v="0"/>
    <m/>
    <m/>
    <m/>
    <m/>
    <m/>
    <n v="81.91629119999989"/>
    <m/>
    <m/>
    <m/>
    <n v="93.663033231058492"/>
    <m/>
    <m/>
    <m/>
    <m/>
    <m/>
    <m/>
    <m/>
    <m/>
    <m/>
    <m/>
    <m/>
    <m/>
    <n v="1980.2877000000001"/>
    <n v="-37.818127199999708"/>
    <m/>
    <m/>
    <m/>
    <m/>
    <n v="-68.340319999999736"/>
    <n v="14.085279999999999"/>
    <n v="31"/>
    <n v="129.72891343622473"/>
    <n v="0"/>
    <n v="0"/>
    <n v="0"/>
    <n v="0"/>
    <n v="0"/>
    <n v="0"/>
    <n v="0"/>
    <n v="117.39283940848725"/>
    <n v="0"/>
    <n v="0"/>
    <n v="13.328755962725793"/>
    <n v="0"/>
    <n v="0"/>
    <n v="0"/>
    <n v="0.89009068777958866"/>
    <n v="0"/>
    <n v="-1.5957071272076391"/>
    <m/>
    <n v="0"/>
    <n v="0"/>
    <n v="0"/>
    <n v="0"/>
    <n v="-0.23441408035385081"/>
    <n v="-5.2651415206340535E-2"/>
    <n v="0"/>
    <n v="36.046081576134227"/>
    <m/>
    <m/>
    <m/>
    <n v="1428.6060021466501"/>
    <n v="0"/>
    <n v="0"/>
    <n v="-68.340319999999792"/>
    <n v="14.085279999999997"/>
    <n v="0"/>
    <n v="0"/>
    <n v="-220.0302085694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Agropecuária rural"/>
    <s v="Não se aplica"/>
    <s v="Não se aplica"/>
    <s v="Fora ponta"/>
    <s v="CATIVO"/>
    <x v="3"/>
    <n v="0"/>
    <n v="0"/>
    <n v="26.024999999999999"/>
    <n v="24.984000000000002"/>
    <n v="26.024999999999999"/>
    <n v="24.984000000000002"/>
    <m/>
    <n v="94.17"/>
    <n v="207.07"/>
    <m/>
    <n v="7839.7709999999988"/>
    <n v="7839.7709999999988"/>
    <n v="8686.3642499999987"/>
    <n v="0"/>
    <n v="1783.2699392693319"/>
    <n v="0"/>
    <n v="0"/>
    <n v="0"/>
    <n v="0"/>
    <n v="0"/>
    <n v="5389.126100225054"/>
    <n v="0"/>
    <n v="0"/>
    <n v="0"/>
    <n v="0"/>
    <n v="0"/>
    <n v="260.48239390313427"/>
    <m/>
    <n v="47.08805148470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8437109168495"/>
    <n v="0"/>
    <n v="0"/>
    <n v="0"/>
    <n v="0"/>
    <n v="0"/>
    <m/>
    <m/>
    <m/>
    <m/>
    <m/>
    <n v="347.45456999999891"/>
    <m/>
    <m/>
    <m/>
    <n v="5749.0104713167393"/>
    <m/>
    <m/>
    <m/>
    <m/>
    <m/>
    <m/>
    <m/>
    <m/>
    <m/>
    <m/>
    <m/>
    <m/>
    <n v="8337.5745999999999"/>
    <n v="811.36443999999938"/>
    <m/>
    <m/>
    <m/>
    <m/>
    <n v="-17.957249999999942"/>
    <n v="864.55049999999994"/>
    <n v="31"/>
    <n v="757.1847324808241"/>
    <n v="0"/>
    <n v="0"/>
    <n v="0"/>
    <n v="0"/>
    <n v="0"/>
    <n v="0"/>
    <n v="0"/>
    <n v="0"/>
    <n v="0"/>
    <n v="0"/>
    <n v="818.11526870268517"/>
    <n v="0"/>
    <n v="0"/>
    <n v="0"/>
    <n v="54.633514503452318"/>
    <n v="0"/>
    <n v="-97.944051852780376"/>
    <m/>
    <n v="0"/>
    <n v="0"/>
    <n v="0"/>
    <n v="0"/>
    <n v="-14.388269908511745"/>
    <n v="-3.2317289640212579"/>
    <n v="0"/>
    <n v="89.297602608856124"/>
    <m/>
    <m/>
    <m/>
    <n v="0"/>
    <n v="0"/>
    <n v="0"/>
    <n v="-17.957249999999931"/>
    <n v="864.5505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Agropecuária rural"/>
    <s v="Não se aplica"/>
    <s v="Não se aplica"/>
    <s v="Não se aplica"/>
    <s v="CATIVO"/>
    <x v="3"/>
    <n v="230"/>
    <n v="220.8"/>
    <n v="0"/>
    <n v="0"/>
    <n v="0"/>
    <n v="0"/>
    <n v="73.75"/>
    <m/>
    <m/>
    <n v="16962.5"/>
    <m/>
    <n v="16962.5"/>
    <n v="17114.3"/>
    <n v="0"/>
    <n v="0"/>
    <n v="0"/>
    <n v="0"/>
    <n v="0"/>
    <n v="6683.3987680802293"/>
    <n v="10279.073398747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84.57199999999909"/>
    <m/>
    <m/>
    <m/>
    <n v="0"/>
    <m/>
    <m/>
    <m/>
    <m/>
    <m/>
    <m/>
    <m/>
    <m/>
    <m/>
    <m/>
    <m/>
    <m/>
    <n v="16429.727999999999"/>
    <n v="145.6979999999985"/>
    <m/>
    <m/>
    <m/>
    <m/>
    <n v="151.79999999999922"/>
    <n v="0"/>
    <n v="31"/>
    <n v="1437.4101296772942"/>
    <n v="0"/>
    <n v="0"/>
    <n v="0"/>
    <n v="0"/>
    <m/>
    <m/>
    <m/>
    <n v="1437.4101296772942"/>
    <n v="0"/>
    <n v="0"/>
    <m/>
    <m/>
    <n v="0"/>
    <n v="0"/>
    <n v="0"/>
    <n v="0"/>
    <n v="0"/>
    <m/>
    <n v="0"/>
    <n v="0"/>
    <m/>
    <n v="0"/>
    <n v="0"/>
    <n v="0"/>
    <n v="0"/>
    <n v="297.17481933561311"/>
    <m/>
    <m/>
    <n v="10279.073398747036"/>
    <m/>
    <n v="0"/>
    <n v="0"/>
    <n v="151.79999999999927"/>
    <m/>
    <n v="0"/>
    <m/>
    <n v="-1583.156349916425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76"/>
    <s v="Regular"/>
    <s v="Verde"/>
    <s v="A4"/>
    <s v="Rural"/>
    <s v="Agropecuária rural"/>
    <s v="IRRIG./AQUIC. PR"/>
    <s v="Não se aplica"/>
    <s v="Fora ponta"/>
    <s v="CATIVO"/>
    <x v="3"/>
    <n v="0"/>
    <n v="0"/>
    <n v="13.784000000000001"/>
    <n v="4.1352000000000002"/>
    <n v="13.784000000000001"/>
    <n v="4.1352000000000002"/>
    <m/>
    <n v="94.17"/>
    <n v="207.07"/>
    <m/>
    <n v="4152.29216"/>
    <n v="4152.29216"/>
    <n v="4600.6856800000005"/>
    <n v="0"/>
    <n v="944.4992446835148"/>
    <n v="0"/>
    <n v="0"/>
    <n v="0"/>
    <n v="0"/>
    <n v="0"/>
    <n v="2854.321389644655"/>
    <n v="0"/>
    <n v="0"/>
    <n v="0"/>
    <n v="0"/>
    <n v="0"/>
    <n v="137.96308616948329"/>
    <m/>
    <n v="24.93993089971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61080388579387"/>
    <n v="0"/>
    <n v="0"/>
    <n v="0"/>
    <n v="0"/>
    <n v="0"/>
    <m/>
    <m/>
    <m/>
    <m/>
    <m/>
    <m/>
    <n v="3220.4799760000005"/>
    <m/>
    <m/>
    <n v="3044.9321935304488"/>
    <m/>
    <m/>
    <m/>
    <m/>
    <m/>
    <m/>
    <m/>
    <m/>
    <m/>
    <m/>
    <m/>
    <m/>
    <n v="1381.8078"/>
    <n v="136.09015199999999"/>
    <m/>
    <m/>
    <m/>
    <m/>
    <n v="-9.5109599999999688"/>
    <n v="457.90448000000004"/>
    <n v="31"/>
    <n v="401.03878395833635"/>
    <n v="0"/>
    <n v="0"/>
    <n v="0"/>
    <n v="0"/>
    <n v="0"/>
    <n v="0"/>
    <n v="0"/>
    <n v="0"/>
    <n v="0"/>
    <n v="0"/>
    <n v="433.31031176936858"/>
    <n v="0"/>
    <n v="0"/>
    <n v="0"/>
    <n v="28.936344434796837"/>
    <n v="0"/>
    <n v="-51.875535475071047"/>
    <m/>
    <n v="0"/>
    <n v="0"/>
    <n v="0"/>
    <n v="0"/>
    <n v="-7.620669065088407"/>
    <n v="-1.7116677056702798"/>
    <n v="0"/>
    <n v="47.295990561401467"/>
    <m/>
    <m/>
    <m/>
    <n v="0"/>
    <n v="0"/>
    <n v="0"/>
    <n v="-9.5109600000000682"/>
    <n v="457.9044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93700000000001"/>
    <n v="722.93700000000001"/>
    <n v="722.93700000000001"/>
    <n v="722.93700000000001"/>
    <m/>
    <n v="897.25"/>
    <n v="207.07"/>
    <m/>
    <n v="798353.78784"/>
    <n v="798353.78784"/>
    <n v="800775.62678999989"/>
    <n v="0"/>
    <n v="56938.700413420091"/>
    <n v="0"/>
    <n v="0"/>
    <n v="0"/>
    <n v="144260.02863658482"/>
    <n v="414745.55041581998"/>
    <n v="149702.1577528684"/>
    <n v="0"/>
    <n v="0"/>
    <n v="0"/>
    <n v="0"/>
    <n v="0"/>
    <n v="7235.8255677675379"/>
    <m/>
    <n v="2013.343678804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59.54142626674"/>
    <n v="0"/>
    <n v="1223.99"/>
    <n v="5677.23"/>
    <n v="0"/>
    <n v="6232"/>
    <m/>
    <m/>
    <m/>
    <m/>
    <m/>
    <m/>
    <m/>
    <m/>
    <m/>
    <n v="173161.69917913515"/>
    <m/>
    <m/>
    <m/>
    <m/>
    <m/>
    <m/>
    <m/>
    <m/>
    <m/>
    <m/>
    <m/>
    <m/>
    <n v="800778.94980000006"/>
    <n v="2425.1319600000279"/>
    <m/>
    <m/>
    <m/>
    <m/>
    <n v="-21594.128190000003"/>
    <n v="24015.967140000001"/>
    <n v="31"/>
    <n v="53648.518333474989"/>
    <n v="0"/>
    <n v="0"/>
    <n v="0"/>
    <n v="0"/>
    <n v="0"/>
    <n v="0"/>
    <n v="0"/>
    <n v="31026.253806688474"/>
    <n v="0"/>
    <n v="0"/>
    <n v="22726.063324115763"/>
    <n v="0"/>
    <n v="0"/>
    <n v="0"/>
    <n v="3561.3583131391133"/>
    <n v="0"/>
    <n v="-3127.2926789799385"/>
    <m/>
    <n v="0"/>
    <n v="0"/>
    <n v="0"/>
    <n v="0"/>
    <n v="-399.68540568106619"/>
    <n v="-138.17902580734858"/>
    <n v="0"/>
    <n v="12651.976212936366"/>
    <m/>
    <m/>
    <m/>
    <n v="414745.55041581998"/>
    <n v="0"/>
    <n v="0"/>
    <n v="-21594.128190000076"/>
    <n v="24015.967139999993"/>
    <n v="0"/>
    <n v="0"/>
    <n v="-63878.0390283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43"/>
    <n v="-0.443"/>
    <n v="-0.443"/>
    <n v="-0.443"/>
    <m/>
    <n v="897.25"/>
    <n v="207.07"/>
    <m/>
    <n v="-489.21375999999998"/>
    <n v="-489.21375999999998"/>
    <n v="-490.69781"/>
    <n v="0"/>
    <n v="-34.890791705425364"/>
    <n v="0"/>
    <n v="0"/>
    <n v="0"/>
    <n v="-88.399393980398116"/>
    <n v="-254.14701258091404"/>
    <n v="-91.734211811707937"/>
    <n v="0"/>
    <n v="0"/>
    <n v="0"/>
    <n v="0"/>
    <n v="0"/>
    <n v="-4.4339558308967719"/>
    <m/>
    <n v="-1.233733021979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375494478545386"/>
    <n v="0"/>
    <n v="0"/>
    <n v="0"/>
    <n v="0"/>
    <n v="0"/>
    <m/>
    <m/>
    <m/>
    <m/>
    <m/>
    <m/>
    <m/>
    <m/>
    <m/>
    <n v="-106.10970629025333"/>
    <m/>
    <m/>
    <m/>
    <m/>
    <m/>
    <m/>
    <m/>
    <m/>
    <m/>
    <m/>
    <m/>
    <m/>
    <n v="-487.37479999999999"/>
    <n v="1.8089600000000132"/>
    <m/>
    <m/>
    <m/>
    <m/>
    <n v="13.232410000000002"/>
    <n v="-14.71646"/>
    <n v="31"/>
    <n v="-32.874640005601378"/>
    <n v="0"/>
    <n v="0"/>
    <n v="0"/>
    <n v="0"/>
    <n v="0"/>
    <n v="0"/>
    <n v="0"/>
    <n v="-19.012210519537646"/>
    <n v="0"/>
    <n v="0"/>
    <n v="-13.926035121432832"/>
    <n v="0"/>
    <n v="0"/>
    <n v="0"/>
    <n v="-2.1823225712899283"/>
    <n v="0"/>
    <n v="1.9163366334661376"/>
    <m/>
    <n v="0"/>
    <n v="0"/>
    <n v="0"/>
    <n v="0"/>
    <n v="0.24491848489800994"/>
    <n v="8.4673088294907384E-2"/>
    <n v="0"/>
    <n v="-7.7528546226445885"/>
    <m/>
    <m/>
    <m/>
    <n v="-254.14701258091404"/>
    <n v="0"/>
    <n v="0"/>
    <n v="13.232409999999959"/>
    <n v="-14.716459999999998"/>
    <n v="0"/>
    <n v="0"/>
    <n v="39.1430668088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3440000000000003"/>
    <n v="4.3440000000000003"/>
    <n v="4.3440000000000003"/>
    <n v="4.3440000000000003"/>
    <m/>
    <n v="897.25"/>
    <n v="207.07"/>
    <m/>
    <n v="4797.1660800000009"/>
    <n v="4797.1660800000009"/>
    <n v="4811.7184800000005"/>
    <n v="0"/>
    <n v="342.13453536877608"/>
    <n v="0"/>
    <n v="0"/>
    <n v="0"/>
    <n v="866.83288363622898"/>
    <n v="2492.1323310417397"/>
    <n v="899.53367067733473"/>
    <n v="0"/>
    <n v="0"/>
    <n v="0"/>
    <n v="0"/>
    <n v="0"/>
    <n v="43.478790359854578"/>
    <m/>
    <n v="12.09782448640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96421673770013"/>
    <n v="0"/>
    <n v="11.6"/>
    <n v="53.62"/>
    <n v="0"/>
    <n v="44"/>
    <m/>
    <m/>
    <m/>
    <m/>
    <m/>
    <m/>
    <m/>
    <m/>
    <m/>
    <n v="1040.4978874150349"/>
    <m/>
    <m/>
    <m/>
    <m/>
    <m/>
    <m/>
    <m/>
    <m/>
    <m/>
    <m/>
    <m/>
    <m/>
    <n v="4807.2878000000001"/>
    <n v="10.091719999998531"/>
    <m/>
    <m/>
    <m/>
    <m/>
    <n v="-129.75528000000003"/>
    <n v="144.30768"/>
    <n v="31"/>
    <n v="322.36441576598736"/>
    <n v="0"/>
    <n v="0"/>
    <n v="0"/>
    <n v="0"/>
    <n v="0"/>
    <n v="0"/>
    <n v="0"/>
    <n v="186.4312471712675"/>
    <n v="0"/>
    <n v="0"/>
    <n v="136.556877127549"/>
    <n v="0"/>
    <n v="0"/>
    <n v="0"/>
    <n v="21.399569412378014"/>
    <n v="0"/>
    <n v="-18.791346130421914"/>
    <m/>
    <n v="0"/>
    <n v="0"/>
    <n v="0"/>
    <n v="0"/>
    <n v="-2.4016385968328535"/>
    <n v="-0.83029321795276978"/>
    <n v="0"/>
    <n v="76.023477383223693"/>
    <m/>
    <m/>
    <m/>
    <n v="2492.1323310417397"/>
    <n v="0"/>
    <n v="0"/>
    <n v="-129.75528000000031"/>
    <n v="144.30768"/>
    <n v="0"/>
    <n v="0"/>
    <n v="-383.8317883012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31"/>
    <n v="2.31"/>
    <n v="2.31"/>
    <n v="2.31"/>
    <m/>
    <n v="808.48"/>
    <n v="207.07"/>
    <m/>
    <n v="2345.9205000000002"/>
    <n v="2345.9205000000002"/>
    <n v="2361.3281999999999"/>
    <n v="0"/>
    <n v="0"/>
    <n v="0"/>
    <n v="0"/>
    <n v="0"/>
    <n v="460.9539505524146"/>
    <n v="1325.2361152639085"/>
    <n v="478.34318123035064"/>
    <n v="0"/>
    <n v="0"/>
    <n v="0"/>
    <n v="0"/>
    <n v="0"/>
    <n v="0"/>
    <m/>
    <n v="6.433235396775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0253375710707"/>
    <n v="0"/>
    <n v="2.31"/>
    <n v="11"/>
    <n v="0"/>
    <n v="5"/>
    <m/>
    <m/>
    <m/>
    <m/>
    <m/>
    <m/>
    <m/>
    <n v="1534.8563999999999"/>
    <m/>
    <n v="553.30343460606139"/>
    <m/>
    <m/>
    <m/>
    <m/>
    <m/>
    <m/>
    <m/>
    <m/>
    <m/>
    <m/>
    <m/>
    <m/>
    <n v="826.47180000000003"/>
    <n v="5.3522999999999001"/>
    <m/>
    <m/>
    <m/>
    <m/>
    <n v="-61.330500000000157"/>
    <n v="76.738200000000006"/>
    <n v="31"/>
    <n v="182.69281656063265"/>
    <n v="0"/>
    <n v="0"/>
    <n v="0"/>
    <n v="0"/>
    <n v="0"/>
    <n v="0"/>
    <n v="0"/>
    <n v="99.138163205715443"/>
    <n v="0"/>
    <n v="0"/>
    <n v="72.616571400699399"/>
    <n v="0"/>
    <n v="0"/>
    <n v="0"/>
    <n v="11.3796052814441"/>
    <n v="0"/>
    <n v="0"/>
    <m/>
    <n v="0"/>
    <n v="0"/>
    <n v="0"/>
    <n v="0"/>
    <n v="0"/>
    <n v="-0.44152332722626664"/>
    <n v="0"/>
    <n v="36.834346850467597"/>
    <m/>
    <m/>
    <m/>
    <n v="1325.2361152639085"/>
    <n v="0"/>
    <n v="0"/>
    <n v="-61.330500000000029"/>
    <n v="76.738199999999949"/>
    <n v="0"/>
    <n v="0"/>
    <n v="-204.1094454364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375"/>
    <n v="4.375"/>
    <n v="4.375"/>
    <n v="4.375"/>
    <m/>
    <n v="808.48"/>
    <n v="207.07"/>
    <m/>
    <n v="4443.03125"/>
    <n v="4443.03125"/>
    <n v="4472.2124999999996"/>
    <n v="0"/>
    <n v="0"/>
    <n v="0"/>
    <n v="0"/>
    <n v="0"/>
    <n v="873.01884574320945"/>
    <n v="2509.9168849695234"/>
    <n v="905.95299475445188"/>
    <n v="0"/>
    <n v="0"/>
    <n v="0"/>
    <n v="0"/>
    <n v="0"/>
    <n v="0"/>
    <m/>
    <n v="12.184157948438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97017684793693"/>
    <n v="0"/>
    <n v="7.24"/>
    <n v="33.619999999999997"/>
    <n v="0"/>
    <n v="31"/>
    <m/>
    <m/>
    <m/>
    <m/>
    <m/>
    <m/>
    <m/>
    <n v="1788.8499999999995"/>
    <m/>
    <n v="1047.9231716023887"/>
    <m/>
    <m/>
    <m/>
    <m/>
    <m/>
    <m/>
    <m/>
    <m/>
    <m/>
    <m/>
    <m/>
    <m/>
    <n v="2686.4292"/>
    <n v="20.580449999999928"/>
    <m/>
    <m/>
    <m/>
    <m/>
    <n v="-116.1562500000003"/>
    <n v="145.33750000000001"/>
    <n v="31"/>
    <n v="346.00912227392587"/>
    <n v="0"/>
    <n v="0"/>
    <n v="0"/>
    <n v="0"/>
    <n v="0"/>
    <n v="0"/>
    <n v="0"/>
    <n v="187.76167273809745"/>
    <n v="0"/>
    <n v="0"/>
    <n v="137.53138522859751"/>
    <n v="0"/>
    <n v="0"/>
    <n v="0"/>
    <n v="21.552282730007761"/>
    <n v="0"/>
    <n v="0"/>
    <m/>
    <n v="0"/>
    <n v="0"/>
    <n v="0"/>
    <n v="0"/>
    <n v="0"/>
    <n v="-0.8362184227770193"/>
    <n v="0"/>
    <n v="69.762020550128028"/>
    <m/>
    <m/>
    <m/>
    <n v="2509.9168849695234"/>
    <n v="0"/>
    <n v="0"/>
    <n v="-116.15625"/>
    <n v="145.33749999999998"/>
    <n v="0"/>
    <n v="0"/>
    <n v="-386.570919387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5640000000000001"/>
    <n v="1.5640000000000001"/>
    <n v="1.5640000000000001"/>
    <n v="1.5640000000000001"/>
    <m/>
    <n v="808.48"/>
    <n v="207.07"/>
    <m/>
    <n v="1588.3202000000001"/>
    <n v="1588.3202000000001"/>
    <n v="1598.75208"/>
    <n v="0"/>
    <n v="0"/>
    <n v="0"/>
    <n v="0"/>
    <n v="0"/>
    <n v="312.09176565540105"/>
    <n v="897.25943042110509"/>
    <n v="323.86525343907721"/>
    <n v="0"/>
    <n v="0"/>
    <n v="0"/>
    <n v="0"/>
    <n v="0"/>
    <n v="0"/>
    <m/>
    <n v="4.355662407167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52310077753918"/>
    <n v="0"/>
    <n v="3.84"/>
    <n v="18.02"/>
    <n v="0"/>
    <n v="39"/>
    <m/>
    <m/>
    <m/>
    <m/>
    <m/>
    <m/>
    <m/>
    <n v="159.87207999999993"/>
    <m/>
    <n v="374.61756351683113"/>
    <m/>
    <m/>
    <m/>
    <m/>
    <m/>
    <m/>
    <m/>
    <m/>
    <m/>
    <m/>
    <m/>
    <m/>
    <n v="1435.1999999999998"/>
    <n v="5.6739999999997508"/>
    <m/>
    <m/>
    <m/>
    <m/>
    <n v="-41.524200000000107"/>
    <n v="51.95608"/>
    <n v="31"/>
    <n v="123.69331822546746"/>
    <n v="0"/>
    <n v="0"/>
    <n v="0"/>
    <n v="0"/>
    <n v="0"/>
    <n v="0"/>
    <n v="0"/>
    <n v="67.122115694259321"/>
    <n v="0"/>
    <n v="0"/>
    <n v="49.165505485148913"/>
    <n v="0"/>
    <n v="0"/>
    <n v="0"/>
    <n v="7.7046331862244841"/>
    <n v="0"/>
    <n v="0"/>
    <m/>
    <n v="0"/>
    <n v="0"/>
    <n v="0"/>
    <n v="0"/>
    <n v="0"/>
    <n v="-0.29893614016531611"/>
    <n v="0"/>
    <n v="24.938925746377198"/>
    <m/>
    <m/>
    <m/>
    <n v="897.25943042110509"/>
    <n v="0"/>
    <n v="0"/>
    <n v="-41.524200000000064"/>
    <n v="51.956079999999986"/>
    <n v="0"/>
    <n v="0"/>
    <n v="-138.1935812392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6.2E-2"/>
    <n v="6.2E-2"/>
    <n v="6.2E-2"/>
    <n v="6.2E-2"/>
    <m/>
    <n v="808.48"/>
    <n v="207.07"/>
    <m/>
    <n v="62.964100000000002"/>
    <n v="62.964100000000002"/>
    <n v="63.377639999999992"/>
    <n v="0"/>
    <n v="0"/>
    <n v="0"/>
    <n v="0"/>
    <n v="0"/>
    <n v="12.371924213960911"/>
    <n v="35.569107855568106"/>
    <n v="12.838648154234519"/>
    <n v="0"/>
    <n v="0"/>
    <n v="0"/>
    <n v="0"/>
    <n v="0"/>
    <n v="0"/>
    <m/>
    <n v="0.17266692406930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9202204736206"/>
    <n v="0"/>
    <n v="0"/>
    <n v="0"/>
    <n v="0"/>
    <n v="2"/>
    <m/>
    <m/>
    <m/>
    <m/>
    <m/>
    <m/>
    <m/>
    <m/>
    <m/>
    <n v="14.850568374708139"/>
    <m/>
    <m/>
    <m/>
    <m/>
    <m/>
    <m/>
    <m/>
    <m/>
    <m/>
    <m/>
    <m/>
    <m/>
    <n v="61.333199999999998"/>
    <n v="-1.660899999999998"/>
    <m/>
    <m/>
    <m/>
    <m/>
    <n v="-1.6461000000000041"/>
    <n v="2.0596399999999999"/>
    <n v="31"/>
    <n v="4.9034435613676344"/>
    <n v="0"/>
    <n v="0"/>
    <n v="0"/>
    <n v="0"/>
    <n v="0"/>
    <n v="0"/>
    <n v="0"/>
    <n v="2.6608511336598948"/>
    <n v="0"/>
    <n v="0"/>
    <n v="1.9490162020966935"/>
    <n v="0"/>
    <n v="0"/>
    <n v="0"/>
    <n v="0.3054266352595385"/>
    <n v="0"/>
    <n v="0"/>
    <m/>
    <n v="0"/>
    <n v="0"/>
    <n v="0"/>
    <n v="0"/>
    <n v="0"/>
    <n v="-1.1850409648497179E-2"/>
    <n v="0"/>
    <n v="0.98862749122467142"/>
    <m/>
    <m/>
    <m/>
    <n v="35.569107855568106"/>
    <n v="0"/>
    <n v="0"/>
    <n v="-1.6461000000000041"/>
    <n v="2.0596399999999999"/>
    <n v="0"/>
    <n v="0"/>
    <n v="-5.47826217188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Fora ponta"/>
    <s v="CATIVO"/>
    <x v="4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1.9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4"/>
    <n v="0"/>
    <n v="0"/>
    <n v="4.8650000000000002"/>
    <n v="4.8650000000000002"/>
    <n v="4.8650000000000002"/>
    <n v="4.8650000000000002"/>
    <m/>
    <n v="897.25"/>
    <n v="207.07"/>
    <m/>
    <n v="5372.5168000000003"/>
    <n v="5372.5168000000003"/>
    <n v="5388.814550000001"/>
    <n v="0"/>
    <n v="383.16862674242532"/>
    <n v="0"/>
    <n v="0"/>
    <n v="0"/>
    <n v="970.79695646644893"/>
    <n v="2791.0275760861105"/>
    <n v="1007.4197301669506"/>
    <n v="0"/>
    <n v="0"/>
    <n v="0"/>
    <n v="0"/>
    <n v="0"/>
    <n v="48.693442702737684"/>
    <m/>
    <n v="13.548783638663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87083665490587"/>
    <n v="0"/>
    <n v="0"/>
    <n v="0"/>
    <n v="0"/>
    <n v="9"/>
    <m/>
    <m/>
    <m/>
    <m/>
    <m/>
    <m/>
    <m/>
    <m/>
    <m/>
    <n v="1165.2905668218564"/>
    <m/>
    <m/>
    <m/>
    <m/>
    <m/>
    <m/>
    <m/>
    <m/>
    <m/>
    <m/>
    <m/>
    <m/>
    <n v="5394.3528999999999"/>
    <n v="21.806099999998878"/>
    <m/>
    <m/>
    <m/>
    <m/>
    <n v="-145.31755000000004"/>
    <n v="161.61529999999999"/>
    <n v="31"/>
    <n v="361.02736710440331"/>
    <n v="0"/>
    <n v="0"/>
    <n v="0"/>
    <n v="0"/>
    <n v="0"/>
    <n v="0"/>
    <n v="0"/>
    <n v="208.79098008476433"/>
    <n v="0"/>
    <n v="0"/>
    <n v="152.93490037420042"/>
    <n v="0"/>
    <n v="0"/>
    <n v="0"/>
    <n v="23.966138395768638"/>
    <n v="0"/>
    <n v="-21.045096437500604"/>
    <m/>
    <n v="0"/>
    <n v="0"/>
    <n v="0"/>
    <n v="0"/>
    <n v="-2.6896804267016137"/>
    <n v="-0.92987488612804547"/>
    <n v="0"/>
    <n v="85.141394445069807"/>
    <m/>
    <m/>
    <m/>
    <n v="2791.0275760861105"/>
    <n v="0"/>
    <n v="0"/>
    <n v="-145.31754999999976"/>
    <n v="161.61530000000016"/>
    <n v="0"/>
    <n v="0"/>
    <n v="-429.866862358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13200000000000001"/>
    <n v="0.13200000000000001"/>
    <n v="0.13200000000000001"/>
    <n v="0.13200000000000001"/>
    <m/>
    <n v="897.25"/>
    <n v="207.07"/>
    <m/>
    <n v="145.77024"/>
    <n v="145.77024"/>
    <n v="146.21244000000002"/>
    <n v="0"/>
    <n v="10.396353284686565"/>
    <n v="0"/>
    <n v="0"/>
    <n v="0"/>
    <n v="26.340225745852262"/>
    <n v="75.727778015080489"/>
    <n v="27.333896070305752"/>
    <n v="0"/>
    <n v="0"/>
    <n v="0"/>
    <n v="0"/>
    <n v="0"/>
    <n v="1.321178712592266"/>
    <m/>
    <n v="0.36761345124432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34430500406118"/>
    <n v="0"/>
    <n v="0"/>
    <n v="0"/>
    <n v="0"/>
    <n v="1"/>
    <m/>
    <m/>
    <m/>
    <m/>
    <m/>
    <m/>
    <m/>
    <m/>
    <m/>
    <n v="31.617339120346365"/>
    <m/>
    <m/>
    <m/>
    <m/>
    <m/>
    <m/>
    <m/>
    <m/>
    <m/>
    <m/>
    <m/>
    <m/>
    <n v="143.99709999999999"/>
    <n v="-1.8031400000000133"/>
    <m/>
    <m/>
    <m/>
    <m/>
    <n v="-3.9428400000000008"/>
    <n v="4.38504"/>
    <n v="31"/>
    <n v="9.7956037939940757"/>
    <n v="0"/>
    <n v="0"/>
    <n v="0"/>
    <n v="0"/>
    <n v="0"/>
    <n v="0"/>
    <n v="0"/>
    <n v="5.6650378974694569"/>
    <n v="0"/>
    <n v="0"/>
    <n v="4.149518365754254"/>
    <n v="0"/>
    <n v="0"/>
    <n v="0"/>
    <n v="0.65026315893966302"/>
    <n v="0"/>
    <n v="-0.57100775534431136"/>
    <m/>
    <n v="0"/>
    <n v="0"/>
    <n v="0"/>
    <n v="0"/>
    <n v="-7.2977968412047955E-2"/>
    <n v="-2.5229904412929549E-2"/>
    <n v="0"/>
    <n v="2.3101056663410513"/>
    <m/>
    <m/>
    <m/>
    <n v="75.727778015080489"/>
    <n v="0"/>
    <n v="0"/>
    <n v="-3.9428400000000039"/>
    <n v="4.38504"/>
    <n v="0"/>
    <n v="0"/>
    <n v="-11.6633968820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4"/>
    <n v="0"/>
    <n v="0"/>
    <n v="1.133"/>
    <n v="1.133"/>
    <n v="1.133"/>
    <n v="1.133"/>
    <m/>
    <n v="4750.8599999999997"/>
    <n v="207.07"/>
    <m/>
    <n v="5617.3346899999997"/>
    <n v="5617.3346899999997"/>
    <n v="5472.3560100000004"/>
    <n v="0"/>
    <n v="77.634768153396848"/>
    <n v="0"/>
    <n v="0"/>
    <n v="0"/>
    <n v="1458.5533987492738"/>
    <n v="3817.477831207912"/>
    <n v="234.61594127012435"/>
    <n v="0"/>
    <n v="0"/>
    <n v="0"/>
    <n v="0"/>
    <n v="0"/>
    <n v="11.340117283083616"/>
    <m/>
    <n v="2.0499812615626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67588566642808"/>
    <n v="0"/>
    <n v="0"/>
    <n v="0"/>
    <n v="0"/>
    <n v="0"/>
    <m/>
    <m/>
    <m/>
    <m/>
    <m/>
    <m/>
    <m/>
    <m/>
    <m/>
    <n v="250.28352983676717"/>
    <m/>
    <m/>
    <m/>
    <m/>
    <m/>
    <m/>
    <m/>
    <m/>
    <m/>
    <m/>
    <m/>
    <m/>
    <n v="5457.8660999999993"/>
    <n v="-159.49859000000106"/>
    <m/>
    <m/>
    <m/>
    <m/>
    <n v="-182.61693999999929"/>
    <n v="37.638260000000002"/>
    <n v="31"/>
    <n v="346.65768613972295"/>
    <n v="0"/>
    <n v="0"/>
    <n v="0"/>
    <n v="0"/>
    <n v="0"/>
    <n v="0"/>
    <n v="0"/>
    <n v="313.69360153258481"/>
    <n v="0"/>
    <n v="0"/>
    <n v="35.61669930605737"/>
    <n v="0"/>
    <n v="0"/>
    <n v="0"/>
    <n v="2.3784734652223438"/>
    <n v="0"/>
    <n v="-4.264000413033628"/>
    <m/>
    <n v="0"/>
    <n v="0"/>
    <n v="0"/>
    <n v="0"/>
    <n v="-0.6263942288700779"/>
    <n v="-0.14069352223769793"/>
    <n v="0"/>
    <n v="96.321251004151136"/>
    <m/>
    <m/>
    <m/>
    <n v="3817.477831207912"/>
    <n v="0"/>
    <n v="0"/>
    <n v="-182.61693999999898"/>
    <n v="37.638259999999974"/>
    <n v="0"/>
    <n v="0"/>
    <n v="-587.9580809179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4"/>
    <n v="0"/>
    <n v="0"/>
    <n v="40.93"/>
    <n v="40.93"/>
    <n v="40.93"/>
    <n v="40.93"/>
    <m/>
    <n v="94.17"/>
    <n v="207.07"/>
    <m/>
    <n v="12329.753199999999"/>
    <n v="12329.753199999999"/>
    <n v="13661.206099999999"/>
    <n v="0"/>
    <n v="2804.5816950737271"/>
    <n v="0"/>
    <n v="0"/>
    <n v="0"/>
    <n v="0"/>
    <n v="0"/>
    <n v="8475.5785314970781"/>
    <n v="0"/>
    <n v="0"/>
    <n v="0"/>
    <n v="0"/>
    <n v="0"/>
    <n v="409.66549020001094"/>
    <m/>
    <n v="74.05625157613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99682262373346"/>
    <n v="0"/>
    <n v="0"/>
    <n v="0"/>
    <n v="0"/>
    <n v="0"/>
    <m/>
    <m/>
    <m/>
    <m/>
    <m/>
    <m/>
    <m/>
    <m/>
    <m/>
    <n v="9041.5753541208123"/>
    <m/>
    <m/>
    <m/>
    <m/>
    <m/>
    <m/>
    <m/>
    <m/>
    <m/>
    <m/>
    <m/>
    <m/>
    <n v="13661.206099999999"/>
    <n v="1331.4228999999996"/>
    <m/>
    <m/>
    <m/>
    <m/>
    <n v="-28.241699999999906"/>
    <n v="1359.6946"/>
    <n v="31"/>
    <n v="1190.8384668757008"/>
    <n v="0"/>
    <n v="0"/>
    <n v="0"/>
    <n v="0"/>
    <n v="0"/>
    <n v="0"/>
    <n v="0"/>
    <n v="0"/>
    <n v="0"/>
    <n v="0"/>
    <n v="1286.6650508357707"/>
    <n v="0"/>
    <n v="0"/>
    <n v="0"/>
    <n v="85.923141157590976"/>
    <n v="0"/>
    <n v="-154.03842621841659"/>
    <m/>
    <n v="0"/>
    <n v="0"/>
    <n v="0"/>
    <n v="0"/>
    <n v="-22.628698841705443"/>
    <n v="-5.0826000575366095"/>
    <n v="0"/>
    <n v="140.43999518849114"/>
    <m/>
    <m/>
    <m/>
    <n v="0"/>
    <n v="0"/>
    <n v="0"/>
    <n v="-28.241699999999582"/>
    <n v="1359.6946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4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4"/>
    <n v="0"/>
    <n v="0"/>
    <n v="92.972999999999999"/>
    <n v="92.972999999999999"/>
    <n v="92.972999999999999"/>
    <n v="92.972999999999999"/>
    <m/>
    <n v="897.25"/>
    <n v="207.07"/>
    <m/>
    <n v="102671.94336"/>
    <n v="102671.94336"/>
    <n v="102983.40291"/>
    <n v="0"/>
    <n v="7322.5769237663944"/>
    <n v="0"/>
    <n v="0"/>
    <n v="0"/>
    <n v="18552.498547493349"/>
    <n v="53338.172010576345"/>
    <n v="19252.38120715558"/>
    <n v="0"/>
    <n v="0"/>
    <n v="0"/>
    <n v="0"/>
    <n v="0"/>
    <n v="930.56021549879347"/>
    <m/>
    <n v="258.92519244347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7.0041719047408"/>
    <n v="0"/>
    <n v="130.94"/>
    <n v="605.34"/>
    <n v="0"/>
    <n v="234"/>
    <m/>
    <m/>
    <m/>
    <m/>
    <m/>
    <m/>
    <m/>
    <m/>
    <m/>
    <n v="22269.385379060321"/>
    <m/>
    <m/>
    <m/>
    <m/>
    <m/>
    <m/>
    <m/>
    <m/>
    <m/>
    <m/>
    <m/>
    <m/>
    <n v="102980.0799"/>
    <n v="308.10654000000795"/>
    <m/>
    <m/>
    <m/>
    <m/>
    <n v="-2777.1035100000004"/>
    <n v="3088.56306"/>
    <n v="31"/>
    <n v="6899.4444813561495"/>
    <n v="0"/>
    <n v="0"/>
    <n v="0"/>
    <n v="0"/>
    <n v="0"/>
    <n v="0"/>
    <n v="0"/>
    <n v="3990.1179427380885"/>
    <n v="0"/>
    <n v="0"/>
    <n v="2922.6755380247741"/>
    <n v="0"/>
    <n v="0"/>
    <n v="0"/>
    <n v="458.00694451588834"/>
    <n v="0"/>
    <n v="-402.18412149717278"/>
    <m/>
    <n v="0"/>
    <n v="0"/>
    <n v="0"/>
    <n v="0"/>
    <n v="-51.401368614949433"/>
    <n v="-17.770453810479495"/>
    <n v="0"/>
    <n v="1627.101925126716"/>
    <m/>
    <m/>
    <m/>
    <n v="53338.172010576345"/>
    <n v="0"/>
    <n v="0"/>
    <n v="-2777.1035100000008"/>
    <n v="3088.5630600000004"/>
    <n v="0"/>
    <n v="0"/>
    <n v="-8215.007563013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66"/>
    <n v="0.66"/>
    <n v="0.66"/>
    <n v="0.66"/>
    <m/>
    <n v="897.25"/>
    <n v="207.07"/>
    <m/>
    <n v="728.85120000000006"/>
    <n v="728.85120000000006"/>
    <n v="731.06220000000008"/>
    <n v="0"/>
    <n v="51.98176642343283"/>
    <n v="0"/>
    <n v="0"/>
    <n v="0"/>
    <n v="131.70112872926131"/>
    <n v="378.63889007540246"/>
    <n v="136.66948035152876"/>
    <n v="0"/>
    <n v="0"/>
    <n v="0"/>
    <n v="0"/>
    <n v="0"/>
    <n v="6.60589356296133"/>
    <m/>
    <n v="1.83806725622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17215250203061"/>
    <n v="0"/>
    <n v="14.43"/>
    <n v="66.67"/>
    <n v="0"/>
    <n v="6"/>
    <m/>
    <m/>
    <m/>
    <m/>
    <m/>
    <m/>
    <m/>
    <m/>
    <m/>
    <n v="158.08669560173183"/>
    <m/>
    <m/>
    <m/>
    <m/>
    <m/>
    <m/>
    <m/>
    <m/>
    <m/>
    <m/>
    <m/>
    <m/>
    <n v="731.06220000000008"/>
    <n v="2.18100000000004"/>
    <m/>
    <m/>
    <m/>
    <m/>
    <n v="-19.714200000000005"/>
    <n v="21.9252"/>
    <n v="31"/>
    <n v="48.978018969970321"/>
    <n v="0"/>
    <n v="0"/>
    <n v="0"/>
    <n v="0"/>
    <n v="0"/>
    <n v="0"/>
    <n v="0"/>
    <n v="28.325189487347274"/>
    <n v="0"/>
    <n v="0"/>
    <n v="20.747591828771277"/>
    <n v="0"/>
    <n v="0"/>
    <n v="0"/>
    <n v="3.2513157946983107"/>
    <n v="0"/>
    <n v="-2.8550387767215639"/>
    <m/>
    <n v="0"/>
    <n v="0"/>
    <n v="0"/>
    <n v="0"/>
    <n v="-0.36488984206023911"/>
    <n v="-0.12614952206464758"/>
    <n v="0"/>
    <n v="11.550528331705255"/>
    <m/>
    <m/>
    <m/>
    <n v="378.63889007540246"/>
    <n v="0"/>
    <n v="0"/>
    <n v="-19.714200000000005"/>
    <n v="21.92519999999999"/>
    <n v="0"/>
    <n v="0"/>
    <n v="-58.31698441040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3"/>
    <s v="Regular"/>
    <s v="Azul"/>
    <s v="A4"/>
    <s v="Comercial"/>
    <s v="Não se aplica"/>
    <s v="Não se aplica"/>
    <s v="Não se aplica"/>
    <s v="Ponta"/>
    <s v="CATIVO"/>
    <x v="4"/>
    <n v="100"/>
    <n v="100"/>
    <n v="3.165"/>
    <n v="3.165"/>
    <n v="3.165"/>
    <n v="3.165"/>
    <n v="193.63"/>
    <n v="94.17"/>
    <n v="207.07"/>
    <n v="19363"/>
    <n v="953.42459999999994"/>
    <n v="20316.424600000002"/>
    <n v="19751.38205"/>
    <n v="0"/>
    <n v="216.87029232612625"/>
    <n v="0"/>
    <n v="0"/>
    <n v="0"/>
    <n v="5352.7545792855199"/>
    <n v="14009.762805225198"/>
    <n v="655.39228077664927"/>
    <n v="0"/>
    <n v="0"/>
    <n v="0"/>
    <n v="0"/>
    <n v="0"/>
    <n v="31.678262313291832"/>
    <m/>
    <n v="5.726558422635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6917752360534"/>
    <n v="0"/>
    <n v="0"/>
    <n v="0"/>
    <n v="0"/>
    <n v="0"/>
    <m/>
    <m/>
    <m/>
    <m/>
    <m/>
    <m/>
    <m/>
    <m/>
    <m/>
    <n v="699.15919852900981"/>
    <m/>
    <m/>
    <m/>
    <m/>
    <m/>
    <m/>
    <m/>
    <m/>
    <m/>
    <m/>
    <m/>
    <m/>
    <n v="19753.050900000002"/>
    <n v="-563.4036999999953"/>
    <m/>
    <m/>
    <m/>
    <m/>
    <n v="-670.18385000000069"/>
    <n v="105.1413"/>
    <n v="31"/>
    <n v="1243.3103205991856"/>
    <n v="0"/>
    <n v="0"/>
    <n v="0"/>
    <n v="0"/>
    <n v="0"/>
    <n v="0"/>
    <n v="0"/>
    <n v="1151.2261831043998"/>
    <n v="0"/>
    <n v="0"/>
    <n v="99.494133542516693"/>
    <n v="0"/>
    <n v="0"/>
    <n v="0"/>
    <n v="6.644191100996224"/>
    <n v="0"/>
    <n v="-11.911351550972142"/>
    <m/>
    <n v="0"/>
    <n v="0"/>
    <n v="0"/>
    <n v="0"/>
    <n v="-1.7498126516979653"/>
    <n v="-0.3930229460567638"/>
    <n v="0"/>
    <n v="350.08234676950434"/>
    <m/>
    <m/>
    <n v="14009.762805225198"/>
    <n v="0"/>
    <n v="0"/>
    <n v="0"/>
    <n v="-670.18385000000126"/>
    <n v="105.1413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4"/>
    <s v="Regular"/>
    <s v="Azul"/>
    <s v="A4"/>
    <s v="Comercial"/>
    <s v="Não se aplica"/>
    <s v="Não se aplica"/>
    <s v="Não se aplica"/>
    <s v="Fora ponta"/>
    <s v="CATIVO"/>
    <x v="4"/>
    <n v="100"/>
    <n v="100"/>
    <n v="27.245000000000001"/>
    <n v="27.245000000000001"/>
    <n v="27.245000000000001"/>
    <n v="27.245000000000001"/>
    <n v="73.75"/>
    <n v="94.17"/>
    <n v="207.07"/>
    <n v="7375"/>
    <n v="8207.2838000000011"/>
    <n v="15582.283800000001"/>
    <n v="16534.56365"/>
    <n v="0"/>
    <n v="1866.8660709084706"/>
    <n v="0"/>
    <n v="0"/>
    <n v="0"/>
    <n v="2905.8255513392301"/>
    <n v="4469.1623472813199"/>
    <n v="5641.7575639051529"/>
    <n v="0"/>
    <n v="0"/>
    <n v="0"/>
    <n v="0"/>
    <n v="0"/>
    <n v="272.69328806497191"/>
    <m/>
    <n v="49.29544525266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5503133114148"/>
    <n v="0"/>
    <n v="0"/>
    <n v="0"/>
    <n v="0"/>
    <n v="0"/>
    <m/>
    <m/>
    <m/>
    <m/>
    <m/>
    <m/>
    <m/>
    <m/>
    <m/>
    <n v="6018.5125952362941"/>
    <m/>
    <m/>
    <m/>
    <m/>
    <m/>
    <m/>
    <m/>
    <m/>
    <m/>
    <m/>
    <m/>
    <m/>
    <n v="16536.232499999998"/>
    <n v="953.91869999999653"/>
    <m/>
    <m/>
    <m/>
    <m/>
    <n v="47.200949999999722"/>
    <n v="905.07889999999998"/>
    <n v="31"/>
    <n v="1417.6409657714375"/>
    <n v="0"/>
    <n v="0"/>
    <n v="0"/>
    <n v="0"/>
    <n v="0"/>
    <n v="0"/>
    <n v="0"/>
    <n v="624.9609259466497"/>
    <n v="0"/>
    <n v="0"/>
    <n v="856.46687784071673"/>
    <n v="0"/>
    <n v="0"/>
    <n v="0"/>
    <n v="57.194624501308681"/>
    <n v="0"/>
    <n v="-102.53547330370793"/>
    <m/>
    <n v="0"/>
    <n v="0"/>
    <n v="0"/>
    <n v="0"/>
    <n v="-15.062763252926118"/>
    <n v="-3.383225960605543"/>
    <n v="0"/>
    <n v="222.69013898491229"/>
    <m/>
    <m/>
    <n v="4469.1623472813199"/>
    <n v="0"/>
    <n v="0"/>
    <n v="0"/>
    <n v="47.200950000000375"/>
    <n v="905.0788999999995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5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4.26"/>
    <n v="1219.6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4"/>
    <n v="0"/>
    <n v="0"/>
    <n v="0.91800000000000004"/>
    <n v="0.91800000000000004"/>
    <n v="0.91800000000000004"/>
    <n v="0.91800000000000004"/>
    <m/>
    <n v="4750.8599999999997"/>
    <n v="207.07"/>
    <m/>
    <n v="4551.3797399999994"/>
    <n v="4551.3797399999994"/>
    <n v="4433.9124600000005"/>
    <n v="0"/>
    <n v="62.902662987483062"/>
    <n v="0"/>
    <n v="0"/>
    <n v="0"/>
    <n v="1181.7758341145925"/>
    <n v="3093.0667687986438"/>
    <n v="190.09482267076271"/>
    <n v="0"/>
    <n v="0"/>
    <n v="0"/>
    <n v="0"/>
    <n v="0"/>
    <n v="9.1881974103007593"/>
    <m/>
    <n v="1.6609733434373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94480409689406"/>
    <n v="0"/>
    <n v="0"/>
    <n v="0"/>
    <n v="0"/>
    <n v="0"/>
    <m/>
    <m/>
    <m/>
    <m/>
    <m/>
    <m/>
    <m/>
    <m/>
    <m/>
    <n v="202.78930308045213"/>
    <m/>
    <m/>
    <m/>
    <m/>
    <m/>
    <m/>
    <m/>
    <m/>
    <m/>
    <m/>
    <m/>
    <m/>
    <n v="4443.5724"/>
    <n v="-107.83734000000004"/>
    <m/>
    <m/>
    <m/>
    <m/>
    <n v="-147.96323999999944"/>
    <n v="30.49596"/>
    <n v="31"/>
    <n v="280.87533616616588"/>
    <n v="0"/>
    <n v="0"/>
    <n v="0"/>
    <n v="0"/>
    <n v="0"/>
    <n v="0"/>
    <n v="0"/>
    <n v="254.16657211554548"/>
    <n v="0"/>
    <n v="0"/>
    <n v="28.858014089109133"/>
    <n v="0"/>
    <n v="0"/>
    <n v="0"/>
    <n v="1.9271303098624113"/>
    <n v="0"/>
    <n v="-3.4548564688127712"/>
    <m/>
    <n v="0"/>
    <n v="0"/>
    <n v="0"/>
    <n v="0"/>
    <n v="-0.50752859850197041"/>
    <n v="-0.11399528103636936"/>
    <n v="0"/>
    <n v="78.04316718606421"/>
    <m/>
    <m/>
    <m/>
    <n v="3093.0667687986438"/>
    <n v="0"/>
    <n v="0"/>
    <n v="-147.96323999999913"/>
    <n v="30.495959999999997"/>
    <n v="0"/>
    <n v="0"/>
    <n v="-476.386159119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4"/>
    <n v="0"/>
    <n v="0"/>
    <n v="69.894000000000005"/>
    <n v="69.894000000000005"/>
    <n v="69.894000000000005"/>
    <n v="69.894000000000005"/>
    <m/>
    <n v="94.17"/>
    <n v="207.07"/>
    <m/>
    <n v="21054.868560000003"/>
    <n v="21054.868560000003"/>
    <n v="23328.520380000002"/>
    <n v="0"/>
    <n v="4789.236085890132"/>
    <n v="0"/>
    <n v="0"/>
    <n v="0"/>
    <n v="0"/>
    <n v="0"/>
    <n v="14473.297969226896"/>
    <n v="0"/>
    <n v="0"/>
    <n v="0"/>
    <n v="0"/>
    <n v="0"/>
    <n v="699.56412831760485"/>
    <m/>
    <n v="126.46195083465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5228908004699"/>
    <n v="0"/>
    <n v="0"/>
    <n v="0"/>
    <n v="0"/>
    <n v="0"/>
    <m/>
    <m/>
    <m/>
    <m/>
    <m/>
    <m/>
    <m/>
    <m/>
    <m/>
    <n v="15439.820860027367"/>
    <m/>
    <m/>
    <m/>
    <m/>
    <m/>
    <m/>
    <m/>
    <m/>
    <m/>
    <m/>
    <m/>
    <m/>
    <n v="23327.185300000001"/>
    <n v="2272.2867399999996"/>
    <m/>
    <m/>
    <m/>
    <m/>
    <n v="-48.226859999999846"/>
    <n v="2321.8786800000003"/>
    <n v="31"/>
    <n v="2033.5319766384164"/>
    <n v="0"/>
    <n v="0"/>
    <n v="0"/>
    <n v="0"/>
    <n v="0"/>
    <n v="0"/>
    <n v="0"/>
    <n v="0"/>
    <n v="0"/>
    <n v="0"/>
    <n v="2197.1699746668783"/>
    <n v="0"/>
    <n v="0"/>
    <n v="0"/>
    <n v="146.72641163128924"/>
    <n v="0"/>
    <n v="-263.04328761568559"/>
    <m/>
    <n v="0"/>
    <n v="0"/>
    <n v="0"/>
    <n v="0"/>
    <n v="-38.641834274179359"/>
    <n v="-8.679287769886713"/>
    <n v="0"/>
    <n v="239.82196490848764"/>
    <m/>
    <m/>
    <m/>
    <n v="0"/>
    <n v="0"/>
    <n v="0"/>
    <n v="-48.22686000000067"/>
    <n v="2321.87868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4"/>
    <n v="290"/>
    <n v="290"/>
    <n v="0"/>
    <n v="0"/>
    <n v="0"/>
    <n v="0"/>
    <n v="73.75"/>
    <m/>
    <m/>
    <n v="21387.5"/>
    <m/>
    <n v="21387.5"/>
    <n v="21578.899999999998"/>
    <n v="0"/>
    <n v="0"/>
    <n v="0"/>
    <n v="0"/>
    <n v="0"/>
    <n v="8426.8940988837676"/>
    <n v="12960.570807115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1578.899999999998"/>
    <n v="191.37000000000262"/>
    <m/>
    <m/>
    <m/>
    <m/>
    <n v="191.39999999999901"/>
    <n v="0"/>
    <n v="31"/>
    <n v="1812.3866852452848"/>
    <n v="0"/>
    <n v="0"/>
    <n v="0"/>
    <n v="0"/>
    <m/>
    <m/>
    <m/>
    <n v="1812.3866852452848"/>
    <n v="0"/>
    <n v="0"/>
    <m/>
    <m/>
    <n v="0"/>
    <n v="0"/>
    <n v="0"/>
    <n v="0"/>
    <n v="0"/>
    <m/>
    <n v="0"/>
    <n v="0"/>
    <m/>
    <n v="0"/>
    <n v="0"/>
    <n v="0"/>
    <n v="0"/>
    <n v="374.6986852492513"/>
    <m/>
    <m/>
    <n v="12960.570807115828"/>
    <m/>
    <n v="0"/>
    <n v="0"/>
    <n v="191.39999999999782"/>
    <m/>
    <n v="0"/>
    <m/>
    <n v="-1996.153658590275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9"/>
    <s v="Regular"/>
    <s v="Branca"/>
    <s v="B3"/>
    <s v="Comercial"/>
    <s v="Não se aplica"/>
    <s v="Não se aplica"/>
    <s v="Não se aplica"/>
    <s v="Ponta"/>
    <s v="CATIVO"/>
    <x v="4"/>
    <n v="0"/>
    <n v="0"/>
    <n v="3.4000000000000002E-2"/>
    <n v="3.4000000000000002E-2"/>
    <n v="3.4000000000000002E-2"/>
    <n v="3.4000000000000002E-2"/>
    <m/>
    <n v="2482.39"/>
    <n v="207.07"/>
    <m/>
    <n v="91.441640000000007"/>
    <n v="91.441640000000007"/>
    <n v="89.332620000000006"/>
    <n v="0"/>
    <n v="2.6778485733283581"/>
    <n v="0"/>
    <n v="0"/>
    <n v="0"/>
    <n v="20.69306574347112"/>
    <n v="59.492177734084287"/>
    <n v="7.0405489878060266"/>
    <n v="0"/>
    <n v="0"/>
    <n v="0"/>
    <n v="0"/>
    <n v="0"/>
    <n v="0.34030360778891705"/>
    <m/>
    <n v="9.4688313199294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33110886468243"/>
    <n v="0"/>
    <n v="0"/>
    <n v="0"/>
    <n v="0"/>
    <n v="0"/>
    <m/>
    <m/>
    <m/>
    <m/>
    <m/>
    <m/>
    <m/>
    <m/>
    <m/>
    <n v="8.1438600764528513"/>
    <m/>
    <m/>
    <m/>
    <m/>
    <m/>
    <m/>
    <m/>
    <m/>
    <m/>
    <m/>
    <m/>
    <m/>
    <n v="78.82289999999999"/>
    <n v="-12.648740000000032"/>
    <m/>
    <m/>
    <m/>
    <m/>
    <n v="-3.2385000000000002"/>
    <n v="1.12948"/>
    <n v="31"/>
    <n v="5.5144270709614496"/>
    <n v="0"/>
    <n v="0"/>
    <n v="0"/>
    <n v="0"/>
    <n v="0"/>
    <n v="0"/>
    <n v="0"/>
    <n v="4.4504934309475352"/>
    <n v="0"/>
    <n v="0"/>
    <n v="1.0688153366336728"/>
    <n v="0"/>
    <n v="0"/>
    <n v="0"/>
    <n v="0.16749202578748901"/>
    <n v="0"/>
    <n v="-0.14707775516444421"/>
    <m/>
    <n v="0"/>
    <n v="0"/>
    <n v="0"/>
    <n v="0"/>
    <n v="-1.8797355500072999E-2"/>
    <n v="-6.4986117427242723E-3"/>
    <n v="0"/>
    <n v="1.5392431754522486"/>
    <m/>
    <m/>
    <m/>
    <n v="59.492177734084287"/>
    <n v="0"/>
    <n v="0"/>
    <n v="-3.2385000000000019"/>
    <n v="1.12948"/>
    <n v="0"/>
    <n v="0"/>
    <n v="-9.162831638263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0"/>
    <s v="Regular"/>
    <s v="Branca"/>
    <s v="B3"/>
    <s v="Comercial"/>
    <s v="Não se aplica"/>
    <s v="Não se aplica"/>
    <s v="Não se aplica"/>
    <s v="Fora ponta"/>
    <s v="CATIVO"/>
    <x v="4"/>
    <n v="0"/>
    <n v="0"/>
    <n v="0.20100000000000001"/>
    <n v="0.20100000000000001"/>
    <n v="0.20100000000000001"/>
    <n v="0.20100000000000001"/>
    <m/>
    <n v="595.67999999999995"/>
    <n v="207.07"/>
    <m/>
    <n v="161.35275000000001"/>
    <n v="161.35275000000001"/>
    <n v="164.52654000000001"/>
    <n v="0"/>
    <n v="15.830810683499998"/>
    <n v="0"/>
    <n v="0"/>
    <n v="0"/>
    <n v="24.466272945193516"/>
    <n v="70.340771715003342"/>
    <n v="41.622069016147393"/>
    <n v="0"/>
    <n v="0"/>
    <n v="0"/>
    <n v="0"/>
    <n v="0"/>
    <n v="2.0117948578109508"/>
    <m/>
    <n v="0.55977502803112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225155534709316"/>
    <n v="0"/>
    <n v="0"/>
    <n v="0"/>
    <n v="0"/>
    <n v="0"/>
    <m/>
    <m/>
    <m/>
    <m/>
    <m/>
    <m/>
    <m/>
    <m/>
    <m/>
    <n v="48.144584569618324"/>
    <m/>
    <m/>
    <m/>
    <m/>
    <m/>
    <m/>
    <m/>
    <m/>
    <m/>
    <m/>
    <m/>
    <m/>
    <n v="163.708"/>
    <n v="2.3252500000000111"/>
    <m/>
    <m/>
    <m/>
    <m/>
    <n v="-3.5034299999999901"/>
    <n v="6.6772200000000002"/>
    <n v="31"/>
    <n v="11.551728970713754"/>
    <n v="0"/>
    <n v="0"/>
    <n v="0"/>
    <n v="0"/>
    <n v="0"/>
    <n v="0"/>
    <n v="0"/>
    <n v="5.2620036282785492"/>
    <n v="0"/>
    <n v="0"/>
    <n v="6.3185847842167036"/>
    <n v="0"/>
    <n v="0"/>
    <n v="0"/>
    <n v="0.99017344656721384"/>
    <n v="0"/>
    <n v="-0.86948908200156616"/>
    <m/>
    <n v="0"/>
    <n v="0"/>
    <n v="0"/>
    <n v="0"/>
    <n v="-0.11112554280925502"/>
    <n v="-3.8418263537869923E-2"/>
    <n v="0"/>
    <n v="2.4557190520254837"/>
    <m/>
    <m/>
    <m/>
    <n v="70.340771715003342"/>
    <n v="0"/>
    <n v="0"/>
    <n v="-3.5034299999999945"/>
    <n v="6.6772199999999984"/>
    <n v="0"/>
    <n v="0"/>
    <n v="-10.83370407805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1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2"/>
    <s v="Regular"/>
    <s v="Branca"/>
    <s v="B3"/>
    <s v="Comercial"/>
    <s v="Não se aplica"/>
    <s v="Não se aplica"/>
    <s v="Não se aplica"/>
    <s v="Intermediário"/>
    <s v="CATIVO"/>
    <x v="4"/>
    <n v="0"/>
    <n v="0"/>
    <n v="0.02"/>
    <n v="0.02"/>
    <n v="0.02"/>
    <n v="0.02"/>
    <m/>
    <n v="1539.04"/>
    <n v="207.07"/>
    <m/>
    <n v="34.922199999999997"/>
    <n v="34.922199999999997"/>
    <n v="34.459800000000001"/>
    <n v="0"/>
    <n v="1.5752050431343281"/>
    <n v="0"/>
    <n v="0"/>
    <n v="0"/>
    <n v="7.3034255573200602"/>
    <n v="20.997237170999803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34.459800000000001"/>
    <n v="-0.4923999999999964"/>
    <m/>
    <m/>
    <m/>
    <m/>
    <n v="-1.1267999999999985"/>
    <n v="0.66439999999999999"/>
    <n v="31"/>
    <n v="2.1966036810162226"/>
    <n v="0"/>
    <n v="0"/>
    <n v="0"/>
    <n v="0"/>
    <n v="0"/>
    <n v="0"/>
    <n v="0"/>
    <n v="1.5707603633609795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57489364415900435"/>
    <m/>
    <m/>
    <m/>
    <n v="20.997237170999803"/>
    <n v="0"/>
    <n v="0"/>
    <n v="-1.1267999999999994"/>
    <n v="0.66439999999999966"/>
    <n v="0"/>
    <n v="0"/>
    <n v="-3.23394026566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Não se aplica"/>
    <s v="Não se aplica"/>
    <s v="Não se aplica"/>
    <s v="Não se aplica"/>
    <s v="CATIVO"/>
    <x v="4"/>
    <n v="0"/>
    <n v="0"/>
    <n v="39.451999999999998"/>
    <n v="39.451999999999998"/>
    <n v="39.451999999999998"/>
    <n v="39.451999999999998"/>
    <m/>
    <n v="897.25"/>
    <n v="207.07"/>
    <m/>
    <n v="43567.632639999996"/>
    <n v="43567.632639999996"/>
    <n v="43699.796839999995"/>
    <n v="0"/>
    <n v="3107.2494680867753"/>
    <n v="0"/>
    <n v="0"/>
    <n v="0"/>
    <n v="7872.5347433739653"/>
    <n v="22633.426501901176"/>
    <n v="8169.5217254977451"/>
    <n v="0"/>
    <n v="0"/>
    <n v="0"/>
    <n v="0"/>
    <n v="0"/>
    <n v="394.87229219083389"/>
    <m/>
    <n v="109.87186271584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0.230266743956"/>
    <n v="0"/>
    <n v="25.92"/>
    <n v="119.91"/>
    <n v="0"/>
    <n v="160"/>
    <m/>
    <m/>
    <m/>
    <m/>
    <m/>
    <n v="5243.9598400000004"/>
    <m/>
    <m/>
    <m/>
    <n v="9449.7519922417014"/>
    <m/>
    <m/>
    <m/>
    <m/>
    <m/>
    <m/>
    <m/>
    <m/>
    <m/>
    <m/>
    <m/>
    <m/>
    <n v="38453.887499999997"/>
    <n v="114.00937999999587"/>
    <m/>
    <m/>
    <m/>
    <m/>
    <n v="-1178.4312400000001"/>
    <n v="1310.5954399999998"/>
    <n v="31"/>
    <n v="2927.6981884898087"/>
    <n v="0"/>
    <n v="0"/>
    <n v="0"/>
    <n v="0"/>
    <n v="0"/>
    <n v="0"/>
    <n v="0"/>
    <n v="1693.159660083068"/>
    <n v="0"/>
    <n v="0"/>
    <n v="1240.2030194374001"/>
    <n v="0"/>
    <n v="0"/>
    <n v="0"/>
    <n v="194.3498647461181"/>
    <n v="0"/>
    <n v="-170.66210578669552"/>
    <m/>
    <n v="0"/>
    <n v="0"/>
    <n v="0"/>
    <n v="0"/>
    <n v="-21.811566740849344"/>
    <n v="-7.5406832492340499"/>
    <n v="0"/>
    <n v="690.44158142793287"/>
    <m/>
    <m/>
    <m/>
    <n v="22633.426501901176"/>
    <n v="0"/>
    <n v="0"/>
    <n v="-1178.4312400000053"/>
    <n v="1310.595440000001"/>
    <n v="0"/>
    <n v="0"/>
    <n v="-3485.941922665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9.7000000000000003E-2"/>
    <n v="-9.7000000000000003E-2"/>
    <n v="-9.7000000000000003E-2"/>
    <n v="-9.7000000000000003E-2"/>
    <m/>
    <n v="897.25"/>
    <n v="207.07"/>
    <m/>
    <n v="-107.11904000000001"/>
    <n v="-107.11904000000001"/>
    <n v="-107.44399000000001"/>
    <n v="0"/>
    <n v="-7.6397444592014914"/>
    <n v="0"/>
    <n v="0"/>
    <n v="0"/>
    <n v="-19.356074979906587"/>
    <n v="-55.648442935324297"/>
    <n v="-20.086272112270134"/>
    <n v="0"/>
    <n v="0"/>
    <n v="0"/>
    <n v="0"/>
    <n v="0"/>
    <n v="-0.97086617516249851"/>
    <m/>
    <n v="-0.27014018765681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476816352571162"/>
    <n v="0"/>
    <n v="0"/>
    <n v="0"/>
    <n v="0"/>
    <n v="0"/>
    <m/>
    <m/>
    <m/>
    <m/>
    <m/>
    <n v="-12.893240000000002"/>
    <m/>
    <m/>
    <m/>
    <n v="-23.233953747527249"/>
    <m/>
    <m/>
    <m/>
    <m/>
    <m/>
    <m/>
    <m/>
    <m/>
    <m/>
    <m/>
    <m/>
    <m/>
    <n v="-97.474999999999994"/>
    <n v="-3.2394299999999987"/>
    <m/>
    <m/>
    <m/>
    <m/>
    <n v="2.8973900000000006"/>
    <n v="-3.22234"/>
    <n v="31"/>
    <n v="-7.1982846061926224"/>
    <n v="0"/>
    <n v="0"/>
    <n v="0"/>
    <n v="0"/>
    <n v="0"/>
    <n v="0"/>
    <n v="0"/>
    <n v="-4.1629445155646749"/>
    <n v="0"/>
    <n v="0"/>
    <n v="-3.0492672839254773"/>
    <n v="0"/>
    <n v="0"/>
    <n v="0"/>
    <n v="-0.47784489709960054"/>
    <n v="0"/>
    <n v="0.41960418385150255"/>
    <m/>
    <n v="0"/>
    <n v="0"/>
    <n v="0"/>
    <n v="0"/>
    <n v="5.3627749514914003E-2"/>
    <n v="1.8540157030713322E-2"/>
    <n v="0"/>
    <n v="-1.6975776487506207"/>
    <m/>
    <m/>
    <m/>
    <n v="-55.648442935324297"/>
    <n v="0"/>
    <n v="0"/>
    <n v="2.8973900000000015"/>
    <n v="-3.2223399999999991"/>
    <n v="0"/>
    <n v="0"/>
    <n v="8.57082952698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56000000000000005"/>
    <n v="0.56000000000000005"/>
    <n v="0.56000000000000005"/>
    <n v="0.56000000000000005"/>
    <m/>
    <n v="897.25"/>
    <n v="207.07"/>
    <m/>
    <n v="618.41920000000005"/>
    <n v="618.41920000000005"/>
    <n v="620.29520000000002"/>
    <n v="0"/>
    <n v="44.105741207761191"/>
    <n v="0"/>
    <n v="0"/>
    <n v="0"/>
    <n v="111.74641225513082"/>
    <n v="321.26936127609906"/>
    <n v="115.96198332856986"/>
    <n v="0"/>
    <n v="0"/>
    <n v="0"/>
    <n v="0"/>
    <n v="0"/>
    <n v="5.6050005988762805"/>
    <m/>
    <n v="1.5595722174001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2182636535929"/>
    <n v="0"/>
    <n v="0"/>
    <n v="0"/>
    <n v="0"/>
    <n v="5"/>
    <m/>
    <m/>
    <m/>
    <m/>
    <m/>
    <n v="74.435200000000023"/>
    <m/>
    <m/>
    <m/>
    <n v="134.13416596510578"/>
    <m/>
    <m/>
    <m/>
    <m/>
    <m/>
    <m/>
    <m/>
    <m/>
    <m/>
    <m/>
    <m/>
    <m/>
    <n v="545.86"/>
    <n v="1.6163999999999987"/>
    <m/>
    <m/>
    <m/>
    <m/>
    <n v="-16.727200000000003"/>
    <n v="18.603200000000001"/>
    <n v="31"/>
    <n v="41.557107004823365"/>
    <n v="0"/>
    <n v="0"/>
    <n v="0"/>
    <n v="0"/>
    <n v="0"/>
    <n v="0"/>
    <n v="0"/>
    <n v="24.033494110476482"/>
    <n v="0"/>
    <n v="0"/>
    <n v="17.604017309260485"/>
    <n v="0"/>
    <n v="0"/>
    <n v="0"/>
    <n v="2.7586921894409926"/>
    <n v="0"/>
    <n v="-2.4224571438849622"/>
    <m/>
    <n v="0"/>
    <n v="0"/>
    <n v="0"/>
    <n v="0"/>
    <n v="-0.30960350235414325"/>
    <n v="-0.10703595811545852"/>
    <n v="0"/>
    <n v="9.800448281446883"/>
    <m/>
    <m/>
    <m/>
    <n v="321.26936127609906"/>
    <n v="0"/>
    <n v="0"/>
    <n v="-16.727199999999982"/>
    <n v="18.603199999999987"/>
    <n v="0"/>
    <n v="0"/>
    <n v="-49.48107768155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106000000000002"/>
    <n v="16.106000000000002"/>
    <n v="16.106000000000002"/>
    <n v="16.106000000000002"/>
    <m/>
    <n v="897.25"/>
    <n v="207.07"/>
    <m/>
    <n v="17786.177920000002"/>
    <n v="17786.177920000002"/>
    <n v="17840.133020000001"/>
    <n v="0"/>
    <n v="1268.5126212360744"/>
    <n v="0"/>
    <n v="0"/>
    <n v="0"/>
    <n v="3213.9066353234589"/>
    <n v="9239.9363084158067"/>
    <n v="3335.1494705177611"/>
    <n v="0"/>
    <n v="0"/>
    <n v="0"/>
    <n v="0"/>
    <n v="0"/>
    <n v="161.20382079553818"/>
    <m/>
    <n v="44.854410952583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44952757228"/>
    <n v="0"/>
    <n v="130.53"/>
    <n v="602.97"/>
    <n v="0"/>
    <n v="33"/>
    <m/>
    <m/>
    <m/>
    <m/>
    <m/>
    <m/>
    <m/>
    <m/>
    <m/>
    <n v="3857.7944232749892"/>
    <m/>
    <m/>
    <m/>
    <m/>
    <m/>
    <m/>
    <m/>
    <m/>
    <m/>
    <m/>
    <m/>
    <m/>
    <n v="17844.563699999999"/>
    <n v="58.355779999998049"/>
    <m/>
    <m/>
    <m/>
    <m/>
    <n v="-481.08622000000014"/>
    <n v="535.04132000000004"/>
    <n v="31"/>
    <n v="1195.2120811065834"/>
    <n v="0"/>
    <n v="0"/>
    <n v="0"/>
    <n v="0"/>
    <n v="0"/>
    <n v="0"/>
    <n v="0"/>
    <n v="691.22045739881105"/>
    <n v="0"/>
    <n v="0"/>
    <n v="506.30411211240926"/>
    <n v="0"/>
    <n v="0"/>
    <n v="0"/>
    <n v="79.341957862744039"/>
    <n v="0"/>
    <n v="-69.671597784662708"/>
    <m/>
    <n v="0"/>
    <n v="0"/>
    <n v="0"/>
    <n v="0"/>
    <n v="-8.9044178730639771"/>
    <n v="-3.0784306096563867"/>
    <n v="0"/>
    <n v="281.86789289461342"/>
    <m/>
    <m/>
    <m/>
    <n v="9239.9363084158067"/>
    <n v="0"/>
    <n v="0"/>
    <n v="-481.08622000000105"/>
    <n v="535.04131999999981"/>
    <n v="0"/>
    <n v="0"/>
    <n v="-1423.111137748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4.49299999999999"/>
    <n v="284.49299999999999"/>
    <n v="284.49299999999999"/>
    <n v="284.49299999999999"/>
    <m/>
    <n v="493.49"/>
    <n v="113.89"/>
    <m/>
    <n v="172795.35833999998"/>
    <n v="172795.35833999998"/>
    <n v="173318.82545999999"/>
    <n v="0"/>
    <n v="12323.707229251389"/>
    <n v="0"/>
    <n v="0"/>
    <n v="0"/>
    <n v="31223.374346311513"/>
    <n v="89766.761461851303"/>
    <n v="32401.258728039567"/>
    <n v="0"/>
    <n v="0"/>
    <n v="0"/>
    <n v="0"/>
    <n v="0"/>
    <n v="1566.1087311729632"/>
    <m/>
    <n v="435.764389936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7.5398484800107"/>
    <n v="0"/>
    <n v="1351.41"/>
    <n v="6237.35"/>
    <n v="0"/>
    <n v="3"/>
    <m/>
    <m/>
    <m/>
    <m/>
    <m/>
    <m/>
    <m/>
    <m/>
    <m/>
    <n v="37478.798576519577"/>
    <m/>
    <m/>
    <m/>
    <m/>
    <m/>
    <m/>
    <m/>
    <m/>
    <m/>
    <m/>
    <m/>
    <m/>
    <n v="173316.99780000001"/>
    <n v="521.60946000000695"/>
    <m/>
    <m/>
    <m/>
    <m/>
    <n v="-4674.2199900000014"/>
    <n v="5197.6871099999989"/>
    <n v="31"/>
    <n v="11611.586292352964"/>
    <n v="0"/>
    <n v="0"/>
    <n v="0"/>
    <n v="0"/>
    <n v="0"/>
    <n v="0"/>
    <n v="0"/>
    <n v="6715.2651106864614"/>
    <n v="0"/>
    <n v="0"/>
    <n v="4918.7872017854097"/>
    <n v="0"/>
    <n v="0"/>
    <n v="0"/>
    <n v="770.81382031760131"/>
    <n v="0"/>
    <n v="-676.8654555882058"/>
    <m/>
    <n v="0"/>
    <n v="0"/>
    <n v="0"/>
    <n v="0"/>
    <n v="-86.50717153103551"/>
    <n v="-29.907213317281617"/>
    <n v="0"/>
    <n v="2738.370380559857"/>
    <m/>
    <m/>
    <m/>
    <n v="89766.761461851303"/>
    <n v="0"/>
    <n v="0"/>
    <n v="-4674.2199899999832"/>
    <n v="5197.6871099999989"/>
    <n v="0"/>
    <n v="0"/>
    <n v="-13825.644871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.198"/>
    <n v="13.346120000000001"/>
    <n v="14.198"/>
    <n v="13.346120000000001"/>
    <m/>
    <n v="897.25"/>
    <n v="207.07"/>
    <m/>
    <n v="15679.13536"/>
    <n v="15679.13536"/>
    <n v="15726.698660000002"/>
    <n v="0"/>
    <n v="1118.2380601210596"/>
    <n v="0"/>
    <n v="0"/>
    <n v="0"/>
    <n v="2833.1706449970488"/>
    <n v="8145.3256989250967"/>
    <n v="2940.0504273197048"/>
    <n v="0"/>
    <n v="0"/>
    <n v="0"/>
    <n v="0"/>
    <n v="0"/>
    <n v="142.10678304079539"/>
    <m/>
    <n v="39.540725611870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72973048845915"/>
    <n v="0"/>
    <n v="9.6999999999999993"/>
    <n v="44.78"/>
    <n v="0"/>
    <n v="3"/>
    <m/>
    <m/>
    <m/>
    <m/>
    <n v="943.60191959999941"/>
    <m/>
    <m/>
    <m/>
    <m/>
    <n v="3400.7801578081639"/>
    <m/>
    <m/>
    <m/>
    <m/>
    <m/>
    <m/>
    <m/>
    <m/>
    <m/>
    <m/>
    <m/>
    <m/>
    <n v="14787.394499999999"/>
    <n v="48.977261599995472"/>
    <m/>
    <m/>
    <m/>
    <m/>
    <n v="-424.09426000000008"/>
    <n v="471.65755999999999"/>
    <n v="31"/>
    <n v="1053.6210808115748"/>
    <n v="0"/>
    <n v="0"/>
    <n v="0"/>
    <n v="0"/>
    <n v="0"/>
    <n v="0"/>
    <n v="0"/>
    <n v="609.33490960811605"/>
    <n v="0"/>
    <n v="0"/>
    <n v="446.32471028014334"/>
    <n v="0"/>
    <n v="0"/>
    <n v="0"/>
    <n v="69.942699474434335"/>
    <n v="0"/>
    <n v="-61.41794023014063"/>
    <m/>
    <n v="0"/>
    <n v="0"/>
    <n v="0"/>
    <n v="0"/>
    <n v="-7.8495545114716379"/>
    <n v="-2.713743809505857"/>
    <n v="0"/>
    <n v="248.47636553568367"/>
    <m/>
    <m/>
    <m/>
    <n v="8145.3256989250967"/>
    <n v="0"/>
    <n v="0"/>
    <n v="-424.09425999999985"/>
    <n v="471.6575600000001"/>
    <n v="0"/>
    <n v="0"/>
    <n v="-1254.52203736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643"/>
    <n v="1.5444199999999999"/>
    <n v="1.643"/>
    <n v="1.5444199999999999"/>
    <m/>
    <n v="4750.8599999999997"/>
    <n v="207.07"/>
    <m/>
    <n v="8145.8789899999992"/>
    <n v="8145.8789899999992"/>
    <n v="7935.6407100000006"/>
    <n v="0"/>
    <n v="112.58069203533188"/>
    <n v="0"/>
    <n v="0"/>
    <n v="0"/>
    <n v="2115.0955288129362"/>
    <n v="5535.8482583182695"/>
    <n v="340.22417608721474"/>
    <n v="0"/>
    <n v="0"/>
    <n v="0"/>
    <n v="0"/>
    <n v="0"/>
    <n v="16.444671399917372"/>
    <m/>
    <n v="2.972744230138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20077683136921"/>
    <n v="0"/>
    <n v="0"/>
    <n v="0"/>
    <n v="0"/>
    <n v="0"/>
    <m/>
    <m/>
    <m/>
    <m/>
    <n v="476.13844260000053"/>
    <m/>
    <m/>
    <m/>
    <m/>
    <n v="362.94425377035168"/>
    <m/>
    <m/>
    <m/>
    <m/>
    <m/>
    <m/>
    <m/>
    <m/>
    <m/>
    <m/>
    <m/>
    <m/>
    <n v="7438.1538"/>
    <n v="-219.00245059999907"/>
    <m/>
    <m/>
    <m/>
    <m/>
    <n v="-264.81873999999897"/>
    <n v="54.580460000000002"/>
    <n v="31"/>
    <n v="502.69953956537074"/>
    <n v="0"/>
    <n v="0"/>
    <n v="0"/>
    <n v="0"/>
    <n v="0"/>
    <n v="0"/>
    <n v="0"/>
    <n v="454.89725270788813"/>
    <n v="0"/>
    <n v="0"/>
    <n v="51.648929355562416"/>
    <n v="0"/>
    <n v="0"/>
    <n v="0"/>
    <n v="3.4491014151459076"/>
    <n v="0"/>
    <n v="-6.183365117929597"/>
    <m/>
    <n v="0"/>
    <n v="0"/>
    <n v="0"/>
    <n v="0"/>
    <n v="-0.90835456137117276"/>
    <n v="-0.20402423392456948"/>
    <n v="0"/>
    <n v="139.67856610752017"/>
    <m/>
    <m/>
    <m/>
    <n v="5535.8482583182695"/>
    <n v="0"/>
    <n v="0"/>
    <n v="-264.8187399999988"/>
    <n v="54.580460000000016"/>
    <n v="0"/>
    <n v="0"/>
    <n v="-852.6170582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623999999999999"/>
    <n v="16.566559999999999"/>
    <n v="17.623999999999999"/>
    <n v="16.566559999999999"/>
    <m/>
    <n v="94.17"/>
    <n v="207.07"/>
    <m/>
    <n v="5309.0537599999989"/>
    <n v="5309.0537599999989"/>
    <n v="5882.3624799999998"/>
    <n v="0"/>
    <n v="1207.6214950886726"/>
    <n v="0"/>
    <n v="0"/>
    <n v="0"/>
    <n v="0"/>
    <n v="0"/>
    <n v="3649.4892753262766"/>
    <n v="0"/>
    <n v="0"/>
    <n v="0"/>
    <n v="0"/>
    <n v="0"/>
    <n v="176.39737599034919"/>
    <m/>
    <n v="31.8877932513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71189840998483"/>
    <n v="0"/>
    <n v="0"/>
    <n v="0"/>
    <n v="0"/>
    <n v="0"/>
    <m/>
    <m/>
    <m/>
    <m/>
    <n v="352.94174879999991"/>
    <m/>
    <m/>
    <m/>
    <m/>
    <n v="3893.2011737362614"/>
    <m/>
    <m/>
    <m/>
    <m/>
    <m/>
    <m/>
    <m/>
    <m/>
    <m/>
    <m/>
    <m/>
    <m/>
    <n v="5530.5689000000002"/>
    <n v="540.02836560000014"/>
    <m/>
    <m/>
    <m/>
    <m/>
    <n v="-12.160559999999959"/>
    <n v="585.46927999999991"/>
    <n v="31"/>
    <n v="512.76171854916538"/>
    <n v="0"/>
    <n v="0"/>
    <n v="0"/>
    <n v="0"/>
    <n v="0"/>
    <n v="0"/>
    <n v="0"/>
    <n v="0"/>
    <n v="0"/>
    <n v="0"/>
    <n v="554.02357331858275"/>
    <n v="0"/>
    <n v="0"/>
    <n v="0"/>
    <n v="36.997543116574207"/>
    <n v="0"/>
    <n v="-66.327222664876217"/>
    <m/>
    <n v="0"/>
    <n v="0"/>
    <n v="0"/>
    <n v="0"/>
    <n v="-9.7436645098024997"/>
    <n v="-2.1885107113126097"/>
    <n v="0"/>
    <n v="60.47189042760732"/>
    <m/>
    <m/>
    <m/>
    <n v="0"/>
    <n v="0"/>
    <n v="0"/>
    <n v="-12.160559999999805"/>
    <n v="585.4692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Não se aplica"/>
    <s v="CATIVO"/>
    <x v="4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7.33"/>
    <n v="587.67999999999995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2000000000000001E-2"/>
    <n v="3.2000000000000001E-2"/>
    <n v="3.2000000000000001E-2"/>
    <n v="3.2000000000000001E-2"/>
    <m/>
    <n v="897.25"/>
    <n v="207.07"/>
    <m/>
    <n v="35.338239999999999"/>
    <n v="35.338239999999999"/>
    <n v="35.445440000000005"/>
    <n v="0"/>
    <n v="2.520328069014925"/>
    <n v="0"/>
    <n v="0"/>
    <n v="0"/>
    <n v="6.3855092717217605"/>
    <n v="18.358249215777086"/>
    <n v="6.6263990473468484"/>
    <n v="0"/>
    <n v="0"/>
    <n v="0"/>
    <n v="0"/>
    <n v="0"/>
    <n v="0.32028574850721603"/>
    <m/>
    <n v="8.91184124228656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84104363734816"/>
    <n v="0"/>
    <n v="0.25"/>
    <n v="1.2"/>
    <n v="0"/>
    <n v="1"/>
    <m/>
    <m/>
    <m/>
    <m/>
    <m/>
    <m/>
    <m/>
    <m/>
    <m/>
    <n v="7.6648094837203296"/>
    <m/>
    <m/>
    <m/>
    <m/>
    <m/>
    <m/>
    <m/>
    <m/>
    <m/>
    <m/>
    <m/>
    <m/>
    <n v="33.2301"/>
    <n v="-2.1381399999999999"/>
    <m/>
    <m/>
    <m/>
    <m/>
    <n v="-0.95584000000000013"/>
    <n v="1.06304"/>
    <n v="31"/>
    <n v="2.3746918288470518"/>
    <n v="0"/>
    <n v="0"/>
    <n v="0"/>
    <n v="0"/>
    <n v="0"/>
    <n v="0"/>
    <n v="0"/>
    <n v="1.3733425205986558"/>
    <n v="0"/>
    <n v="0"/>
    <n v="1.005943846243456"/>
    <n v="0"/>
    <n v="0"/>
    <n v="0"/>
    <n v="0.1576395536823425"/>
    <n v="0"/>
    <n v="-0.13842612250771191"/>
    <m/>
    <n v="0"/>
    <n v="0"/>
    <n v="0"/>
    <n v="0"/>
    <n v="-1.7691628705951035E-2"/>
    <n v="-6.1163404637404883E-3"/>
    <n v="0"/>
    <n v="0.56002561608267898"/>
    <m/>
    <m/>
    <m/>
    <n v="18.358249215777086"/>
    <n v="0"/>
    <n v="0"/>
    <n v="-0.95583999999999847"/>
    <n v="1.06304"/>
    <n v="0"/>
    <n v="0"/>
    <n v="-2.827490153231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3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14"/>
    <s v="Regular"/>
    <s v="Convencional"/>
    <s v="B2"/>
    <s v="Rural"/>
    <s v="Agropecuária rural"/>
    <s v="IRRIG./AQUIC."/>
    <s v="Não se aplica"/>
    <s v="Não se aplica"/>
    <s v="CATIVO"/>
    <x v="4"/>
    <n v="0"/>
    <n v="0"/>
    <n v="1.0289999999999999"/>
    <n v="1.0289999999999999"/>
    <n v="1.0289999999999999"/>
    <n v="1.0289999999999999"/>
    <m/>
    <n v="897.25"/>
    <n v="207.07"/>
    <m/>
    <n v="1136.34528"/>
    <n v="1136.34528"/>
    <n v="1139.79243"/>
    <n v="0"/>
    <n v="81.044299469261176"/>
    <n v="0"/>
    <n v="0"/>
    <n v="0"/>
    <n v="205.33403251880284"/>
    <n v="590.33245134483184"/>
    <n v="213.08014436624708"/>
    <n v="0"/>
    <n v="0"/>
    <n v="0"/>
    <n v="0"/>
    <n v="0"/>
    <n v="10.299188600435164"/>
    <m/>
    <n v="2.8657139494727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91385594634762"/>
    <n v="0"/>
    <n v="0"/>
    <n v="0"/>
    <n v="0"/>
    <n v="0"/>
    <m/>
    <m/>
    <m/>
    <m/>
    <m/>
    <n v="136.77468000000002"/>
    <m/>
    <m/>
    <m/>
    <n v="246.47152996088184"/>
    <m/>
    <m/>
    <m/>
    <m/>
    <m/>
    <m/>
    <m/>
    <m/>
    <m/>
    <m/>
    <m/>
    <m/>
    <n v="1003.9924999999999"/>
    <n v="3.9700100000001157"/>
    <m/>
    <m/>
    <m/>
    <m/>
    <n v="-30.736230000000003"/>
    <n v="34.183379999999993"/>
    <n v="31"/>
    <n v="76.36118412136284"/>
    <n v="0"/>
    <n v="0"/>
    <n v="0"/>
    <n v="0"/>
    <n v="0"/>
    <n v="0"/>
    <n v="0"/>
    <n v="44.161545428000522"/>
    <n v="0"/>
    <n v="0"/>
    <n v="32.347381805766105"/>
    <n v="0"/>
    <n v="0"/>
    <n v="0"/>
    <n v="5.0690968980978255"/>
    <n v="0"/>
    <n v="-4.4512650018886148"/>
    <m/>
    <n v="0"/>
    <n v="0"/>
    <n v="0"/>
    <n v="0"/>
    <n v="-0.56889643557573777"/>
    <n v="-0.19667857303715497"/>
    <n v="0"/>
    <n v="18.008323717158646"/>
    <m/>
    <m/>
    <m/>
    <n v="590.33245134483184"/>
    <n v="0"/>
    <n v="0"/>
    <n v="-30.736229999999978"/>
    <n v="34.18338"/>
    <n v="0"/>
    <n v="0"/>
    <n v="-90.92148023986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23799999999999999"/>
    <n v="9.5200000000000007E-2"/>
    <n v="0.23799999999999999"/>
    <n v="9.5200000000000007E-2"/>
    <m/>
    <n v="897.25"/>
    <n v="207.07"/>
    <m/>
    <n v="262.82816000000003"/>
    <n v="262.82816000000003"/>
    <n v="263.62545999999998"/>
    <n v="0"/>
    <n v="18.744940013298503"/>
    <n v="0"/>
    <n v="0"/>
    <n v="0"/>
    <n v="47.49222520843059"/>
    <n v="136.53947854234207"/>
    <n v="49.283842914642186"/>
    <n v="0"/>
    <n v="0"/>
    <n v="0"/>
    <n v="0"/>
    <n v="0"/>
    <n v="2.382125254522419"/>
    <m/>
    <n v="0.6628181923950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31776205277693"/>
    <n v="0"/>
    <n v="0"/>
    <n v="0"/>
    <n v="0"/>
    <n v="0"/>
    <m/>
    <m/>
    <m/>
    <m/>
    <m/>
    <m/>
    <n v="170.82925999999998"/>
    <m/>
    <m/>
    <n v="57.007020535169957"/>
    <m/>
    <m/>
    <m/>
    <m/>
    <m/>
    <m/>
    <m/>
    <m/>
    <m/>
    <m/>
    <m/>
    <m/>
    <n v="97.474999999999994"/>
    <n v="4.9286879999999655"/>
    <m/>
    <m/>
    <m/>
    <m/>
    <n v="-7.1090600000000004"/>
    <n v="7.9063599999999994"/>
    <n v="31"/>
    <n v="17.661770477049927"/>
    <n v="0"/>
    <n v="0"/>
    <n v="0"/>
    <n v="0"/>
    <n v="0"/>
    <n v="0"/>
    <n v="0"/>
    <n v="10.214234996952506"/>
    <n v="0"/>
    <n v="0"/>
    <n v="7.4817073564356988"/>
    <n v="0"/>
    <n v="0"/>
    <n v="0"/>
    <n v="1.1724441805124215"/>
    <n v="0"/>
    <n v="-1.0295442861511077"/>
    <m/>
    <n v="0"/>
    <n v="0"/>
    <n v="0"/>
    <n v="0"/>
    <n v="-0.13158148850051088"/>
    <n v="-4.5490282199069809E-2"/>
    <n v="0"/>
    <n v="4.1651905196149253"/>
    <m/>
    <m/>
    <m/>
    <n v="136.53947854234207"/>
    <n v="0"/>
    <n v="0"/>
    <n v="-7.1090600000000279"/>
    <n v="7.9063599999999994"/>
    <n v="0"/>
    <n v="0"/>
    <n v="-21.02945801466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Agropecuária rural"/>
    <s v="Não se aplica"/>
    <s v="Não se aplica"/>
    <s v="Ponta"/>
    <s v="CATIVO"/>
    <x v="4"/>
    <n v="0"/>
    <n v="0"/>
    <n v="0.45700000000000002"/>
    <n v="0.43872"/>
    <n v="0.45700000000000002"/>
    <n v="0.43872"/>
    <m/>
    <n v="4750.8599999999997"/>
    <n v="207.07"/>
    <m/>
    <n v="2265.7740100000001"/>
    <n v="2265.7740100000001"/>
    <n v="2207.2962900000002"/>
    <n v="0"/>
    <n v="31.314288654988847"/>
    <n v="0"/>
    <n v="0"/>
    <n v="0"/>
    <n v="588.31324203743873"/>
    <n v="1539.7946768420263"/>
    <n v="94.633261394922187"/>
    <n v="0"/>
    <n v="0"/>
    <n v="0"/>
    <n v="0"/>
    <n v="0"/>
    <n v="4.5740808458686786"/>
    <m/>
    <n v="0.82686799341052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958338478002"/>
    <n v="0"/>
    <n v="0"/>
    <n v="0"/>
    <n v="0"/>
    <n v="0"/>
    <m/>
    <m/>
    <m/>
    <m/>
    <m/>
    <n v="88.291851600000086"/>
    <m/>
    <m/>
    <m/>
    <n v="100.9528447797022"/>
    <m/>
    <m/>
    <m/>
    <m/>
    <m/>
    <m/>
    <m/>
    <m/>
    <m/>
    <m/>
    <m/>
    <m/>
    <n v="2125.1868000000004"/>
    <n v="-49.986249600000065"/>
    <m/>
    <m/>
    <m/>
    <m/>
    <n v="-73.659259999999719"/>
    <n v="15.18154"/>
    <n v="31"/>
    <n v="139.8257392461195"/>
    <n v="0"/>
    <n v="0"/>
    <n v="0"/>
    <n v="0"/>
    <n v="0"/>
    <n v="0"/>
    <n v="0"/>
    <n v="126.52954624924212"/>
    <n v="0"/>
    <n v="0"/>
    <n v="14.366135554164345"/>
    <n v="0"/>
    <n v="0"/>
    <n v="0"/>
    <n v="0.95936661395111322"/>
    <n v="0"/>
    <n v="-1.719901313995031"/>
    <m/>
    <n v="0"/>
    <n v="0"/>
    <n v="0"/>
    <n v="0"/>
    <n v="-0.25265857245686263"/>
    <n v="-5.6749284786079324E-2"/>
    <n v="0"/>
    <n v="38.85155490635222"/>
    <m/>
    <m/>
    <m/>
    <n v="1539.7946768420263"/>
    <n v="0"/>
    <n v="0"/>
    <n v="-73.659259999999904"/>
    <n v="15.181539999999998"/>
    <n v="0"/>
    <n v="0"/>
    <n v="-237.1552012175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Agropecuária rural"/>
    <s v="Não se aplica"/>
    <s v="Não se aplica"/>
    <s v="Fora ponta"/>
    <s v="CATIVO"/>
    <x v="4"/>
    <n v="0"/>
    <n v="0"/>
    <n v="25.484999999999999"/>
    <n v="24.465599999999998"/>
    <n v="25.484999999999999"/>
    <n v="24.465599999999998"/>
    <m/>
    <n v="94.17"/>
    <n v="207.07"/>
    <m/>
    <n v="7677.1013999999996"/>
    <n v="7677.1013999999996"/>
    <n v="8506.1284500000002"/>
    <n v="0"/>
    <n v="1746.2683728061065"/>
    <n v="0"/>
    <n v="0"/>
    <n v="0"/>
    <n v="0"/>
    <n v="0"/>
    <n v="5277.305616301076"/>
    <n v="0"/>
    <n v="0"/>
    <n v="0"/>
    <n v="0"/>
    <n v="0"/>
    <n v="255.07757189707499"/>
    <m/>
    <n v="46.111008341503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170296742206"/>
    <n v="0"/>
    <n v="0"/>
    <n v="0"/>
    <n v="0"/>
    <n v="0"/>
    <m/>
    <m/>
    <m/>
    <m/>
    <m/>
    <n v="340.24513800000034"/>
    <m/>
    <m/>
    <m/>
    <n v="5629.7226459752965"/>
    <m/>
    <m/>
    <m/>
    <m/>
    <m/>
    <m/>
    <m/>
    <m/>
    <m/>
    <m/>
    <m/>
    <m/>
    <n v="8167.3518999999997"/>
    <n v="797.30455600000005"/>
    <m/>
    <m/>
    <m/>
    <m/>
    <n v="-17.584649999999943"/>
    <n v="846.61169999999993"/>
    <n v="31"/>
    <n v="741.47369480398811"/>
    <n v="0"/>
    <n v="0"/>
    <n v="0"/>
    <n v="0"/>
    <n v="0"/>
    <n v="0"/>
    <n v="0"/>
    <n v="0"/>
    <n v="0"/>
    <n v="0"/>
    <n v="801.13996629732719"/>
    <n v="0"/>
    <n v="0"/>
    <n v="0"/>
    <n v="53.49990843882739"/>
    <n v="0"/>
    <n v="-95.911783341713999"/>
    <m/>
    <n v="0"/>
    <n v="0"/>
    <n v="0"/>
    <n v="0"/>
    <n v="-14.089723674098792"/>
    <n v="-3.1646729163528065"/>
    <n v="0"/>
    <n v="87.444741690170929"/>
    <m/>
    <m/>
    <m/>
    <n v="0"/>
    <n v="0"/>
    <n v="0"/>
    <n v="-17.584649999999783"/>
    <n v="846.6117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Agropecuária rural"/>
    <s v="Não se aplica"/>
    <s v="Não se aplica"/>
    <s v="Não se aplica"/>
    <s v="CATIVO"/>
    <x v="4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1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9"/>
    <s v="Regular"/>
    <s v="Verde"/>
    <s v="A4"/>
    <s v="Rural"/>
    <s v="Agropecuária rural"/>
    <s v="IRRIG./AQUIC. PR"/>
    <s v="Não se aplica"/>
    <s v="Fora ponta"/>
    <s v="CATIVO"/>
    <x v="4"/>
    <n v="0"/>
    <n v="0"/>
    <n v="14.56"/>
    <n v="4.3680000000000003"/>
    <n v="14.56"/>
    <n v="4.3680000000000003"/>
    <m/>
    <n v="94.17"/>
    <n v="207.07"/>
    <m/>
    <n v="4386.0544"/>
    <n v="4386.0544"/>
    <n v="4859.6912000000002"/>
    <n v="0"/>
    <n v="997.67186611955708"/>
    <n v="0"/>
    <n v="0"/>
    <n v="0"/>
    <n v="0"/>
    <n v="0"/>
    <n v="3015.0115665428161"/>
    <n v="0"/>
    <n v="0"/>
    <n v="0"/>
    <n v="0"/>
    <n v="0"/>
    <n v="145.73001557078328"/>
    <m/>
    <n v="26.34397808327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4165007089081"/>
    <n v="0"/>
    <n v="0"/>
    <n v="0"/>
    <n v="0"/>
    <n v="0"/>
    <m/>
    <m/>
    <m/>
    <m/>
    <m/>
    <m/>
    <n v="3401.7838400000001"/>
    <m/>
    <m/>
    <n v="3216.353216613707"/>
    <m/>
    <m/>
    <m/>
    <m/>
    <m/>
    <m/>
    <m/>
    <m/>
    <m/>
    <m/>
    <m/>
    <m/>
    <n v="1458.5749000000001"/>
    <n v="142.72858000000019"/>
    <m/>
    <m/>
    <m/>
    <m/>
    <n v="-10.046399999999966"/>
    <n v="483.6832"/>
    <n v="31"/>
    <n v="423.61612699023317"/>
    <n v="0"/>
    <n v="0"/>
    <n v="0"/>
    <n v="0"/>
    <n v="0"/>
    <n v="0"/>
    <n v="0"/>
    <n v="0"/>
    <n v="0"/>
    <n v="0"/>
    <n v="457.70445004077237"/>
    <n v="0"/>
    <n v="0"/>
    <n v="0"/>
    <n v="30.565378335072666"/>
    <n v="0"/>
    <n v="-54.79598059467753"/>
    <m/>
    <n v="0"/>
    <n v="0"/>
    <n v="0"/>
    <n v="0"/>
    <n v="-8.0496910612077102"/>
    <n v="-1.808029729727167"/>
    <n v="0"/>
    <n v="49.958620326030562"/>
    <m/>
    <m/>
    <m/>
    <n v="0"/>
    <n v="0"/>
    <n v="0"/>
    <n v="-10.046399999999949"/>
    <n v="483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8"/>
    <n v="235.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4"/>
    <n v="0"/>
    <n v="0"/>
    <n v="5.8970000000000002"/>
    <n v="5.8970000000000002"/>
    <n v="5.8970000000000002"/>
    <n v="5.8970000000000002"/>
    <m/>
    <n v="897.25"/>
    <n v="207.07"/>
    <m/>
    <n v="6512.1750400000001"/>
    <n v="6512.1750400000001"/>
    <n v="6531.9299900000005"/>
    <n v="0"/>
    <n v="464.44920696815666"/>
    <n v="0"/>
    <n v="0"/>
    <n v="0"/>
    <n v="1176.7296304794756"/>
    <n v="3383.0811132949216"/>
    <n v="1221.1210994438864"/>
    <n v="0"/>
    <n v="0"/>
    <n v="0"/>
    <n v="0"/>
    <n v="0"/>
    <n v="59.022658092095398"/>
    <m/>
    <n v="16.42285243930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5957322795068"/>
    <n v="0"/>
    <n v="0"/>
    <n v="0"/>
    <n v="0"/>
    <n v="0"/>
    <m/>
    <m/>
    <m/>
    <m/>
    <m/>
    <n v="783.82924000000014"/>
    <m/>
    <m/>
    <m/>
    <n v="1412.4806726718371"/>
    <m/>
    <m/>
    <m/>
    <m/>
    <m/>
    <m/>
    <m/>
    <m/>
    <m/>
    <m/>
    <m/>
    <m/>
    <n v="5751.0249999999996"/>
    <n v="20.231429999998909"/>
    <m/>
    <m/>
    <m/>
    <m/>
    <n v="-176.14339000000004"/>
    <n v="195.89833999999999"/>
    <n v="31"/>
    <n v="437.61117858472107"/>
    <n v="0"/>
    <n v="0"/>
    <n v="0"/>
    <n v="0"/>
    <n v="0"/>
    <n v="0"/>
    <n v="0"/>
    <n v="253.08127637407119"/>
    <n v="0"/>
    <n v="0"/>
    <n v="185.37658941555196"/>
    <n v="0"/>
    <n v="0"/>
    <n v="0"/>
    <n v="29.05001400202417"/>
    <n v="0"/>
    <n v="-25.509338888374316"/>
    <m/>
    <n v="0"/>
    <n v="0"/>
    <n v="0"/>
    <n v="0"/>
    <n v="-3.2602354524685353"/>
    <n v="-1.1271268660836764"/>
    <n v="0"/>
    <n v="103.2022205637362"/>
    <m/>
    <m/>
    <m/>
    <n v="3383.0811132949216"/>
    <n v="0"/>
    <n v="0"/>
    <n v="-176.14339000000018"/>
    <n v="195.89833999999996"/>
    <n v="0"/>
    <n v="0"/>
    <n v="-521.0534198002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 PR"/>
    <s v="Não se aplica"/>
    <s v="Não se aplica"/>
    <s v="CATIVO"/>
    <x v="4"/>
    <n v="0"/>
    <n v="0"/>
    <n v="2.9569999999999999"/>
    <n v="1.1828000000000001"/>
    <n v="2.9569999999999999"/>
    <n v="1.1828000000000001"/>
    <m/>
    <n v="897.25"/>
    <n v="207.07"/>
    <m/>
    <n v="3265.4742399999996"/>
    <n v="3265.4742399999996"/>
    <n v="3275.3801899999999"/>
    <n v="0"/>
    <n v="232.89406562741038"/>
    <n v="0"/>
    <n v="0"/>
    <n v="0"/>
    <n v="590.06096614003889"/>
    <n v="1696.4169665954014"/>
    <n v="612.32068696889473"/>
    <n v="0"/>
    <n v="0"/>
    <n v="0"/>
    <n v="0"/>
    <n v="0"/>
    <n v="29.596404947994927"/>
    <m/>
    <n v="8.235098297950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55614386137029"/>
    <n v="0"/>
    <n v="0"/>
    <n v="0"/>
    <n v="0"/>
    <n v="0"/>
    <m/>
    <m/>
    <m/>
    <m/>
    <m/>
    <m/>
    <n v="2122.44589"/>
    <m/>
    <m/>
    <n v="708.27630135503182"/>
    <m/>
    <m/>
    <m/>
    <m/>
    <m/>
    <m/>
    <m/>
    <m/>
    <m/>
    <m/>
    <m/>
    <m/>
    <n v="1150.2049999999999"/>
    <n v="0.71813199999996868"/>
    <m/>
    <m/>
    <m/>
    <m/>
    <n v="-88.325590000000005"/>
    <n v="98.231539999999995"/>
    <n v="31"/>
    <n v="219.4363668093979"/>
    <n v="0"/>
    <n v="0"/>
    <n v="0"/>
    <n v="0"/>
    <n v="0"/>
    <n v="0"/>
    <n v="0"/>
    <n v="126.90543229406956"/>
    <n v="0"/>
    <n v="0"/>
    <n v="92.955498541934276"/>
    <n v="0"/>
    <n v="0"/>
    <n v="0"/>
    <n v="14.566880007458963"/>
    <n v="0"/>
    <n v="-12.791438882978269"/>
    <m/>
    <n v="0"/>
    <n v="0"/>
    <n v="0"/>
    <n v="0"/>
    <n v="-1.634817065109285"/>
    <n v="-0.56518808597751935"/>
    <n v="0"/>
    <n v="51.749867086140057"/>
    <m/>
    <m/>
    <m/>
    <n v="1696.4169665954014"/>
    <n v="0"/>
    <n v="0"/>
    <n v="-88.32558999999992"/>
    <n v="98.231539999999995"/>
    <n v="0"/>
    <n v="0"/>
    <n v="-261.2777619720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5"/>
    <n v="0"/>
    <n v="0"/>
    <n v="748.72400000000005"/>
    <n v="748.72400000000005"/>
    <n v="748.72400000000005"/>
    <n v="748.72400000000005"/>
    <m/>
    <n v="897.25"/>
    <n v="207.07"/>
    <m/>
    <n v="826830.88768000004"/>
    <n v="826830.88768000004"/>
    <n v="829339.11308000004"/>
    <n v="0"/>
    <n v="58969.691035785334"/>
    <n v="0"/>
    <n v="0"/>
    <n v="0"/>
    <n v="149405.75137376887"/>
    <n v="429539.43080729636"/>
    <n v="155042.0000101788"/>
    <n v="0"/>
    <n v="0"/>
    <n v="0"/>
    <n v="0"/>
    <n v="0"/>
    <n v="7493.9258364161506"/>
    <m/>
    <n v="2085.159194465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6.337986353083"/>
    <n v="0"/>
    <n v="1367.5"/>
    <n v="6346.61"/>
    <n v="0"/>
    <n v="6235"/>
    <m/>
    <m/>
    <m/>
    <m/>
    <m/>
    <m/>
    <m/>
    <m/>
    <m/>
    <n v="179338.33799653189"/>
    <m/>
    <m/>
    <m/>
    <m/>
    <m/>
    <m/>
    <m/>
    <m/>
    <m/>
    <m/>
    <m/>
    <m/>
    <n v="829334.68240000005"/>
    <n v="2503.7647199999774"/>
    <m/>
    <m/>
    <m/>
    <m/>
    <n v="-22364.385880000005"/>
    <n v="24872.611280000001"/>
    <n v="30"/>
    <n v="55562.14890192746"/>
    <n v="0"/>
    <n v="0"/>
    <n v="0"/>
    <n v="0"/>
    <n v="0"/>
    <n v="0"/>
    <n v="0"/>
    <n v="32132.953293522121"/>
    <n v="0"/>
    <n v="0"/>
    <n v="23536.696885462035"/>
    <n v="0"/>
    <n v="0"/>
    <n v="0"/>
    <n v="3688.3911622268206"/>
    <n v="0"/>
    <n v="-3238.8425046395059"/>
    <m/>
    <n v="0"/>
    <n v="0"/>
    <n v="0"/>
    <n v="0"/>
    <n v="-413.9420941010776"/>
    <n v="-143.10784054292617"/>
    <n v="0"/>
    <n v="13103.269355496494"/>
    <m/>
    <m/>
    <m/>
    <n v="429539.43080729636"/>
    <n v="0"/>
    <n v="0"/>
    <n v="-22364.385880000074"/>
    <n v="24872.611279999983"/>
    <n v="0"/>
    <n v="0"/>
    <n v="-66156.5542965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20000000000001"/>
    <n v="-1.8620000000000001"/>
    <n v="-1.8620000000000001"/>
    <n v="-1.8620000000000001"/>
    <m/>
    <n v="897.25"/>
    <n v="207.07"/>
    <m/>
    <n v="-2056.2438400000001"/>
    <n v="-2056.2438400000001"/>
    <n v="-2062.4815400000002"/>
    <n v="0"/>
    <n v="-146.65158951580597"/>
    <n v="0"/>
    <n v="0"/>
    <n v="0"/>
    <n v="-371.55682074830997"/>
    <n v="-1068.2206262430293"/>
    <n v="-385.57359456749475"/>
    <n v="0"/>
    <n v="0"/>
    <n v="0"/>
    <n v="0"/>
    <n v="0"/>
    <n v="-18.636626991263633"/>
    <m/>
    <n v="-5.185577622855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22507266481965"/>
    <n v="0"/>
    <n v="-12.57"/>
    <n v="-58.02"/>
    <n v="0"/>
    <n v="0"/>
    <m/>
    <m/>
    <m/>
    <m/>
    <m/>
    <m/>
    <m/>
    <m/>
    <m/>
    <n v="-445.9961018339767"/>
    <m/>
    <m/>
    <m/>
    <m/>
    <m/>
    <m/>
    <m/>
    <m/>
    <m/>
    <m/>
    <m/>
    <m/>
    <n v="-2060.2662"/>
    <n v="-4.0523600000001352"/>
    <m/>
    <m/>
    <m/>
    <m/>
    <n v="55.617940000000011"/>
    <n v="-61.855640000000001"/>
    <n v="30"/>
    <n v="-138.17738079103765"/>
    <n v="0"/>
    <n v="0"/>
    <n v="0"/>
    <n v="0"/>
    <n v="0"/>
    <n v="0"/>
    <n v="0"/>
    <n v="-79.911367917334246"/>
    <n v="0"/>
    <n v="0"/>
    <n v="-58.533357553291069"/>
    <n v="0"/>
    <n v="0"/>
    <n v="0"/>
    <n v="-9.1726515298913043"/>
    <n v="0"/>
    <n v="8.0546700034174989"/>
    <m/>
    <n v="0"/>
    <n v="0"/>
    <n v="0"/>
    <n v="0"/>
    <n v="1.0294316453275272"/>
    <n v="0.35589456073389947"/>
    <n v="0"/>
    <n v="-32.586490535810889"/>
    <m/>
    <m/>
    <m/>
    <n v="-1068.2206262430293"/>
    <n v="0"/>
    <n v="0"/>
    <n v="55.61794000000009"/>
    <n v="-61.855639999999994"/>
    <n v="0"/>
    <n v="0"/>
    <n v="164.5245832911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4.1399999999999997"/>
    <n v="4.1399999999999997"/>
    <n v="4.1399999999999997"/>
    <n v="4.1399999999999997"/>
    <m/>
    <n v="897.25"/>
    <n v="207.07"/>
    <m/>
    <n v="4571.8847999999998"/>
    <n v="4571.8847999999998"/>
    <n v="4585.7537999999995"/>
    <n v="0"/>
    <n v="326.06744392880591"/>
    <n v="0"/>
    <n v="0"/>
    <n v="0"/>
    <n v="826.12526202900267"/>
    <n v="2375.0984922911603"/>
    <n v="857.29037675049847"/>
    <n v="0"/>
    <n v="0"/>
    <n v="0"/>
    <n v="0"/>
    <n v="0"/>
    <n v="41.436968713121068"/>
    <m/>
    <n v="11.52969460720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4435020581918"/>
    <n v="0"/>
    <n v="15.61"/>
    <n v="72.19"/>
    <n v="0"/>
    <n v="48"/>
    <m/>
    <m/>
    <m/>
    <m/>
    <m/>
    <m/>
    <m/>
    <m/>
    <m/>
    <n v="991.63472695631765"/>
    <m/>
    <m/>
    <m/>
    <m/>
    <m/>
    <m/>
    <m/>
    <m/>
    <m/>
    <m/>
    <m/>
    <m/>
    <n v="4585.7537999999995"/>
    <n v="13.838999999999032"/>
    <m/>
    <m/>
    <m/>
    <m/>
    <n v="-123.66180000000001"/>
    <n v="137.53079999999997"/>
    <n v="30"/>
    <n v="307.22575535708665"/>
    <n v="0"/>
    <n v="0"/>
    <n v="0"/>
    <n v="0"/>
    <n v="0"/>
    <n v="0"/>
    <n v="0"/>
    <n v="177.67618860245113"/>
    <n v="0"/>
    <n v="0"/>
    <n v="130.14398510774697"/>
    <n v="0"/>
    <n v="0"/>
    <n v="0"/>
    <n v="20.394617257653039"/>
    <n v="0"/>
    <n v="-17.908879599435295"/>
    <m/>
    <n v="0"/>
    <n v="0"/>
    <n v="0"/>
    <n v="0"/>
    <n v="-2.2888544638324149"/>
    <n v="-0.79130154749642578"/>
    <n v="0"/>
    <n v="72.453314080696586"/>
    <m/>
    <m/>
    <m/>
    <n v="2375.0984922911603"/>
    <n v="0"/>
    <n v="0"/>
    <n v="-123.66179999999986"/>
    <n v="137.5308"/>
    <n v="0"/>
    <n v="0"/>
    <n v="-365.8065385743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34"/>
    <n v="2.34"/>
    <n v="2.34"/>
    <n v="2.34"/>
    <m/>
    <n v="808.48"/>
    <n v="207.07"/>
    <m/>
    <n v="2376.3870000000002"/>
    <n v="2376.3870000000002"/>
    <n v="2391.9947999999999"/>
    <n v="0"/>
    <n v="0"/>
    <n v="0"/>
    <n v="0"/>
    <n v="0"/>
    <n v="466.94036549465369"/>
    <n v="1342.4469739036995"/>
    <n v="484.55543033723825"/>
    <n v="0"/>
    <n v="0"/>
    <n v="0"/>
    <n v="0"/>
    <n v="0"/>
    <n v="0"/>
    <m/>
    <n v="6.5167839084220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33763159810837"/>
    <n v="0"/>
    <n v="2.31"/>
    <n v="10.95"/>
    <n v="0"/>
    <n v="2"/>
    <m/>
    <m/>
    <m/>
    <m/>
    <m/>
    <m/>
    <m/>
    <n v="1554.7895999999998"/>
    <m/>
    <n v="560.48919349704909"/>
    <m/>
    <m/>
    <m/>
    <m/>
    <m/>
    <m/>
    <m/>
    <m/>
    <m/>
    <m/>
    <m/>
    <m/>
    <n v="837.20519999999999"/>
    <n v="5.4221999999999753"/>
    <m/>
    <m/>
    <m/>
    <m/>
    <n v="-62.127000000000159"/>
    <n v="77.734799999999993"/>
    <n v="30"/>
    <n v="185.06545054193953"/>
    <n v="0"/>
    <n v="0"/>
    <n v="0"/>
    <n v="0"/>
    <n v="0"/>
    <n v="0"/>
    <n v="0"/>
    <n v="100.42567181877672"/>
    <n v="0"/>
    <n v="0"/>
    <n v="73.559643756552646"/>
    <n v="0"/>
    <n v="0"/>
    <n v="0"/>
    <n v="11.527392363021292"/>
    <n v="0"/>
    <n v="0"/>
    <m/>
    <n v="0"/>
    <n v="0"/>
    <n v="0"/>
    <n v="0"/>
    <n v="0"/>
    <n v="-0.44725739641102358"/>
    <n v="0"/>
    <n v="37.312714991382755"/>
    <m/>
    <m/>
    <m/>
    <n v="1342.4469739036995"/>
    <n v="0"/>
    <n v="0"/>
    <n v="-62.12700000000018"/>
    <n v="77.734800000000007"/>
    <n v="0"/>
    <n v="0"/>
    <n v="-206.7602174550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.665"/>
    <n v="4.665"/>
    <n v="4.665"/>
    <n v="4.665"/>
    <m/>
    <n v="808.48"/>
    <n v="207.07"/>
    <m/>
    <n v="4737.5407500000001"/>
    <n v="4737.5407500000001"/>
    <n v="4768.6562999999996"/>
    <n v="0"/>
    <n v="0"/>
    <n v="0"/>
    <n v="0"/>
    <n v="0"/>
    <n v="930.88752351818789"/>
    <n v="2676.2885184875036"/>
    <n v="966.00473612103281"/>
    <n v="0"/>
    <n v="0"/>
    <n v="0"/>
    <n v="0"/>
    <n v="0"/>
    <n v="0"/>
    <m/>
    <n v="12.991793561020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8077142757163"/>
    <n v="0"/>
    <n v="7.54"/>
    <n v="34.97"/>
    <n v="0"/>
    <n v="20"/>
    <m/>
    <m/>
    <m/>
    <m/>
    <m/>
    <m/>
    <m/>
    <n v="1907.4251999999997"/>
    <m/>
    <n v="1117.3855075486044"/>
    <m/>
    <m/>
    <m/>
    <m/>
    <m/>
    <m/>
    <m/>
    <m/>
    <m/>
    <m/>
    <m/>
    <m/>
    <n v="2864.2978000000003"/>
    <n v="21.743349999999737"/>
    <m/>
    <m/>
    <m/>
    <m/>
    <n v="-123.85575000000031"/>
    <n v="154.97129999999999"/>
    <n v="30"/>
    <n v="368.94458409322579"/>
    <n v="0"/>
    <n v="0"/>
    <n v="0"/>
    <n v="0"/>
    <n v="0"/>
    <n v="0"/>
    <n v="0"/>
    <n v="200.20758933102275"/>
    <n v="0"/>
    <n v="0"/>
    <n v="146.64775133517867"/>
    <n v="0"/>
    <n v="0"/>
    <n v="0"/>
    <n v="22.980891185253967"/>
    <n v="0"/>
    <n v="0"/>
    <m/>
    <n v="0"/>
    <n v="0"/>
    <n v="0"/>
    <n v="0"/>
    <n v="0"/>
    <n v="-0.89164775822966647"/>
    <n v="0"/>
    <n v="74.386245912307942"/>
    <m/>
    <m/>
    <m/>
    <n v="2676.2885184875036"/>
    <n v="0"/>
    <n v="0"/>
    <n v="-123.85575000000017"/>
    <n v="154.97129999999993"/>
    <n v="0"/>
    <n v="0"/>
    <n v="-412.1950489008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6970000000000001"/>
    <n v="2.6970000000000001"/>
    <n v="2.6970000000000001"/>
    <n v="2.6970000000000001"/>
    <m/>
    <n v="808.48"/>
    <n v="207.07"/>
    <m/>
    <n v="2738.9383500000004"/>
    <n v="2738.9383500000004"/>
    <n v="2756.9273400000002"/>
    <n v="0"/>
    <n v="0"/>
    <n v="0"/>
    <n v="0"/>
    <n v="0"/>
    <n v="538.17870330729966"/>
    <n v="1547.2561917172127"/>
    <n v="558.48119470920153"/>
    <n v="0"/>
    <n v="0"/>
    <n v="0"/>
    <n v="0"/>
    <n v="0"/>
    <n v="0"/>
    <m/>
    <n v="7.5110111970146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18529590602498"/>
    <n v="0"/>
    <n v="6.3"/>
    <n v="29.27"/>
    <n v="0"/>
    <n v="52"/>
    <m/>
    <m/>
    <m/>
    <m/>
    <m/>
    <m/>
    <m/>
    <n v="275.68733999999984"/>
    <m/>
    <n v="645.99972429980403"/>
    <m/>
    <m/>
    <m/>
    <m/>
    <m/>
    <m/>
    <m/>
    <m/>
    <m/>
    <m/>
    <m/>
    <m/>
    <n v="2484"/>
    <n v="18.911999999999807"/>
    <m/>
    <m/>
    <m/>
    <m/>
    <n v="-71.605350000000186"/>
    <n v="89.594340000000003"/>
    <n v="30"/>
    <n v="213.29979491949189"/>
    <n v="0"/>
    <n v="0"/>
    <n v="0"/>
    <n v="0"/>
    <n v="0"/>
    <n v="0"/>
    <n v="0"/>
    <n v="115.74702431420542"/>
    <n v="0"/>
    <n v="0"/>
    <n v="84.782204791206254"/>
    <n v="0"/>
    <n v="0"/>
    <n v="0"/>
    <n v="13.286058633789935"/>
    <n v="0"/>
    <n v="0"/>
    <m/>
    <n v="0"/>
    <n v="0"/>
    <n v="0"/>
    <n v="0"/>
    <n v="0"/>
    <n v="-0.51549281970962824"/>
    <n v="0"/>
    <n v="43.005295868273208"/>
    <m/>
    <m/>
    <m/>
    <n v="1547.2561917172127"/>
    <n v="0"/>
    <n v="0"/>
    <n v="-71.605350000000271"/>
    <n v="89.594339999999988"/>
    <n v="0"/>
    <n v="0"/>
    <n v="-238.3044044770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153"/>
    <n v="0.153"/>
    <n v="0.153"/>
    <n v="0.153"/>
    <m/>
    <n v="808.48"/>
    <n v="207.07"/>
    <m/>
    <n v="155.37915000000001"/>
    <n v="155.37915000000001"/>
    <n v="156.39965999999998"/>
    <n v="0"/>
    <n v="0"/>
    <n v="0"/>
    <n v="0"/>
    <n v="0"/>
    <n v="30.530716205419665"/>
    <n v="87.775379062934192"/>
    <n v="31.68247044512712"/>
    <n v="0"/>
    <n v="0"/>
    <n v="0"/>
    <n v="0"/>
    <n v="0"/>
    <n v="0"/>
    <m/>
    <n v="0.4260974093968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648998989107085"/>
    <n v="0"/>
    <n v="0"/>
    <n v="0"/>
    <n v="0"/>
    <n v="4"/>
    <m/>
    <m/>
    <m/>
    <m/>
    <m/>
    <m/>
    <m/>
    <m/>
    <m/>
    <n v="36.647370344037824"/>
    <m/>
    <m/>
    <m/>
    <m/>
    <m/>
    <m/>
    <m/>
    <m/>
    <m/>
    <m/>
    <m/>
    <m/>
    <n v="153.33299999999997"/>
    <n v="-2.076150000000041"/>
    <m/>
    <m/>
    <m/>
    <m/>
    <n v="-4.0621500000000106"/>
    <n v="5.0826599999999997"/>
    <n v="30"/>
    <n v="12.100433304665287"/>
    <n v="0"/>
    <n v="0"/>
    <n v="0"/>
    <n v="0"/>
    <n v="0"/>
    <n v="0"/>
    <n v="0"/>
    <n v="6.5662939266123246"/>
    <n v="0"/>
    <n v="0"/>
    <n v="4.8096690148515187"/>
    <n v="0"/>
    <n v="0"/>
    <n v="0"/>
    <n v="0.75371411604370042"/>
    <n v="0"/>
    <n v="0"/>
    <m/>
    <n v="0"/>
    <n v="0"/>
    <n v="0"/>
    <n v="0"/>
    <n v="0"/>
    <n v="-2.9243752842259219E-2"/>
    <n v="0"/>
    <n v="2.4396775186673341"/>
    <m/>
    <m/>
    <m/>
    <n v="87.775379062934192"/>
    <n v="0"/>
    <n v="0"/>
    <n v="-4.0621500000000168"/>
    <n v="5.0826600000000006"/>
    <n v="0"/>
    <n v="0"/>
    <n v="-13.5189372951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0"/>
    <s v="Regular"/>
    <s v="Branca"/>
    <s v="B1"/>
    <s v="Residencial"/>
    <s v="Residencial"/>
    <s v="Não se aplica"/>
    <s v="Não se aplica"/>
    <s v="Fora ponta"/>
    <s v="CATIVO"/>
    <x v="5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2"/>
    <n v="1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32"/>
    <s v="Regular"/>
    <s v="Convencional"/>
    <s v="B3"/>
    <s v="Industrial"/>
    <s v="Não se aplica"/>
    <s v="Não se aplica"/>
    <s v="Não se aplica"/>
    <s v="Não se aplica"/>
    <s v="CATIVO"/>
    <x v="5"/>
    <n v="0"/>
    <n v="0"/>
    <n v="5.9859999999999998"/>
    <n v="5.9859999999999998"/>
    <n v="5.9859999999999998"/>
    <n v="5.9859999999999998"/>
    <m/>
    <n v="897.25"/>
    <n v="207.07"/>
    <m/>
    <n v="6610.4595200000003"/>
    <n v="6610.4595200000003"/>
    <n v="6630.5126199999995"/>
    <n v="0"/>
    <n v="471.4588694101044"/>
    <n v="0"/>
    <n v="0"/>
    <n v="0"/>
    <n v="1194.4893281414518"/>
    <n v="3434.139993926301"/>
    <n v="1239.5507717943199"/>
    <n v="0"/>
    <n v="0"/>
    <n v="0"/>
    <n v="0"/>
    <n v="0"/>
    <n v="59.913452830131092"/>
    <m/>
    <n v="16.67071302385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476522541144"/>
    <n v="0"/>
    <n v="0"/>
    <n v="0"/>
    <n v="0"/>
    <n v="9"/>
    <m/>
    <m/>
    <m/>
    <m/>
    <m/>
    <m/>
    <m/>
    <m/>
    <m/>
    <n v="1433.7984240484343"/>
    <m/>
    <m/>
    <m/>
    <m/>
    <m/>
    <m/>
    <m/>
    <m/>
    <m/>
    <m/>
    <m/>
    <m/>
    <n v="6634.9432999999999"/>
    <n v="24.453779999998915"/>
    <m/>
    <m/>
    <m/>
    <m/>
    <n v="-178.80182000000002"/>
    <n v="198.85491999999999"/>
    <n v="30"/>
    <n v="444.21579023370168"/>
    <n v="0"/>
    <n v="0"/>
    <n v="0"/>
    <n v="0"/>
    <n v="0"/>
    <n v="0"/>
    <n v="0"/>
    <n v="256.90088525948613"/>
    <n v="0"/>
    <n v="0"/>
    <n v="188.17437073791621"/>
    <n v="0"/>
    <n v="0"/>
    <n v="0"/>
    <n v="29.488449010703192"/>
    <n v="0"/>
    <n v="-25.894336541598932"/>
    <m/>
    <n v="0"/>
    <n v="0"/>
    <n v="0"/>
    <n v="0"/>
    <n v="-3.3094402948069614"/>
    <n v="-1.1441379379984546"/>
    <n v="0"/>
    <n v="104.75979180846613"/>
    <m/>
    <m/>
    <m/>
    <n v="3434.139993926301"/>
    <n v="0"/>
    <n v="0"/>
    <n v="-178.80182000000059"/>
    <n v="198.85491999999999"/>
    <n v="0"/>
    <n v="0"/>
    <n v="-528.917376788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Ponta"/>
    <s v="CATIVO"/>
    <x v="5"/>
    <n v="0"/>
    <n v="0"/>
    <n v="1.0609999999999999"/>
    <n v="1.0609999999999999"/>
    <n v="1.0609999999999999"/>
    <n v="1.0609999999999999"/>
    <m/>
    <n v="4750.8599999999997"/>
    <n v="207.07"/>
    <m/>
    <n v="5260.3637299999991"/>
    <n v="5260.3637299999991"/>
    <n v="5124.5981700000002"/>
    <n v="0"/>
    <n v="72.701225958300128"/>
    <n v="0"/>
    <n v="0"/>
    <n v="0"/>
    <n v="1365.8650980344037"/>
    <n v="3574.8843591452733"/>
    <n v="219.70654341359392"/>
    <n v="0"/>
    <n v="0"/>
    <n v="0"/>
    <n v="0"/>
    <n v="0"/>
    <n v="10.619474348942379"/>
    <m/>
    <n v="1.919708842469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1943044314226"/>
    <n v="0"/>
    <n v="0"/>
    <n v="0"/>
    <n v="0"/>
    <n v="0"/>
    <m/>
    <m/>
    <m/>
    <m/>
    <m/>
    <m/>
    <m/>
    <m/>
    <m/>
    <n v="234.37848645790814"/>
    <m/>
    <m/>
    <m/>
    <m/>
    <m/>
    <m/>
    <m/>
    <m/>
    <m/>
    <m/>
    <m/>
    <m/>
    <n v="5119.7682000000004"/>
    <n v="-140.62552999999934"/>
    <m/>
    <m/>
    <m/>
    <m/>
    <n v="-171.01197999999934"/>
    <n v="35.246419999999993"/>
    <n v="30"/>
    <n v="324.62824800904355"/>
    <n v="0"/>
    <n v="0"/>
    <n v="0"/>
    <n v="0"/>
    <n v="0"/>
    <n v="0"/>
    <n v="0"/>
    <n v="293.75896842548332"/>
    <n v="0"/>
    <n v="0"/>
    <n v="33.353325652009573"/>
    <n v="0"/>
    <n v="0"/>
    <n v="0"/>
    <n v="2.2273259899390183"/>
    <n v="0"/>
    <n v="-3.9930312782247768"/>
    <m/>
    <n v="0"/>
    <n v="0"/>
    <n v="0"/>
    <n v="0"/>
    <n v="-0.5865880642816883"/>
    <n v="-0.13175271588190407"/>
    <n v="0"/>
    <n v="90.200218283675511"/>
    <m/>
    <m/>
    <m/>
    <n v="3574.8843591452733"/>
    <n v="0"/>
    <n v="0"/>
    <n v="-171.01197999999931"/>
    <n v="35.246419999999972"/>
    <n v="0"/>
    <n v="0"/>
    <n v="-550.5944605948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Fora ponta"/>
    <s v="CATIVO"/>
    <x v="5"/>
    <n v="0"/>
    <n v="0"/>
    <n v="47.845999999999997"/>
    <n v="47.845999999999997"/>
    <n v="47.845999999999997"/>
    <n v="47.845999999999997"/>
    <m/>
    <n v="94.17"/>
    <n v="207.07"/>
    <m/>
    <n v="14413.12904"/>
    <n v="14413.12904"/>
    <n v="15969.55942"/>
    <n v="0"/>
    <n v="3278.4758314805167"/>
    <n v="0"/>
    <n v="0"/>
    <n v="0"/>
    <n v="0"/>
    <n v="0"/>
    <n v="9907.709025604916"/>
    <n v="0"/>
    <n v="0"/>
    <n v="0"/>
    <n v="0"/>
    <n v="0"/>
    <n v="478.88724759613297"/>
    <m/>
    <n v="86.56964116568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63410640740665"/>
    <n v="0"/>
    <n v="0"/>
    <n v="0"/>
    <n v="0"/>
    <n v="0"/>
    <m/>
    <m/>
    <m/>
    <m/>
    <m/>
    <m/>
    <m/>
    <m/>
    <m/>
    <n v="10569.343132012322"/>
    <m/>
    <m/>
    <m/>
    <m/>
    <m/>
    <m/>
    <m/>
    <m/>
    <m/>
    <m/>
    <m/>
    <m/>
    <n v="15970.8945"/>
    <n v="1557.7354599999999"/>
    <m/>
    <m/>
    <m/>
    <m/>
    <n v="-33.013739999999892"/>
    <n v="1589.4441199999999"/>
    <n v="30"/>
    <n v="1392.0561271960614"/>
    <n v="0"/>
    <n v="0"/>
    <n v="0"/>
    <n v="0"/>
    <n v="0"/>
    <n v="0"/>
    <n v="0"/>
    <n v="0"/>
    <n v="0"/>
    <n v="0"/>
    <n v="1504.0746646051357"/>
    <n v="0"/>
    <n v="0"/>
    <n v="0"/>
    <n v="100.44169586675048"/>
    <n v="0"/>
    <n v="-180.06651700088878"/>
    <m/>
    <n v="0"/>
    <n v="0"/>
    <n v="0"/>
    <n v="0"/>
    <n v="-26.452302095779089"/>
    <n v="-5.9414141791569932"/>
    <n v="0"/>
    <n v="164.17033984335563"/>
    <m/>
    <m/>
    <m/>
    <n v="0"/>
    <n v="0"/>
    <n v="0"/>
    <n v="-33.013739999999416"/>
    <n v="1589.444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Não se aplica"/>
    <s v="CATIVO"/>
    <x v="5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5"/>
    <n v="0"/>
    <n v="0"/>
    <n v="97.465000000000003"/>
    <n v="97.465000000000003"/>
    <n v="97.465000000000003"/>
    <n v="97.465000000000003"/>
    <m/>
    <n v="897.25"/>
    <n v="207.07"/>
    <m/>
    <n v="107632.5488"/>
    <n v="107632.5488"/>
    <n v="107959.05654999999"/>
    <n v="0"/>
    <n v="7676.3679764543649"/>
    <n v="0"/>
    <n v="0"/>
    <n v="0"/>
    <n v="19448.864411511295"/>
    <n v="55915.211244241058"/>
    <n v="20182.561973426895"/>
    <n v="0"/>
    <n v="0"/>
    <n v="0"/>
    <n v="0"/>
    <n v="0"/>
    <n v="975.52032744549399"/>
    <m/>
    <n v="271.4351895873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2.7710369106685"/>
    <n v="0"/>
    <n v="183.69"/>
    <n v="849.21"/>
    <n v="0"/>
    <n v="236"/>
    <m/>
    <m/>
    <m/>
    <m/>
    <m/>
    <m/>
    <m/>
    <m/>
    <m/>
    <n v="23345.333010337563"/>
    <m/>
    <m/>
    <m/>
    <m/>
    <m/>
    <m/>
    <m/>
    <m/>
    <m/>
    <m/>
    <m/>
    <m/>
    <n v="107964.5949"/>
    <n v="332.01610000000801"/>
    <m/>
    <m/>
    <m/>
    <m/>
    <n v="-2911.2795500000007"/>
    <n v="3237.7873"/>
    <n v="30"/>
    <n v="7232.7918468305506"/>
    <n v="0"/>
    <n v="0"/>
    <n v="0"/>
    <n v="0"/>
    <n v="0"/>
    <n v="0"/>
    <n v="0"/>
    <n v="4182.9008990671246"/>
    <n v="0"/>
    <n v="0"/>
    <n v="3063.8849054411985"/>
    <n v="0"/>
    <n v="0"/>
    <n v="0"/>
    <n v="480.13559686404687"/>
    <n v="0"/>
    <n v="-421.61568844419253"/>
    <m/>
    <n v="0"/>
    <n v="0"/>
    <n v="0"/>
    <n v="0"/>
    <n v="-53.884830994547315"/>
    <n v="-18.629035103077086"/>
    <n v="0"/>
    <n v="1705.7155209843222"/>
    <m/>
    <m/>
    <m/>
    <n v="55915.211244241058"/>
    <n v="0"/>
    <n v="0"/>
    <n v="-2911.2795500000066"/>
    <n v="3237.7873"/>
    <n v="0"/>
    <n v="0"/>
    <n v="-8611.916493273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004"/>
    <n v="1.004"/>
    <n v="1.004"/>
    <n v="1.004"/>
    <m/>
    <n v="897.25"/>
    <n v="207.07"/>
    <m/>
    <n v="1108.7372800000001"/>
    <n v="1108.7372800000001"/>
    <n v="1112.10068"/>
    <n v="0"/>
    <n v="79.075293165343268"/>
    <n v="0"/>
    <n v="0"/>
    <n v="0"/>
    <n v="200.34535340027023"/>
    <n v="575.99006914500615"/>
    <n v="207.90327011050738"/>
    <n v="0"/>
    <n v="0"/>
    <n v="0"/>
    <n v="0"/>
    <n v="0"/>
    <n v="10.048965359413902"/>
    <m/>
    <n v="2.7960901897674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0127441217989"/>
    <n v="0"/>
    <n v="20.260000000000002"/>
    <n v="93.58"/>
    <n v="0"/>
    <n v="7"/>
    <m/>
    <m/>
    <m/>
    <m/>
    <m/>
    <m/>
    <m/>
    <m/>
    <m/>
    <n v="240.48339755172537"/>
    <m/>
    <m/>
    <m/>
    <m/>
    <m/>
    <m/>
    <m/>
    <m/>
    <m/>
    <m/>
    <m/>
    <m/>
    <n v="1107.67"/>
    <n v="-1.0972799999999552"/>
    <m/>
    <m/>
    <m/>
    <m/>
    <n v="-29.989480000000004"/>
    <n v="33.352879999999999"/>
    <n v="30"/>
    <n v="74.505956130076129"/>
    <n v="0"/>
    <n v="0"/>
    <n v="0"/>
    <n v="0"/>
    <n v="0"/>
    <n v="0"/>
    <n v="0"/>
    <n v="43.088621583782839"/>
    <n v="0"/>
    <n v="0"/>
    <n v="31.5614881758884"/>
    <n v="0"/>
    <n v="0"/>
    <n v="0"/>
    <n v="4.9459409967834915"/>
    <n v="0"/>
    <n v="-4.3431195936794609"/>
    <m/>
    <n v="0"/>
    <n v="0"/>
    <n v="0"/>
    <n v="0"/>
    <n v="-0.55507485064921269"/>
    <n v="-0.19190018204985781"/>
    <n v="0"/>
    <n v="17.570803704594056"/>
    <m/>
    <m/>
    <m/>
    <n v="575.99006914500615"/>
    <n v="0"/>
    <n v="0"/>
    <n v="-29.989480000000071"/>
    <n v="33.352879999999999"/>
    <n v="0"/>
    <n v="0"/>
    <n v="-88.71250355765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9"/>
    <s v="Regular"/>
    <s v="Azul"/>
    <s v="A4"/>
    <s v="Comercial"/>
    <s v="Não se aplica"/>
    <s v="Não se aplica"/>
    <s v="Não se aplica"/>
    <s v="Ponta"/>
    <s v="CATIVO"/>
    <x v="5"/>
    <n v="100"/>
    <n v="100"/>
    <n v="3.4049999999999998"/>
    <n v="3.4049999999999998"/>
    <n v="3.4049999999999998"/>
    <n v="3.4049999999999998"/>
    <n v="193.63"/>
    <n v="94.17"/>
    <n v="207.07"/>
    <n v="19363"/>
    <n v="1025.7221999999999"/>
    <n v="20388.7222"/>
    <n v="19831.486850000001"/>
    <n v="0"/>
    <n v="233.31543297644859"/>
    <n v="0"/>
    <n v="0"/>
    <n v="0"/>
    <n v="5352.7545792855199"/>
    <n v="14009.762805225198"/>
    <n v="705.09027363175051"/>
    <n v="0"/>
    <n v="0"/>
    <n v="0"/>
    <n v="0"/>
    <n v="0"/>
    <n v="34.080405427095947"/>
    <m/>
    <n v="6.160799819612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85736160122465"/>
    <n v="0"/>
    <n v="0"/>
    <n v="0"/>
    <n v="0"/>
    <n v="0"/>
    <m/>
    <m/>
    <m/>
    <m/>
    <m/>
    <m/>
    <m/>
    <m/>
    <m/>
    <n v="752.17600979187296"/>
    <m/>
    <m/>
    <m/>
    <m/>
    <m/>
    <m/>
    <m/>
    <m/>
    <m/>
    <m/>
    <m/>
    <m/>
    <n v="19833.155700000003"/>
    <n v="-555.59649999999237"/>
    <m/>
    <m/>
    <m/>
    <m/>
    <n v="-670.34945000000073"/>
    <n v="113.11409999999999"/>
    <n v="30"/>
    <n v="1250.2930040111132"/>
    <n v="0"/>
    <n v="0"/>
    <n v="0"/>
    <n v="0"/>
    <n v="0"/>
    <n v="0"/>
    <n v="0"/>
    <n v="1151.2261831043998"/>
    <n v="0"/>
    <n v="0"/>
    <n v="107.03871238934278"/>
    <n v="0"/>
    <n v="0"/>
    <n v="0"/>
    <n v="7.1480160186073078"/>
    <n v="0"/>
    <n v="-12.814582000334951"/>
    <m/>
    <n v="0"/>
    <n v="0"/>
    <n v="0"/>
    <n v="0"/>
    <n v="-1.8824998669925961"/>
    <n v="-0.42282563390940897"/>
    <n v="0"/>
    <n v="350.90584051114223"/>
    <m/>
    <m/>
    <n v="14009.762805225198"/>
    <n v="0"/>
    <n v="0"/>
    <n v="0"/>
    <n v="-670.34945000000153"/>
    <n v="113.11410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0"/>
    <s v="Regular"/>
    <s v="Azul"/>
    <s v="A4"/>
    <s v="Comercial"/>
    <s v="Não se aplica"/>
    <s v="Não se aplica"/>
    <s v="Não se aplica"/>
    <s v="Fora ponta"/>
    <s v="CATIVO"/>
    <x v="5"/>
    <n v="100"/>
    <n v="100"/>
    <n v="30.143999999999998"/>
    <n v="30.143999999999998"/>
    <n v="30.143999999999998"/>
    <n v="30.143999999999998"/>
    <n v="73.75"/>
    <n v="94.17"/>
    <n v="207.07"/>
    <n v="7375"/>
    <n v="9080.5785599999999"/>
    <n v="16455.578560000002"/>
    <n v="17502.16288"/>
    <n v="0"/>
    <n v="2065.5096656804894"/>
    <n v="0"/>
    <n v="0"/>
    <n v="0"/>
    <n v="2905.8255513392301"/>
    <n v="4469.1623472813199"/>
    <n v="6242.067902600731"/>
    <n v="0"/>
    <n v="0"/>
    <n v="0"/>
    <n v="0"/>
    <n v="0"/>
    <n v="301.70917509379746"/>
    <m/>
    <n v="54.540719460321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84359201489917"/>
    <n v="0"/>
    <n v="0"/>
    <n v="0"/>
    <n v="0"/>
    <n v="0"/>
    <m/>
    <m/>
    <m/>
    <m/>
    <m/>
    <m/>
    <m/>
    <m/>
    <m/>
    <n v="6658.9114946156305"/>
    <m/>
    <m/>
    <m/>
    <m/>
    <m/>
    <m/>
    <m/>
    <m/>
    <m/>
    <m/>
    <m/>
    <m/>
    <n v="17500.827799999999"/>
    <n v="1045.2192400000022"/>
    <m/>
    <m/>
    <m/>
    <m/>
    <n v="45.20063999999973"/>
    <n v="1001.3836799999999"/>
    <n v="30"/>
    <n v="1501.9859624846704"/>
    <n v="0"/>
    <n v="0"/>
    <n v="0"/>
    <n v="0"/>
    <n v="0"/>
    <n v="0"/>
    <n v="0"/>
    <n v="624.9609259466497"/>
    <n v="0"/>
    <n v="0"/>
    <n v="947.59910316133482"/>
    <n v="0"/>
    <n v="0"/>
    <n v="0"/>
    <n v="63.280409651952652"/>
    <n v="0"/>
    <n v="-113.44574443996976"/>
    <m/>
    <n v="0"/>
    <n v="0"/>
    <n v="0"/>
    <n v="0"/>
    <n v="-16.665514241005837"/>
    <n v="-3.7432175942922896"/>
    <n v="0"/>
    <n v="232.63725713911302"/>
    <m/>
    <m/>
    <n v="4469.1623472813199"/>
    <n v="0"/>
    <n v="0"/>
    <n v="0"/>
    <n v="45.200639999999112"/>
    <n v="1001.3836799999999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1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4"/>
    <n v="1310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Ponta"/>
    <s v="CATIVO"/>
    <x v="5"/>
    <n v="0"/>
    <n v="0"/>
    <n v="0.85099999999999998"/>
    <n v="0.85099999999999998"/>
    <n v="0.85099999999999998"/>
    <n v="0.85099999999999998"/>
    <m/>
    <n v="4750.8599999999997"/>
    <n v="207.07"/>
    <m/>
    <n v="4219.1984299999995"/>
    <n v="4219.1984299999995"/>
    <n v="4110.30447"/>
    <n v="0"/>
    <n v="58.311727889268063"/>
    <n v="0"/>
    <n v="0"/>
    <n v="0"/>
    <n v="1095.5242209493663"/>
    <n v="2867.3200656292438"/>
    <n v="176.22079966538024"/>
    <n v="0"/>
    <n v="0"/>
    <n v="0"/>
    <n v="0"/>
    <n v="0"/>
    <n v="8.517599124363775"/>
    <m/>
    <n v="1.5397476201145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67976937522532"/>
    <n v="0"/>
    <n v="0"/>
    <n v="0"/>
    <n v="0"/>
    <n v="0"/>
    <m/>
    <m/>
    <m/>
    <m/>
    <m/>
    <m/>
    <m/>
    <m/>
    <m/>
    <n v="187.98877660290276"/>
    <m/>
    <m/>
    <m/>
    <m/>
    <m/>
    <m/>
    <m/>
    <m/>
    <m/>
    <m/>
    <m/>
    <m/>
    <n v="4105.4745000000003"/>
    <n v="-113.75392999999985"/>
    <m/>
    <m/>
    <m/>
    <m/>
    <n v="-137.16417999999948"/>
    <n v="28.270219999999998"/>
    <n v="30"/>
    <n v="260.37572012789406"/>
    <n v="0"/>
    <n v="0"/>
    <n v="0"/>
    <n v="0"/>
    <n v="0"/>
    <n v="0"/>
    <n v="0"/>
    <n v="235.61628852977015"/>
    <n v="0"/>
    <n v="0"/>
    <n v="26.751819161036906"/>
    <n v="0"/>
    <n v="0"/>
    <n v="0"/>
    <n v="1.7864791870293164"/>
    <n v="0"/>
    <n v="-3.2027046350323189"/>
    <m/>
    <n v="0"/>
    <n v="0"/>
    <n v="0"/>
    <n v="0"/>
    <n v="-0.47048675089888548"/>
    <n v="-0.10567536401083921"/>
    <n v="0"/>
    <n v="72.347206182288275"/>
    <m/>
    <m/>
    <m/>
    <n v="2867.3200656292438"/>
    <n v="0"/>
    <n v="0"/>
    <n v="-137.16417999999931"/>
    <n v="28.270219999999995"/>
    <n v="0"/>
    <n v="0"/>
    <n v="-441.6172346524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Fora ponta"/>
    <s v="CATIVO"/>
    <x v="5"/>
    <n v="0"/>
    <n v="0"/>
    <n v="82.757999999999996"/>
    <n v="82.757999999999996"/>
    <n v="82.757999999999996"/>
    <n v="82.757999999999996"/>
    <m/>
    <n v="94.17"/>
    <n v="207.07"/>
    <m/>
    <n v="24930.019919999999"/>
    <n v="24930.019919999999"/>
    <n v="27622.13766"/>
    <n v="0"/>
    <n v="5670.6956247474109"/>
    <n v="0"/>
    <n v="0"/>
    <n v="0"/>
    <n v="0"/>
    <n v="0"/>
    <n v="17137.110386260327"/>
    <n v="0"/>
    <n v="0"/>
    <n v="0"/>
    <n v="0"/>
    <n v="0"/>
    <n v="828.31899921750562"/>
    <m/>
    <n v="149.7372897126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4115574565096"/>
    <n v="0"/>
    <n v="0"/>
    <n v="0"/>
    <n v="0"/>
    <n v="0"/>
    <m/>
    <m/>
    <m/>
    <m/>
    <m/>
    <m/>
    <m/>
    <m/>
    <m/>
    <n v="18281.521943716838"/>
    <m/>
    <m/>
    <m/>
    <m/>
    <m/>
    <m/>
    <m/>
    <m/>
    <m/>
    <m/>
    <m/>
    <m/>
    <n v="27622.805200000003"/>
    <n v="2692.7552800000049"/>
    <m/>
    <m/>
    <m/>
    <m/>
    <n v="-57.103019999999809"/>
    <n v="2749.2207599999997"/>
    <n v="30"/>
    <n v="2407.8038075176883"/>
    <n v="0"/>
    <n v="0"/>
    <n v="0"/>
    <n v="0"/>
    <n v="0"/>
    <n v="0"/>
    <n v="0"/>
    <n v="0"/>
    <n v="0"/>
    <n v="0"/>
    <n v="2601.5594008567459"/>
    <n v="0"/>
    <n v="0"/>
    <n v="0"/>
    <n v="173.73142721524323"/>
    <n v="0"/>
    <n v="-311.45643970153287"/>
    <m/>
    <n v="0"/>
    <n v="0"/>
    <n v="0"/>
    <n v="0"/>
    <n v="-45.753869013971666"/>
    <n v="-10.276711838788515"/>
    <n v="0"/>
    <n v="283.96122946027725"/>
    <m/>
    <m/>
    <m/>
    <n v="0"/>
    <n v="0"/>
    <n v="0"/>
    <n v="-57.10301999999956"/>
    <n v="2749.220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4"/>
    <s v="Regular"/>
    <s v="Verde"/>
    <s v="A4"/>
    <s v="Comercial"/>
    <s v="Não se aplica"/>
    <s v="Não se aplica"/>
    <s v="Não se aplica"/>
    <s v="Não se aplica"/>
    <s v="CATIVO"/>
    <x v="5"/>
    <n v="321"/>
    <n v="321"/>
    <n v="0"/>
    <n v="0"/>
    <n v="0"/>
    <n v="0"/>
    <n v="73.75"/>
    <m/>
    <m/>
    <n v="23673.75"/>
    <m/>
    <n v="23673.75"/>
    <n v="23885.61"/>
    <n v="0"/>
    <n v="0"/>
    <n v="0"/>
    <n v="0"/>
    <n v="0"/>
    <n v="9327.7000197989291"/>
    <n v="14346.011134773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3885.61"/>
    <n v="211.83000000000538"/>
    <m/>
    <m/>
    <m/>
    <m/>
    <n v="211.85999999999891"/>
    <n v="0"/>
    <n v="30"/>
    <n v="2006.1245722887452"/>
    <n v="0"/>
    <n v="0"/>
    <n v="0"/>
    <n v="0"/>
    <m/>
    <m/>
    <m/>
    <n v="2006.1245722887452"/>
    <n v="0"/>
    <n v="0"/>
    <m/>
    <m/>
    <n v="0"/>
    <n v="0"/>
    <n v="0"/>
    <n v="0"/>
    <n v="0"/>
    <m/>
    <n v="0"/>
    <n v="0"/>
    <m/>
    <n v="0"/>
    <n v="0"/>
    <n v="0"/>
    <n v="0"/>
    <n v="414.75268263796437"/>
    <m/>
    <m/>
    <n v="14346.011134773036"/>
    <m/>
    <n v="0"/>
    <n v="0"/>
    <n v="211.86000000000058"/>
    <m/>
    <n v="0"/>
    <m/>
    <n v="-2209.53560140509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Ponta"/>
    <s v="CATIVO"/>
    <x v="5"/>
    <n v="0"/>
    <n v="0"/>
    <n v="3.6999999999999998E-2"/>
    <n v="3.6999999999999998E-2"/>
    <n v="3.6999999999999998E-2"/>
    <n v="3.6999999999999998E-2"/>
    <m/>
    <n v="2482.39"/>
    <n v="207.07"/>
    <m/>
    <n v="99.510019999999997"/>
    <n v="99.510019999999997"/>
    <n v="97.214909999999989"/>
    <n v="0"/>
    <n v="2.9141293297985067"/>
    <n v="0"/>
    <n v="0"/>
    <n v="0"/>
    <n v="22.518924485542097"/>
    <n v="64.741487534150536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105.09719999999999"/>
    <n v="5.557179999999974"/>
    <m/>
    <m/>
    <m/>
    <m/>
    <n v="-3.5242499999999999"/>
    <n v="1.2291399999999999"/>
    <n v="30"/>
    <n v="6.0009941654580672"/>
    <n v="0"/>
    <n v="0"/>
    <n v="0"/>
    <n v="0"/>
    <n v="0"/>
    <n v="0"/>
    <n v="0"/>
    <n v="4.84318402779585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6750587497568588"/>
    <m/>
    <m/>
    <m/>
    <n v="64.741487534150536"/>
    <n v="0"/>
    <n v="0"/>
    <n v="-3.5242500000000092"/>
    <n v="1.2291400000000001"/>
    <n v="0"/>
    <n v="0"/>
    <n v="-9.9713167828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Fora ponta"/>
    <s v="CATIVO"/>
    <x v="5"/>
    <n v="0"/>
    <n v="0"/>
    <n v="0.20399999999999999"/>
    <n v="0.20399999999999999"/>
    <n v="0.20399999999999999"/>
    <n v="0.20399999999999999"/>
    <m/>
    <n v="595.67999999999995"/>
    <n v="207.07"/>
    <m/>
    <n v="163.76099999999997"/>
    <n v="163.76099999999997"/>
    <n v="166.98215999999999"/>
    <n v="0"/>
    <n v="16.067091439970145"/>
    <n v="0"/>
    <n v="0"/>
    <n v="0"/>
    <n v="24.831441198106848"/>
    <n v="71.390633979406374"/>
    <n v="42.243293926836159"/>
    <n v="0"/>
    <n v="0"/>
    <n v="0"/>
    <n v="0"/>
    <n v="0"/>
    <n v="2.041821646733502"/>
    <m/>
    <n v="0.56812987919576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98665318809446"/>
    <n v="0"/>
    <n v="0"/>
    <n v="0"/>
    <n v="0"/>
    <n v="0"/>
    <m/>
    <m/>
    <m/>
    <m/>
    <m/>
    <m/>
    <m/>
    <m/>
    <m/>
    <n v="48.863160458717104"/>
    <m/>
    <m/>
    <m/>
    <m/>
    <m/>
    <m/>
    <m/>
    <m/>
    <m/>
    <m/>
    <m/>
    <m/>
    <n v="163.708"/>
    <n v="-8.2999999999998408E-2"/>
    <m/>
    <m/>
    <m/>
    <m/>
    <n v="-3.5557199999999898"/>
    <n v="6.7768799999999993"/>
    <n v="30"/>
    <n v="11.724142835948328"/>
    <n v="0"/>
    <n v="0"/>
    <n v="0"/>
    <n v="0"/>
    <n v="0"/>
    <n v="0"/>
    <n v="0"/>
    <n v="5.3405409958647958"/>
    <n v="0"/>
    <n v="0"/>
    <n v="6.4128920198020225"/>
    <n v="0"/>
    <n v="0"/>
    <n v="0"/>
    <n v="1.0049521547249336"/>
    <n v="0"/>
    <n v="-0.8824665309866635"/>
    <m/>
    <n v="0"/>
    <n v="0"/>
    <n v="0"/>
    <n v="0"/>
    <n v="-0.11278413300043777"/>
    <n v="-3.8991670456345551E-2"/>
    <n v="0"/>
    <n v="2.4923715751900435"/>
    <m/>
    <m/>
    <m/>
    <n v="71.390633979406374"/>
    <n v="0"/>
    <n v="0"/>
    <n v="-3.5557199999999938"/>
    <n v="6.7768799999999985"/>
    <n v="0"/>
    <n v="0"/>
    <n v="-10.99540115384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8"/>
    <s v="Regular"/>
    <s v="Branca"/>
    <s v="B3"/>
    <s v="Comercial"/>
    <s v="Não se aplica"/>
    <s v="Não se aplica"/>
    <s v="Não se aplica"/>
    <s v="Intermediário"/>
    <s v="CATIVO"/>
    <x v="5"/>
    <n v="0"/>
    <n v="0"/>
    <n v="1.9E-2"/>
    <n v="1.9E-2"/>
    <n v="1.9E-2"/>
    <n v="1.9E-2"/>
    <m/>
    <n v="1539.04"/>
    <n v="207.07"/>
    <m/>
    <n v="33.176090000000002"/>
    <n v="33.176090000000002"/>
    <n v="32.736809999999998"/>
    <n v="0"/>
    <n v="1.4964447909776117"/>
    <n v="0"/>
    <n v="0"/>
    <n v="0"/>
    <n v="6.938254279454056"/>
    <n v="19.947375312449811"/>
    <n v="3.934424434362191"/>
    <n v="0"/>
    <n v="0"/>
    <n v="0"/>
    <n v="0"/>
    <n v="0"/>
    <n v="0.19016966317615949"/>
    <m/>
    <n v="5.29140573760764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655619659675465"/>
    <n v="0"/>
    <n v="0"/>
    <n v="0"/>
    <n v="0"/>
    <n v="0"/>
    <m/>
    <m/>
    <m/>
    <m/>
    <m/>
    <m/>
    <m/>
    <m/>
    <m/>
    <n v="4.5509806309589456"/>
    <m/>
    <m/>
    <m/>
    <m/>
    <m/>
    <m/>
    <m/>
    <m/>
    <m/>
    <m/>
    <m/>
    <m/>
    <n v="34.459800000000001"/>
    <n v="1.2537099999999981"/>
    <m/>
    <m/>
    <m/>
    <m/>
    <n v="-1.0704599999999984"/>
    <n v="0.63117999999999996"/>
    <n v="30"/>
    <n v="2.0867734969654155"/>
    <n v="0"/>
    <n v="0"/>
    <n v="0"/>
    <n v="0"/>
    <n v="0"/>
    <n v="0"/>
    <n v="0"/>
    <n v="1.4922223451929311"/>
    <n v="0"/>
    <n v="0"/>
    <n v="0.59727915870705184"/>
    <n v="0"/>
    <n v="0"/>
    <n v="0"/>
    <n v="9.3598484998890896E-2"/>
    <n v="0"/>
    <n v="-8.2190510238954184E-2"/>
    <m/>
    <n v="0"/>
    <n v="0"/>
    <n v="0"/>
    <n v="0"/>
    <n v="-1.0504404544158408E-2"/>
    <n v="-3.6315771503459132E-3"/>
    <n v="0"/>
    <n v="0.54614896195105422"/>
    <m/>
    <m/>
    <m/>
    <n v="19.947375312449811"/>
    <n v="0"/>
    <n v="0"/>
    <n v="-1.0704600000000006"/>
    <n v="0.63118000000000007"/>
    <n v="0"/>
    <n v="0"/>
    <n v="-3.072243252384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9"/>
    <s v="Regular"/>
    <s v="Convencional"/>
    <s v="B2"/>
    <s v="Rural"/>
    <s v="Não se aplica"/>
    <s v="Não se aplica"/>
    <s v="Não se aplica"/>
    <s v="Não se aplica"/>
    <s v="CATIVO"/>
    <x v="5"/>
    <n v="0"/>
    <n v="0"/>
    <n v="42.475999999999999"/>
    <n v="42.475999999999999"/>
    <n v="42.475999999999999"/>
    <n v="42.475999999999999"/>
    <m/>
    <n v="897.25"/>
    <n v="207.07"/>
    <m/>
    <n v="46907.096319999997"/>
    <n v="46907.096319999997"/>
    <n v="47049.390920000005"/>
    <n v="0"/>
    <n v="3345.4204706086857"/>
    <n v="0"/>
    <n v="0"/>
    <n v="0"/>
    <n v="8475.9653695516718"/>
    <n v="24368.28105279211"/>
    <n v="8795.7164354720226"/>
    <n v="0"/>
    <n v="0"/>
    <n v="0"/>
    <n v="0"/>
    <n v="0"/>
    <n v="425.13929542476581"/>
    <m/>
    <n v="118.293552689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8.3600529812502"/>
    <n v="0"/>
    <n v="32.770000000000003"/>
    <n v="151.38999999999999"/>
    <n v="0"/>
    <n v="161"/>
    <m/>
    <m/>
    <m/>
    <m/>
    <m/>
    <n v="5645.909920000001"/>
    <m/>
    <m/>
    <m/>
    <n v="10174.076488453273"/>
    <m/>
    <m/>
    <m/>
    <m/>
    <m/>
    <m/>
    <m/>
    <m/>
    <m/>
    <m/>
    <m/>
    <m/>
    <n v="41407.379999999997"/>
    <n v="128.74843999998848"/>
    <m/>
    <m/>
    <m/>
    <m/>
    <n v="-1268.7581200000002"/>
    <n v="1411.0527199999999"/>
    <n v="30"/>
    <n v="3152.1065663158515"/>
    <n v="0"/>
    <n v="0"/>
    <n v="0"/>
    <n v="0"/>
    <n v="0"/>
    <n v="0"/>
    <n v="0"/>
    <n v="1822.9405282796397"/>
    <n v="0"/>
    <n v="0"/>
    <n v="1335.2647129074066"/>
    <n v="0"/>
    <n v="0"/>
    <n v="0"/>
    <n v="209.24680256909937"/>
    <n v="0"/>
    <n v="-183.74337436367432"/>
    <m/>
    <n v="0"/>
    <n v="0"/>
    <n v="0"/>
    <n v="0"/>
    <n v="-23.48342565356171"/>
    <n v="-8.1186774230575338"/>
    <n v="0"/>
    <n v="743.36400214774608"/>
    <m/>
    <m/>
    <m/>
    <n v="24368.28105279211"/>
    <n v="0"/>
    <n v="0"/>
    <n v="-1268.7581199999986"/>
    <n v="1411.0527199999997"/>
    <n v="0"/>
    <n v="0"/>
    <n v="-3753.139742146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0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309"/>
    <n v="-0.309"/>
    <n v="-0.309"/>
    <n v="-0.309"/>
    <m/>
    <n v="897.25"/>
    <n v="207.07"/>
    <m/>
    <n v="-341.23487999999998"/>
    <n v="-341.23487999999998"/>
    <n v="-342.27003000000002"/>
    <n v="0"/>
    <n v="-24.336917916425367"/>
    <n v="0"/>
    <n v="0"/>
    <n v="0"/>
    <n v="-61.66007390506325"/>
    <n v="-177.2718439898475"/>
    <n v="-63.986165800943006"/>
    <n v="0"/>
    <n v="0"/>
    <n v="0"/>
    <n v="0"/>
    <n v="0"/>
    <n v="-3.0927592590228046"/>
    <m/>
    <n v="-0.8605496699582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27150776231432"/>
    <n v="0"/>
    <n v="0"/>
    <n v="0"/>
    <n v="0"/>
    <n v="0"/>
    <m/>
    <m/>
    <m/>
    <m/>
    <m/>
    <n v="-41.072280000000006"/>
    <m/>
    <m/>
    <m/>
    <n v="-74.013316577174436"/>
    <m/>
    <m/>
    <m/>
    <m/>
    <m/>
    <m/>
    <m/>
    <m/>
    <m/>
    <m/>
    <m/>
    <m/>
    <n v="-302.17250000000001"/>
    <n v="-1.9132099999999923"/>
    <m/>
    <m/>
    <m/>
    <m/>
    <n v="9.2298300000000015"/>
    <n v="-10.26498"/>
    <n v="30"/>
    <n v="-22.930617972304361"/>
    <n v="0"/>
    <n v="0"/>
    <n v="0"/>
    <n v="0"/>
    <n v="0"/>
    <n v="0"/>
    <n v="0"/>
    <n v="-13.261338714530773"/>
    <n v="0"/>
    <n v="0"/>
    <n v="-9.7136452652883705"/>
    <n v="0"/>
    <n v="0"/>
    <n v="0"/>
    <n v="-1.5222069402451197"/>
    <n v="0"/>
    <n v="1.3366772454650935"/>
    <m/>
    <n v="0"/>
    <n v="0"/>
    <n v="0"/>
    <n v="0"/>
    <n v="0.17083478969183963"/>
    <n v="5.9060912602994065E-2"/>
    <n v="0"/>
    <n v="-5.407747355298369"/>
    <m/>
    <m/>
    <m/>
    <n v="-177.2718439898475"/>
    <n v="0"/>
    <n v="0"/>
    <n v="9.2298299999999927"/>
    <n v="-10.264979999999994"/>
    <n v="0"/>
    <n v="0"/>
    <n v="27.3029517921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.45300000000000001"/>
    <n v="0.45300000000000001"/>
    <n v="0.45300000000000001"/>
    <n v="0.45300000000000001"/>
    <m/>
    <n v="897.25"/>
    <n v="207.07"/>
    <m/>
    <n v="500.25695999999999"/>
    <n v="500.25695999999999"/>
    <n v="501.77450999999996"/>
    <n v="0"/>
    <n v="35.67839422699253"/>
    <n v="0"/>
    <n v="0"/>
    <n v="0"/>
    <n v="90.394865627811171"/>
    <n v="259.88396546084437"/>
    <n v="93.804961514003821"/>
    <n v="0"/>
    <n v="0"/>
    <n v="0"/>
    <n v="0"/>
    <n v="0"/>
    <n v="4.5340451273052764"/>
    <m/>
    <n v="1.261582525861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99997739912099"/>
    <n v="0"/>
    <n v="0"/>
    <n v="0"/>
    <n v="0"/>
    <n v="5"/>
    <m/>
    <m/>
    <m/>
    <m/>
    <m/>
    <n v="60.21276000000001"/>
    <m/>
    <m/>
    <m/>
    <n v="108.50495925391593"/>
    <m/>
    <m/>
    <m/>
    <m/>
    <m/>
    <m/>
    <m/>
    <m/>
    <m/>
    <m/>
    <m/>
    <m/>
    <n v="438.63750000000005"/>
    <n v="-1.6224299999999516"/>
    <m/>
    <m/>
    <m/>
    <m/>
    <n v="-13.531110000000002"/>
    <n v="15.04866"/>
    <n v="30"/>
    <n v="33.616731202116028"/>
    <n v="0"/>
    <n v="0"/>
    <n v="0"/>
    <n v="0"/>
    <n v="0"/>
    <n v="0"/>
    <n v="0"/>
    <n v="19.44138005722472"/>
    <n v="0"/>
    <n v="0"/>
    <n v="14.240392573383915"/>
    <n v="0"/>
    <n v="0"/>
    <n v="0"/>
    <n v="2.2315849318156609"/>
    <n v="0"/>
    <n v="-1.9595947967497978"/>
    <m/>
    <n v="0"/>
    <n v="0"/>
    <n v="0"/>
    <n v="0"/>
    <n v="-0.25044711886861926"/>
    <n v="-8.658444468982629E-2"/>
    <n v="0"/>
    <n v="7.9278626276704252"/>
    <m/>
    <m/>
    <m/>
    <n v="259.88396546084437"/>
    <n v="0"/>
    <n v="0"/>
    <n v="-13.531110000000012"/>
    <n v="15.048659999999998"/>
    <n v="0"/>
    <n v="0"/>
    <n v="-40.02665748169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0.225000000000001"/>
    <n v="20.225000000000001"/>
    <n v="20.225000000000001"/>
    <n v="20.225000000000001"/>
    <m/>
    <n v="897.25"/>
    <n v="207.07"/>
    <m/>
    <n v="22334.872000000003"/>
    <n v="22334.872000000003"/>
    <n v="22402.625749999999"/>
    <n v="0"/>
    <n v="1592.9260998695895"/>
    <n v="0"/>
    <n v="0"/>
    <n v="0"/>
    <n v="4035.8414068928942"/>
    <n v="11602.987199659112"/>
    <n v="4188.0912728934381"/>
    <n v="0"/>
    <n v="0"/>
    <n v="0"/>
    <n v="0"/>
    <n v="0"/>
    <n v="202.43060198620137"/>
    <m/>
    <n v="56.325621601639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3078461141771"/>
    <n v="0"/>
    <n v="166.82"/>
    <n v="770.49"/>
    <n v="0"/>
    <n v="31"/>
    <m/>
    <m/>
    <m/>
    <m/>
    <m/>
    <m/>
    <m/>
    <m/>
    <m/>
    <n v="4844.3991190076149"/>
    <m/>
    <m/>
    <m/>
    <m/>
    <m/>
    <m/>
    <m/>
    <m/>
    <m/>
    <m/>
    <m/>
    <m/>
    <n v="22408.164099999998"/>
    <n v="73.262099999999919"/>
    <m/>
    <m/>
    <m/>
    <m/>
    <n v="-604.12075000000016"/>
    <n v="671.87450000000001"/>
    <n v="30"/>
    <n v="1500.879444950986"/>
    <n v="0"/>
    <n v="0"/>
    <n v="0"/>
    <n v="0"/>
    <n v="0"/>
    <n v="0"/>
    <n v="0"/>
    <n v="867.99538997211948"/>
    <n v="0"/>
    <n v="0"/>
    <n v="635.78794657105936"/>
    <n v="0"/>
    <n v="0"/>
    <n v="0"/>
    <n v="99.633124163293019"/>
    <n v="0"/>
    <n v="-87.48963524120245"/>
    <m/>
    <n v="0"/>
    <n v="0"/>
    <n v="0"/>
    <n v="0"/>
    <n v="-11.181662205558098"/>
    <n v="-3.8657183087234728"/>
    <n v="0"/>
    <n v="353.95369016475576"/>
    <m/>
    <m/>
    <m/>
    <n v="11602.987199659112"/>
    <n v="0"/>
    <n v="0"/>
    <n v="-604.12075000000186"/>
    <n v="671.8744999999999"/>
    <n v="0"/>
    <n v="0"/>
    <n v="-1787.062135909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60.94600000000003"/>
    <n v="260.94600000000003"/>
    <n v="260.94600000000003"/>
    <n v="260.94600000000003"/>
    <m/>
    <n v="493.49"/>
    <n v="113.89"/>
    <m/>
    <n v="158493.38148000001"/>
    <n v="158493.38148000001"/>
    <n v="158973.52212000001"/>
    <n v="0"/>
    <n v="11303.695017607581"/>
    <n v="0"/>
    <n v="0"/>
    <n v="0"/>
    <n v="28639.068947821583"/>
    <n v="82336.919841346724"/>
    <n v="29719.4618498417"/>
    <n v="0"/>
    <n v="0"/>
    <n v="0"/>
    <n v="0"/>
    <n v="0"/>
    <n v="1436.4845847337549"/>
    <m/>
    <n v="399.6969152016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.2805422329029"/>
    <n v="0"/>
    <n v="1322.43"/>
    <n v="6103.62"/>
    <n v="0"/>
    <n v="3"/>
    <m/>
    <m/>
    <m/>
    <m/>
    <m/>
    <m/>
    <m/>
    <m/>
    <m/>
    <n v="34376.742392074601"/>
    <m/>
    <m/>
    <m/>
    <m/>
    <m/>
    <m/>
    <m/>
    <m/>
    <m/>
    <m/>
    <m/>
    <m/>
    <n v="158975.959"/>
    <n v="482.5475199999928"/>
    <m/>
    <m/>
    <m/>
    <m/>
    <n v="-4287.3427800000018"/>
    <n v="4767.4834199999996"/>
    <n v="30"/>
    <n v="10650.515115114729"/>
    <n v="0"/>
    <n v="0"/>
    <n v="0"/>
    <n v="0"/>
    <n v="0"/>
    <n v="0"/>
    <n v="0"/>
    <n v="6159.4540799709976"/>
    <n v="0"/>
    <n v="0"/>
    <n v="4511.6675811253481"/>
    <n v="0"/>
    <n v="0"/>
    <n v="0"/>
    <n v="707.01487613613153"/>
    <n v="0"/>
    <n v="-620.84245719198589"/>
    <m/>
    <n v="0"/>
    <n v="0"/>
    <n v="0"/>
    <n v="0"/>
    <n v="-79.347120605208602"/>
    <n v="-27.431844320568075"/>
    <n v="0"/>
    <n v="2511.7201383709707"/>
    <m/>
    <m/>
    <m/>
    <n v="82336.919841346724"/>
    <n v="0"/>
    <n v="0"/>
    <n v="-4287.3427800000063"/>
    <n v="4767.4834200000005"/>
    <n v="0"/>
    <n v="0"/>
    <n v="-12681.31984496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.079000000000001"/>
    <n v="12.29426"/>
    <n v="13.079000000000001"/>
    <n v="12.29426"/>
    <m/>
    <n v="897.25"/>
    <n v="207.07"/>
    <m/>
    <n v="14443.40128"/>
    <n v="14443.40128"/>
    <n v="14487.215930000002"/>
    <n v="0"/>
    <n v="1030.105337957694"/>
    <n v="0"/>
    <n v="0"/>
    <n v="0"/>
    <n v="2609.8773676515284"/>
    <n v="7503.3606716608911"/>
    <n v="2708.3335356327948"/>
    <n v="0"/>
    <n v="0"/>
    <n v="0"/>
    <n v="0"/>
    <n v="0"/>
    <n v="130.90679077268371"/>
    <m/>
    <n v="36.4243661274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41781554152396"/>
    <n v="0"/>
    <n v="10.46"/>
    <n v="48.27"/>
    <n v="0"/>
    <n v="2"/>
    <m/>
    <m/>
    <m/>
    <m/>
    <n v="869.23295580000126"/>
    <m/>
    <m/>
    <m/>
    <m/>
    <n v="3132.7513511743186"/>
    <m/>
    <m/>
    <m/>
    <m/>
    <m/>
    <m/>
    <m/>
    <m/>
    <m/>
    <m/>
    <m/>
    <m/>
    <n v="13613.264299999999"/>
    <n v="36.437096799998471"/>
    <m/>
    <m/>
    <m/>
    <m/>
    <n v="-390.66973000000007"/>
    <n v="434.48437999999999"/>
    <n v="30"/>
    <n v="970.58107592158194"/>
    <n v="0"/>
    <n v="0"/>
    <n v="0"/>
    <n v="0"/>
    <n v="0"/>
    <n v="0"/>
    <n v="0"/>
    <n v="561.3108383409317"/>
    <n v="0"/>
    <n v="0"/>
    <n v="411.14811140681741"/>
    <n v="0"/>
    <n v="0"/>
    <n v="0"/>
    <n v="64.430241331604918"/>
    <n v="0"/>
    <n v="-56.577351758699024"/>
    <m/>
    <n v="0"/>
    <n v="0"/>
    <n v="0"/>
    <n v="0"/>
    <n v="-7.2309003701604269"/>
    <n v="-2.4998630289144259"/>
    <n v="0"/>
    <n v="228.89296977329249"/>
    <m/>
    <m/>
    <m/>
    <n v="7503.3606716608911"/>
    <n v="0"/>
    <n v="0"/>
    <n v="-390.66972999999962"/>
    <n v="434.48438000000033"/>
    <n v="0"/>
    <n v="0"/>
    <n v="-1155.648241066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6639999999999999"/>
    <n v="1.56416"/>
    <n v="1.6639999999999999"/>
    <n v="1.56416"/>
    <m/>
    <n v="4750.8599999999997"/>
    <n v="207.07"/>
    <m/>
    <n v="8249.9955199999986"/>
    <n v="8249.9955199999986"/>
    <n v="8037.0700800000004"/>
    <n v="0"/>
    <n v="114.01964184223509"/>
    <n v="0"/>
    <n v="0"/>
    <n v="0"/>
    <n v="2142.1296165214399"/>
    <n v="5606.604687669872"/>
    <n v="344.57275046203608"/>
    <n v="0"/>
    <n v="0"/>
    <n v="0"/>
    <n v="0"/>
    <n v="0"/>
    <n v="16.654858922375229"/>
    <m/>
    <n v="3.010740352374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10474293816088"/>
    <n v="0"/>
    <n v="0"/>
    <n v="0"/>
    <n v="0"/>
    <n v="0"/>
    <m/>
    <m/>
    <m/>
    <m/>
    <n v="482.22420479999971"/>
    <m/>
    <m/>
    <m/>
    <m/>
    <n v="367.58322475585214"/>
    <m/>
    <m/>
    <m/>
    <m/>
    <m/>
    <m/>
    <m/>
    <m/>
    <m/>
    <m/>
    <m/>
    <m/>
    <n v="7534.7532000000001"/>
    <n v="-220.27258879999954"/>
    <m/>
    <m/>
    <m/>
    <m/>
    <n v="-268.20351999999895"/>
    <n v="55.278079999999996"/>
    <n v="30"/>
    <n v="509.12479235348519"/>
    <n v="0"/>
    <n v="0"/>
    <n v="0"/>
    <n v="0"/>
    <n v="0"/>
    <n v="0"/>
    <n v="0"/>
    <n v="460.71152069745904"/>
    <n v="0"/>
    <n v="0"/>
    <n v="52.309080004659677"/>
    <n v="0"/>
    <n v="0"/>
    <n v="0"/>
    <n v="3.4931860954368759"/>
    <n v="0"/>
    <n v="-6.2623977822488541"/>
    <m/>
    <n v="0"/>
    <n v="0"/>
    <n v="0"/>
    <n v="0"/>
    <n v="-0.91996469270945092"/>
    <n v="-0.20663196911167603"/>
    <n v="0"/>
    <n v="141.46386731765887"/>
    <m/>
    <m/>
    <m/>
    <n v="5606.604687669872"/>
    <n v="0"/>
    <n v="0"/>
    <n v="-268.20351999999912"/>
    <n v="55.278080000000045"/>
    <n v="0"/>
    <n v="0"/>
    <n v="-863.5147808009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6.919"/>
    <n v="15.90386"/>
    <n v="16.919"/>
    <n v="15.90386"/>
    <m/>
    <n v="94.17"/>
    <n v="207.07"/>
    <m/>
    <n v="5096.6795599999996"/>
    <n v="5096.6795599999996"/>
    <n v="5647.0546300000005"/>
    <n v="0"/>
    <n v="1159.3138944283507"/>
    <n v="0"/>
    <n v="0"/>
    <n v="0"/>
    <n v="0"/>
    <n v="0"/>
    <n v="3503.5014213144168"/>
    <n v="0"/>
    <n v="0"/>
    <n v="0"/>
    <n v="0"/>
    <n v="0"/>
    <n v="169.34108059354961"/>
    <m/>
    <n v="30.61220914773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96286933718417"/>
    <n v="0"/>
    <n v="0"/>
    <n v="0"/>
    <n v="0"/>
    <n v="0"/>
    <m/>
    <m/>
    <m/>
    <m/>
    <n v="338.8232778000002"/>
    <m/>
    <m/>
    <m/>
    <m/>
    <n v="3737.464290651601"/>
    <m/>
    <m/>
    <m/>
    <m/>
    <m/>
    <m/>
    <m/>
    <m/>
    <m/>
    <m/>
    <m/>
    <m/>
    <n v="5306.9430000000002"/>
    <n v="516.03421360000084"/>
    <m/>
    <m/>
    <m/>
    <m/>
    <n v="-11.674109999999962"/>
    <n v="562.04917999999998"/>
    <n v="30"/>
    <n v="492.25008602663002"/>
    <n v="0"/>
    <n v="0"/>
    <n v="0"/>
    <n v="0"/>
    <n v="0"/>
    <n v="0"/>
    <n v="0"/>
    <n v="0"/>
    <n v="0"/>
    <n v="0"/>
    <n v="531.86137295603203"/>
    <n v="0"/>
    <n v="0"/>
    <n v="0"/>
    <n v="35.517557421091652"/>
    <n v="0"/>
    <n v="-63.67398321987298"/>
    <m/>
    <n v="0"/>
    <n v="0"/>
    <n v="0"/>
    <n v="0"/>
    <n v="-9.3538958148745337"/>
    <n v="-2.1009653157454622"/>
    <n v="0"/>
    <n v="58.052877561546097"/>
    <m/>
    <m/>
    <m/>
    <n v="0"/>
    <n v="0"/>
    <n v="0"/>
    <n v="-11.674109999999928"/>
    <n v="562.04918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5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94"/>
    <n v="608.9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3000000000000002E-2"/>
    <n v="3.3000000000000002E-2"/>
    <n v="3.3000000000000002E-2"/>
    <n v="3.3000000000000002E-2"/>
    <m/>
    <n v="897.25"/>
    <n v="207.07"/>
    <m/>
    <n v="36.44256"/>
    <n v="36.44256"/>
    <n v="36.553110000000004"/>
    <n v="0"/>
    <n v="2.5990883211716413"/>
    <n v="0"/>
    <n v="0"/>
    <n v="0"/>
    <n v="6.5850564364630655"/>
    <n v="18.931944503770122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.27"/>
    <n v="1.26"/>
    <n v="0"/>
    <n v="1"/>
    <m/>
    <m/>
    <m/>
    <m/>
    <m/>
    <m/>
    <m/>
    <m/>
    <m/>
    <n v="7.9043347800865913"/>
    <m/>
    <m/>
    <m/>
    <m/>
    <m/>
    <m/>
    <m/>
    <m/>
    <m/>
    <m/>
    <m/>
    <m/>
    <n v="33.2301"/>
    <n v="-3.2424600000000012"/>
    <m/>
    <m/>
    <m/>
    <m/>
    <n v="-0.9857100000000002"/>
    <n v="1.09626"/>
    <n v="30"/>
    <n v="2.4489009484985189"/>
    <n v="0"/>
    <n v="0"/>
    <n v="0"/>
    <n v="0"/>
    <n v="0"/>
    <n v="0"/>
    <n v="0"/>
    <n v="1.4162594743673642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0.57752641658526283"/>
    <m/>
    <m/>
    <m/>
    <n v="18.931944503770122"/>
    <n v="0"/>
    <n v="0"/>
    <n v="-0.98571000000000097"/>
    <n v="1.09626"/>
    <n v="0"/>
    <n v="0"/>
    <n v="-2.915849220520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3660000000000001"/>
    <n v="1.3660000000000001"/>
    <n v="1.3660000000000001"/>
    <n v="1.3660000000000001"/>
    <m/>
    <n v="897.25"/>
    <n v="207.07"/>
    <m/>
    <n v="1508.5011200000001"/>
    <n v="1508.5011200000001"/>
    <n v="1513.0772200000001"/>
    <n v="0"/>
    <n v="107.58650444607461"/>
    <n v="0"/>
    <n v="0"/>
    <n v="0"/>
    <n v="272.58142703662264"/>
    <n v="783.66776339848445"/>
    <n v="282.8644093336186"/>
    <n v="0"/>
    <n v="0"/>
    <n v="0"/>
    <n v="0"/>
    <n v="0"/>
    <n v="13.672197889401785"/>
    <m/>
    <n v="3.804242230301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7145502693"/>
    <n v="0"/>
    <n v="0"/>
    <n v="0"/>
    <n v="0"/>
    <n v="0"/>
    <m/>
    <m/>
    <m/>
    <m/>
    <m/>
    <n v="181.56872000000004"/>
    <m/>
    <m/>
    <m/>
    <n v="327.19155483631158"/>
    <m/>
    <m/>
    <m/>
    <m/>
    <m/>
    <m/>
    <m/>
    <m/>
    <m/>
    <m/>
    <m/>
    <m/>
    <n v="1335.4075"/>
    <n v="7.8850399999998899"/>
    <m/>
    <m/>
    <m/>
    <m/>
    <n v="-40.802420000000012"/>
    <n v="45.378520000000002"/>
    <n v="30"/>
    <n v="101.36965744390852"/>
    <n v="0"/>
    <n v="0"/>
    <n v="0"/>
    <n v="0"/>
    <n v="0"/>
    <n v="0"/>
    <n v="0"/>
    <n v="58.624558848055131"/>
    <n v="0"/>
    <n v="0"/>
    <n v="42.941227936517521"/>
    <n v="0"/>
    <n v="0"/>
    <n v="0"/>
    <n v="6.7292384478149927"/>
    <n v="0"/>
    <n v="-5.9090651045479632"/>
    <m/>
    <n v="0"/>
    <n v="0"/>
    <n v="0"/>
    <n v="0"/>
    <n v="-0.755211400385285"/>
    <n v="-0.26109128354592226"/>
    <n v="0"/>
    <n v="23.906093486529361"/>
    <m/>
    <m/>
    <m/>
    <n v="783.66776339848445"/>
    <n v="0"/>
    <n v="0"/>
    <n v="-40.802419999999984"/>
    <n v="45.378520000000037"/>
    <n v="0"/>
    <n v="0"/>
    <n v="-120.698485916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.9000000000000001E-2"/>
    <n v="1.1599999999999999E-2"/>
    <n v="2.9000000000000001E-2"/>
    <n v="1.1599999999999999E-2"/>
    <m/>
    <n v="897.25"/>
    <n v="207.07"/>
    <m/>
    <n v="32.025280000000002"/>
    <n v="32.025280000000002"/>
    <n v="32.122430000000001"/>
    <n v="0"/>
    <n v="2.284047312544776"/>
    <n v="0"/>
    <n v="0"/>
    <n v="0"/>
    <n v="5.7868677774978456"/>
    <n v="16.637163351797987"/>
    <n v="6.0051741366580815"/>
    <n v="0"/>
    <n v="0"/>
    <n v="0"/>
    <n v="0"/>
    <n v="0"/>
    <n v="0.29025895958466452"/>
    <m/>
    <n v="8.07635612582219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105945796346779"/>
    <n v="0"/>
    <n v="0"/>
    <n v="0"/>
    <n v="0"/>
    <n v="0"/>
    <m/>
    <m/>
    <m/>
    <m/>
    <m/>
    <m/>
    <n v="20.815330000000003"/>
    <m/>
    <m/>
    <n v="6.9462335946215497"/>
    <m/>
    <m/>
    <m/>
    <m/>
    <m/>
    <m/>
    <m/>
    <m/>
    <m/>
    <m/>
    <m/>
    <m/>
    <n v="9.7474999999999987"/>
    <n v="-1.5554959999999998"/>
    <m/>
    <m/>
    <m/>
    <m/>
    <n v="-0.86623000000000017"/>
    <n v="0.96338000000000001"/>
    <n v="30"/>
    <n v="2.1520644698926397"/>
    <n v="0"/>
    <n v="0"/>
    <n v="0"/>
    <n v="0"/>
    <n v="0"/>
    <n v="0"/>
    <n v="0"/>
    <n v="1.2445916592925323"/>
    <n v="0"/>
    <n v="0"/>
    <n v="0.91163661065813173"/>
    <n v="0"/>
    <n v="0"/>
    <n v="0"/>
    <n v="0.14286084552462286"/>
    <n v="0"/>
    <n v="-0.12544867352261413"/>
    <m/>
    <n v="0"/>
    <n v="0"/>
    <n v="0"/>
    <n v="0"/>
    <n v="-1.6033038514768116E-2"/>
    <n v="-5.5429335452648193E-3"/>
    <n v="0"/>
    <n v="0.50752321457492788"/>
    <m/>
    <m/>
    <m/>
    <n v="16.637163351797987"/>
    <n v="0"/>
    <n v="0"/>
    <n v="-0.86622999999999806"/>
    <n v="0.9633799999999999"/>
    <n v="0"/>
    <n v="0"/>
    <n v="-2.56241295136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2"/>
    <s v="Regular"/>
    <s v="Verde"/>
    <s v="A4"/>
    <s v="Rural"/>
    <s v="Agropecuária rural"/>
    <s v="Não se aplica"/>
    <s v="Não se aplica"/>
    <s v="Ponta"/>
    <s v="CATIVO"/>
    <x v="5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Agropecuária rural"/>
    <s v="Não se aplica"/>
    <s v="Não se aplica"/>
    <s v="Fora ponta"/>
    <s v="CATIVO"/>
    <x v="5"/>
    <n v="0"/>
    <n v="0"/>
    <n v="23.448"/>
    <n v="22.510079999999999"/>
    <n v="23.448"/>
    <n v="22.510079999999999"/>
    <m/>
    <n v="94.17"/>
    <n v="207.07"/>
    <m/>
    <n v="7063.47552"/>
    <n v="7063.47552"/>
    <n v="7826.2389600000006"/>
    <n v="0"/>
    <n v="1606.6902415364955"/>
    <n v="0"/>
    <n v="0"/>
    <n v="0"/>
    <n v="0"/>
    <n v="0"/>
    <n v="4855.4939019434032"/>
    <n v="0"/>
    <n v="0"/>
    <n v="0"/>
    <n v="0"/>
    <n v="0"/>
    <n v="234.68938221866253"/>
    <m/>
    <n v="42.42538448466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4855843834115"/>
    <n v="0"/>
    <n v="0"/>
    <n v="0"/>
    <n v="0"/>
    <n v="0"/>
    <m/>
    <m/>
    <m/>
    <m/>
    <m/>
    <n v="313.04955840000059"/>
    <m/>
    <m/>
    <m/>
    <n v="5179.7424603817444"/>
    <m/>
    <m/>
    <m/>
    <m/>
    <m/>
    <m/>
    <m/>
    <m/>
    <m/>
    <m/>
    <m/>
    <m/>
    <n v="7513.1627000000008"/>
    <n v="732.19620080000004"/>
    <m/>
    <m/>
    <m/>
    <m/>
    <n v="-16.179119999999948"/>
    <n v="778.94255999999996"/>
    <n v="30"/>
    <n v="682.20816934525919"/>
    <n v="0"/>
    <n v="0"/>
    <n v="0"/>
    <n v="0"/>
    <n v="0"/>
    <n v="0"/>
    <n v="0"/>
    <n v="0"/>
    <n v="0"/>
    <n v="0"/>
    <n v="737.10535333489224"/>
    <n v="0"/>
    <n v="0"/>
    <n v="0"/>
    <n v="49.223694450603318"/>
    <n v="0"/>
    <n v="-88.245614902747093"/>
    <m/>
    <n v="0"/>
    <n v="0"/>
    <n v="0"/>
    <n v="0"/>
    <n v="-12.963540934285618"/>
    <n v="-2.9117226032034722"/>
    <n v="0"/>
    <n v="80.455338558019548"/>
    <m/>
    <m/>
    <m/>
    <n v="0"/>
    <n v="0"/>
    <n v="0"/>
    <n v="-16.179119999999784"/>
    <n v="778.94256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Agropecuária rural"/>
    <s v="Não se aplica"/>
    <s v="Não se aplica"/>
    <s v="Não se aplica"/>
    <s v="CATIVO"/>
    <x v="5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0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65"/>
    <s v="Regular"/>
    <s v="Verde"/>
    <s v="A4"/>
    <s v="Rural"/>
    <s v="Agropecuária rural"/>
    <s v="IRRIG./AQUIC. PR"/>
    <s v="Não se aplica"/>
    <s v="Fora ponta"/>
    <s v="CATIVO"/>
    <x v="5"/>
    <n v="0"/>
    <n v="0"/>
    <n v="13.875"/>
    <n v="4.1624999999999996"/>
    <n v="13.875"/>
    <n v="4.1624999999999996"/>
    <m/>
    <n v="94.17"/>
    <n v="207.07"/>
    <m/>
    <n v="4179.7049999999999"/>
    <n v="4179.7049999999999"/>
    <n v="4631.0587500000001"/>
    <n v="0"/>
    <n v="950.73469384676196"/>
    <n v="0"/>
    <n v="0"/>
    <n v="0"/>
    <n v="0"/>
    <n v="0"/>
    <n v="2873.1652119355476"/>
    <n v="0"/>
    <n v="0"/>
    <n v="0"/>
    <n v="0"/>
    <n v="0"/>
    <n v="138.87389876680069"/>
    <m/>
    <n v="25.10458076273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918919873693"/>
    <n v="0"/>
    <n v="0"/>
    <n v="0"/>
    <n v="0"/>
    <n v="0"/>
    <m/>
    <m/>
    <m/>
    <m/>
    <m/>
    <m/>
    <n v="3241.741125"/>
    <m/>
    <m/>
    <n v="3065.0344011342845"/>
    <m/>
    <m/>
    <m/>
    <m/>
    <m/>
    <m/>
    <m/>
    <m/>
    <m/>
    <m/>
    <m/>
    <m/>
    <n v="1388.4832000000001"/>
    <n v="134.54170000000022"/>
    <m/>
    <m/>
    <m/>
    <m/>
    <n v="-9.5737499999999685"/>
    <n v="460.92750000000001"/>
    <n v="30"/>
    <n v="403.68638475202442"/>
    <n v="0"/>
    <n v="0"/>
    <n v="0"/>
    <n v="0"/>
    <n v="0"/>
    <n v="0"/>
    <n v="0"/>
    <n v="0"/>
    <n v="0"/>
    <n v="0"/>
    <n v="436.17096458212336"/>
    <n v="0"/>
    <n v="0"/>
    <n v="0"/>
    <n v="29.127378049391012"/>
    <n v="0"/>
    <n v="-52.218010353787804"/>
    <m/>
    <n v="0"/>
    <n v="0"/>
    <n v="0"/>
    <n v="0"/>
    <n v="-7.6709796342209415"/>
    <n v="-1.7229678914810727"/>
    <n v="0"/>
    <n v="47.608231938439147"/>
    <m/>
    <m/>
    <m/>
    <n v="0"/>
    <n v="0"/>
    <n v="0"/>
    <n v="-9.5737500000000182"/>
    <n v="460.9274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6.14"/>
    <n v="259.1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7"/>
    <s v="Regular"/>
    <s v="Convencional"/>
    <s v="B2"/>
    <s v="Rural"/>
    <s v="Aquicultura"/>
    <s v="IRRIG./AQUIC."/>
    <s v="Não se aplica"/>
    <s v="Não se aplica"/>
    <s v="CATIVO"/>
    <x v="5"/>
    <n v="0"/>
    <n v="0"/>
    <n v="6.6459999999999999"/>
    <n v="6.6459999999999999"/>
    <n v="6.6459999999999999"/>
    <n v="6.6459999999999999"/>
    <m/>
    <n v="897.25"/>
    <n v="207.07"/>
    <m/>
    <n v="7339.3107199999995"/>
    <n v="7339.3107199999995"/>
    <n v="7361.5748199999998"/>
    <n v="0"/>
    <n v="523.44063583353727"/>
    <n v="0"/>
    <n v="0"/>
    <n v="0"/>
    <n v="1326.190456870713"/>
    <n v="3812.7788840017038"/>
    <n v="1376.2202521458485"/>
    <n v="0"/>
    <n v="0"/>
    <n v="0"/>
    <n v="0"/>
    <n v="0"/>
    <n v="66.51934639309242"/>
    <m/>
    <n v="18.508780280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6486750431747"/>
    <n v="0"/>
    <n v="0"/>
    <n v="0"/>
    <n v="0"/>
    <n v="0"/>
    <m/>
    <m/>
    <m/>
    <m/>
    <m/>
    <n v="883.38632000000018"/>
    <m/>
    <m/>
    <m/>
    <n v="1591.885119650166"/>
    <m/>
    <m/>
    <m/>
    <m/>
    <m/>
    <m/>
    <m/>
    <m/>
    <m/>
    <m/>
    <m/>
    <m/>
    <n v="6482.0874999999996"/>
    <n v="23.408239999998841"/>
    <m/>
    <m/>
    <m/>
    <m/>
    <n v="-198.51602000000003"/>
    <n v="220.78011999999998"/>
    <n v="30"/>
    <n v="493.19380920367303"/>
    <n v="0"/>
    <n v="0"/>
    <n v="0"/>
    <n v="0"/>
    <n v="0"/>
    <n v="0"/>
    <n v="0"/>
    <n v="285.22607474683355"/>
    <n v="0"/>
    <n v="0"/>
    <n v="208.92196256668785"/>
    <n v="0"/>
    <n v="0"/>
    <n v="0"/>
    <n v="32.739764805401478"/>
    <n v="0"/>
    <n v="-28.749375318320517"/>
    <m/>
    <n v="0"/>
    <n v="0"/>
    <n v="0"/>
    <n v="0"/>
    <n v="-3.6743301368671979"/>
    <n v="-1.270287460063102"/>
    <n v="0"/>
    <n v="116.3103201401714"/>
    <m/>
    <m/>
    <m/>
    <n v="3812.7788840017038"/>
    <n v="0"/>
    <n v="0"/>
    <n v="-198.51602000000003"/>
    <n v="220.7801199999999"/>
    <n v="0"/>
    <n v="0"/>
    <n v="-587.2343611993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quicultura"/>
    <s v="IRRIG./AQUIC. PR"/>
    <s v="Não se aplica"/>
    <s v="Não se aplica"/>
    <s v="CATIVO"/>
    <x v="5"/>
    <n v="0"/>
    <n v="0"/>
    <n v="2.016"/>
    <n v="0.80640000000000001"/>
    <n v="2.016"/>
    <n v="0.80640000000000001"/>
    <m/>
    <n v="897.25"/>
    <n v="207.07"/>
    <m/>
    <n v="2226.3091199999999"/>
    <n v="2226.3091199999999"/>
    <n v="2233.0627199999999"/>
    <n v="0"/>
    <n v="158.78066834794026"/>
    <n v="0"/>
    <n v="0"/>
    <n v="0"/>
    <n v="402.28708411847089"/>
    <n v="1156.5697005939564"/>
    <n v="417.46313998285143"/>
    <n v="0"/>
    <n v="0"/>
    <n v="0"/>
    <n v="0"/>
    <n v="0"/>
    <n v="20.178002155954609"/>
    <m/>
    <n v="5.614459982640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19857491529342"/>
    <n v="0"/>
    <n v="0"/>
    <n v="0"/>
    <n v="0"/>
    <n v="0"/>
    <m/>
    <m/>
    <m/>
    <m/>
    <m/>
    <m/>
    <n v="1447.0243200000002"/>
    <m/>
    <m/>
    <n v="482.88299747438077"/>
    <m/>
    <m/>
    <m/>
    <m/>
    <m/>
    <m/>
    <m/>
    <m/>
    <m/>
    <m/>
    <m/>
    <m/>
    <n v="789.54750000000001"/>
    <n v="5.8499160000000074"/>
    <m/>
    <m/>
    <m/>
    <m/>
    <n v="-60.217920000000007"/>
    <n v="66.971519999999998"/>
    <n v="30"/>
    <n v="149.60558521736448"/>
    <n v="0"/>
    <n v="0"/>
    <n v="0"/>
    <n v="0"/>
    <n v="0"/>
    <n v="0"/>
    <n v="0"/>
    <n v="86.520578797715359"/>
    <n v="0"/>
    <n v="0"/>
    <n v="63.374462313337744"/>
    <n v="0"/>
    <n v="0"/>
    <n v="0"/>
    <n v="9.9312918819875762"/>
    <n v="0"/>
    <n v="-8.7208457179858385"/>
    <m/>
    <n v="0"/>
    <n v="0"/>
    <n v="0"/>
    <n v="0"/>
    <n v="-1.1145726084749157"/>
    <n v="-0.38532944921565093"/>
    <n v="0"/>
    <n v="35.281613813208779"/>
    <m/>
    <m/>
    <m/>
    <n v="1156.5697005939564"/>
    <n v="0"/>
    <n v="0"/>
    <n v="-60.217920000000049"/>
    <n v="66.971519999999998"/>
    <n v="0"/>
    <n v="0"/>
    <n v="-178.1318796536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"/>
    <s v="Não se aplica"/>
    <s v="Não se aplica"/>
    <s v="Não se aplica"/>
    <s v="CATIVO"/>
    <x v="6"/>
    <n v="0"/>
    <n v="0"/>
    <n v="800.19600000000003"/>
    <n v="800.19600000000003"/>
    <n v="800.19600000000003"/>
    <n v="800.19600000000003"/>
    <m/>
    <n v="897.25"/>
    <n v="207.07"/>
    <m/>
    <n v="883672.44672000001"/>
    <n v="883672.44672000001"/>
    <n v="886353.10331999999"/>
    <n v="0"/>
    <n v="63023.638734795844"/>
    <n v="0"/>
    <n v="0"/>
    <n v="0"/>
    <n v="159676.84303733331"/>
    <n v="459068.67467087379"/>
    <n v="165700.56287783623"/>
    <n v="0"/>
    <n v="0"/>
    <n v="0"/>
    <n v="0"/>
    <n v="0"/>
    <n v="8009.1054628900065"/>
    <m/>
    <n v="2228.5061608477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6.621173259828"/>
    <n v="0"/>
    <n v="1491.75"/>
    <n v="6908.94"/>
    <n v="0"/>
    <n v="6267"/>
    <m/>
    <m/>
    <m/>
    <m/>
    <m/>
    <m/>
    <m/>
    <m/>
    <m/>
    <n v="191667.18405109606"/>
    <m/>
    <m/>
    <m/>
    <m/>
    <m/>
    <m/>
    <m/>
    <m/>
    <m/>
    <m/>
    <m/>
    <m/>
    <n v="886357.53399999999"/>
    <n v="2685.05727999995"/>
    <m/>
    <m/>
    <m/>
    <m/>
    <n v="-23901.854520000004"/>
    <n v="26582.511119999999"/>
    <n v="31"/>
    <n v="59381.840708627889"/>
    <n v="0"/>
    <n v="0"/>
    <n v="0"/>
    <n v="0"/>
    <n v="0"/>
    <n v="0"/>
    <n v="0"/>
    <n v="34341.974737905053"/>
    <n v="0"/>
    <n v="0"/>
    <n v="25154.757562144601"/>
    <n v="0"/>
    <n v="0"/>
    <n v="0"/>
    <n v="3941.9543843248684"/>
    <n v="0"/>
    <n v="-3461.5009226931652"/>
    <m/>
    <n v="0"/>
    <n v="0"/>
    <n v="0"/>
    <n v="0"/>
    <n v="-442.39907887459867"/>
    <n v="-152.94597417885279"/>
    <n v="0"/>
    <n v="14004.070558965483"/>
    <m/>
    <m/>
    <m/>
    <n v="459068.67467087379"/>
    <n v="0"/>
    <n v="0"/>
    <n v="-23901.854520000052"/>
    <n v="26582.51112000001"/>
    <n v="0"/>
    <n v="0"/>
    <n v="-70704.57220798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6800000000000004"/>
    <n v="-0.66800000000000004"/>
    <n v="-0.66800000000000004"/>
    <n v="-0.66800000000000004"/>
    <m/>
    <n v="897.25"/>
    <n v="207.07"/>
    <m/>
    <n v="-737.68576000000007"/>
    <n v="-737.68576000000007"/>
    <n v="-739.92356000000007"/>
    <n v="0"/>
    <n v="-52.611848440686565"/>
    <n v="0"/>
    <n v="0"/>
    <n v="0"/>
    <n v="-133.29750604719175"/>
    <n v="-383.22845237934672"/>
    <n v="-138.32608011336546"/>
    <n v="0"/>
    <n v="0"/>
    <n v="0"/>
    <n v="0"/>
    <n v="0"/>
    <n v="-6.6859650000881343"/>
    <m/>
    <n v="-1.860346859327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76817859296431"/>
    <n v="0"/>
    <n v="-2.83"/>
    <n v="-13.08"/>
    <n v="0"/>
    <n v="0"/>
    <m/>
    <m/>
    <m/>
    <m/>
    <m/>
    <m/>
    <m/>
    <m/>
    <m/>
    <n v="-160.00289797266188"/>
    <m/>
    <m/>
    <m/>
    <m/>
    <m/>
    <m/>
    <m/>
    <m/>
    <m/>
    <m/>
    <m/>
    <m/>
    <n v="-742.13890000000015"/>
    <n v="-4.4831400000000485"/>
    <m/>
    <m/>
    <m/>
    <m/>
    <n v="19.953160000000004"/>
    <n v="-22.19096"/>
    <n v="31"/>
    <n v="-49.571691927182201"/>
    <n v="0"/>
    <n v="0"/>
    <n v="0"/>
    <n v="0"/>
    <n v="0"/>
    <n v="0"/>
    <n v="0"/>
    <n v="-28.668525117496955"/>
    <n v="0"/>
    <n v="0"/>
    <n v="-20.999077790332137"/>
    <n v="0"/>
    <n v="0"/>
    <n v="0"/>
    <n v="-3.2907256831188967"/>
    <n v="0"/>
    <n v="2.8896453073484949"/>
    <m/>
    <n v="0"/>
    <n v="0"/>
    <n v="0"/>
    <n v="0"/>
    <n v="0.36931274923672763"/>
    <n v="0.12767860718058266"/>
    <n v="0"/>
    <n v="-11.690534735725924"/>
    <m/>
    <m/>
    <m/>
    <n v="-383.22845237934672"/>
    <n v="0"/>
    <n v="0"/>
    <n v="19.953160000000025"/>
    <n v="-22.19095999999999"/>
    <n v="0"/>
    <n v="0"/>
    <n v="59.0238569487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8"/>
    <n v="4.28"/>
    <n v="4.28"/>
    <n v="4.28"/>
    <m/>
    <n v="897.25"/>
    <n v="207.07"/>
    <m/>
    <n v="4726.4895999999999"/>
    <n v="4726.4895999999999"/>
    <n v="4740.8276000000005"/>
    <n v="0"/>
    <n v="337.09387923074621"/>
    <n v="0"/>
    <n v="0"/>
    <n v="0"/>
    <n v="854.06186509278552"/>
    <n v="2455.4158326101856"/>
    <n v="886.280872582641"/>
    <n v="0"/>
    <n v="0"/>
    <n v="0"/>
    <n v="0"/>
    <n v="0"/>
    <n v="42.838218862840144"/>
    <m/>
    <n v="11.919587661558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8739586495316"/>
    <n v="0"/>
    <n v="1.26"/>
    <n v="5.94"/>
    <n v="0"/>
    <n v="48"/>
    <m/>
    <m/>
    <m/>
    <m/>
    <m/>
    <m/>
    <m/>
    <m/>
    <m/>
    <n v="1025.1682684475941"/>
    <m/>
    <m/>
    <m/>
    <m/>
    <m/>
    <m/>
    <m/>
    <m/>
    <m/>
    <m/>
    <m/>
    <m/>
    <n v="4740.8276000000005"/>
    <n v="14.307999999999993"/>
    <m/>
    <m/>
    <m/>
    <m/>
    <n v="-127.84360000000002"/>
    <n v="142.1816"/>
    <n v="31"/>
    <n v="317.61503210829278"/>
    <n v="0"/>
    <n v="0"/>
    <n v="0"/>
    <n v="0"/>
    <n v="0"/>
    <n v="0"/>
    <n v="0"/>
    <n v="183.68456213007028"/>
    <n v="0"/>
    <n v="0"/>
    <n v="134.54498943506223"/>
    <n v="0"/>
    <n v="0"/>
    <n v="0"/>
    <n v="21.084290305013326"/>
    <n v="0"/>
    <n v="-18.514493885406466"/>
    <m/>
    <n v="0"/>
    <n v="0"/>
    <n v="0"/>
    <n v="0"/>
    <n v="-2.3662553394209525"/>
    <n v="-0.81806053702528914"/>
    <n v="0"/>
    <n v="74.903426151058326"/>
    <m/>
    <m/>
    <m/>
    <n v="2455.4158326101856"/>
    <n v="0"/>
    <n v="0"/>
    <n v="-127.8435999999997"/>
    <n v="142.1816"/>
    <n v="0"/>
    <n v="0"/>
    <n v="-378.1768079947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4300000000000002"/>
    <n v="2.4300000000000002"/>
    <n v="2.4300000000000002"/>
    <n v="2.4300000000000002"/>
    <m/>
    <n v="808.48"/>
    <n v="207.07"/>
    <m/>
    <n v="2467.7865000000002"/>
    <n v="2467.7865000000002"/>
    <n v="2483.9946"/>
    <n v="0"/>
    <n v="0"/>
    <n v="0"/>
    <n v="0"/>
    <n v="0"/>
    <n v="484.8996103213712"/>
    <n v="1394.0795498230725"/>
    <n v="503.19217765790131"/>
    <n v="0"/>
    <n v="0"/>
    <n v="0"/>
    <n v="0"/>
    <n v="0"/>
    <n v="0"/>
    <m/>
    <n v="6.767429443361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854292512111272"/>
    <n v="0"/>
    <n v="2.52"/>
    <n v="11.94"/>
    <n v="0"/>
    <n v="2"/>
    <m/>
    <m/>
    <m/>
    <m/>
    <m/>
    <m/>
    <m/>
    <n v="1614.5891999999999"/>
    <m/>
    <n v="582.04647017001253"/>
    <m/>
    <m/>
    <m/>
    <m/>
    <m/>
    <m/>
    <m/>
    <m/>
    <m/>
    <m/>
    <m/>
    <m/>
    <n v="869.4054000000001"/>
    <n v="5.6318999999999733"/>
    <m/>
    <m/>
    <m/>
    <m/>
    <n v="-64.516500000000164"/>
    <n v="80.724600000000009"/>
    <n v="31"/>
    <n v="192.1833524858605"/>
    <n v="0"/>
    <n v="0"/>
    <n v="0"/>
    <n v="0"/>
    <n v="0"/>
    <n v="0"/>
    <n v="0"/>
    <n v="104.28819765796044"/>
    <n v="0"/>
    <n v="0"/>
    <n v="76.388860824112385"/>
    <n v="0"/>
    <n v="0"/>
    <n v="0"/>
    <n v="11.970753607752869"/>
    <n v="0"/>
    <n v="0"/>
    <m/>
    <n v="0"/>
    <n v="0"/>
    <n v="0"/>
    <n v="0"/>
    <n v="0"/>
    <n v="-0.46445960396529351"/>
    <n v="0"/>
    <n v="38.747819414128259"/>
    <m/>
    <m/>
    <m/>
    <n v="1394.0795498230725"/>
    <n v="0"/>
    <n v="0"/>
    <n v="-64.516500000000178"/>
    <n v="80.724600000000009"/>
    <n v="0"/>
    <n v="0"/>
    <n v="-214.7125335110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.9409999999999998"/>
    <n v="4.9409999999999998"/>
    <n v="4.9409999999999998"/>
    <n v="4.9409999999999998"/>
    <m/>
    <n v="808.48"/>
    <n v="207.07"/>
    <m/>
    <n v="5017.8325500000001"/>
    <n v="5017.8325500000001"/>
    <n v="5050.7890199999993"/>
    <n v="0"/>
    <n v="0"/>
    <n v="0"/>
    <n v="0"/>
    <n v="0"/>
    <n v="985.96254098678799"/>
    <n v="2834.6284179735808"/>
    <n v="1023.1574279043992"/>
    <n v="0"/>
    <n v="0"/>
    <n v="0"/>
    <n v="0"/>
    <n v="0"/>
    <n v="0"/>
    <m/>
    <n v="13.76043986816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06144129289"/>
    <n v="0"/>
    <n v="8.4499999999999993"/>
    <n v="39.08"/>
    <n v="0"/>
    <n v="19"/>
    <m/>
    <m/>
    <m/>
    <m/>
    <m/>
    <m/>
    <m/>
    <n v="2020.2760799999996"/>
    <m/>
    <n v="1183.494489345692"/>
    <m/>
    <m/>
    <m/>
    <m/>
    <m/>
    <m/>
    <m/>
    <m/>
    <m/>
    <m/>
    <m/>
    <m/>
    <n v="3029.8996000000006"/>
    <n v="19.170070000000578"/>
    <m/>
    <m/>
    <m/>
    <m/>
    <n v="-131.18355000000034"/>
    <n v="164.14001999999999"/>
    <n v="31"/>
    <n v="390.77281672124946"/>
    <n v="0"/>
    <n v="0"/>
    <n v="0"/>
    <n v="0"/>
    <n v="0"/>
    <n v="0"/>
    <n v="0"/>
    <n v="212.05266857118625"/>
    <n v="0"/>
    <n v="0"/>
    <n v="155.32401700902858"/>
    <n v="0"/>
    <n v="0"/>
    <n v="0"/>
    <n v="24.340532335764181"/>
    <n v="0"/>
    <n v="0"/>
    <m/>
    <n v="0"/>
    <n v="0"/>
    <n v="0"/>
    <n v="0"/>
    <n v="0"/>
    <n v="-0.94440119472942996"/>
    <n v="0"/>
    <n v="78.787232808727452"/>
    <m/>
    <m/>
    <m/>
    <n v="2834.6284179735808"/>
    <n v="0"/>
    <n v="0"/>
    <n v="-131.18355000000065"/>
    <n v="164.14002000000005"/>
    <n v="0"/>
    <n v="0"/>
    <n v="-436.5821514724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.8450000000000002"/>
    <n v="2.8450000000000002"/>
    <n v="2.8450000000000002"/>
    <n v="2.8450000000000002"/>
    <m/>
    <n v="808.48"/>
    <n v="207.07"/>
    <m/>
    <n v="2889.2397500000002"/>
    <n v="2889.2397500000002"/>
    <n v="2908.2159000000001"/>
    <n v="0"/>
    <n v="0"/>
    <n v="0"/>
    <n v="0"/>
    <n v="0"/>
    <n v="567.71168368901283"/>
    <n v="1632.1630943401817"/>
    <n v="589.12829030318073"/>
    <n v="0"/>
    <n v="0"/>
    <n v="0"/>
    <n v="0"/>
    <n v="0"/>
    <n v="0"/>
    <m/>
    <n v="7.923183854470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321177858829856"/>
    <n v="0"/>
    <n v="7.54"/>
    <n v="35.04"/>
    <n v="0"/>
    <n v="54"/>
    <m/>
    <m/>
    <m/>
    <m/>
    <m/>
    <m/>
    <m/>
    <n v="290.81589999999983"/>
    <m/>
    <n v="681.44946816201059"/>
    <m/>
    <m/>
    <m/>
    <m/>
    <m/>
    <m/>
    <m/>
    <m/>
    <m/>
    <m/>
    <m/>
    <m/>
    <n v="2622"/>
    <n v="21.639999999998963"/>
    <m/>
    <m/>
    <m/>
    <m/>
    <n v="-75.534750000000201"/>
    <n v="94.510900000000007"/>
    <n v="31"/>
    <n v="225.00478922727279"/>
    <n v="0"/>
    <n v="0"/>
    <n v="0"/>
    <n v="0"/>
    <n v="0"/>
    <n v="0"/>
    <n v="0"/>
    <n v="122.09873347197424"/>
    <n v="0"/>
    <n v="0"/>
    <n v="89.434695080082292"/>
    <n v="0"/>
    <n v="0"/>
    <n v="0"/>
    <n v="14.015141569570758"/>
    <n v="0"/>
    <n v="0"/>
    <m/>
    <n v="0"/>
    <n v="0"/>
    <n v="0"/>
    <n v="0"/>
    <n v="0"/>
    <n v="-0.54378089435442778"/>
    <n v="0"/>
    <n v="45.365245363454683"/>
    <m/>
    <m/>
    <m/>
    <n v="1632.1630943401817"/>
    <n v="0"/>
    <n v="0"/>
    <n v="-75.534750000000258"/>
    <n v="94.510899999999992"/>
    <n v="0"/>
    <n v="0"/>
    <n v="-251.3815464357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43"/>
    <n v="0.43"/>
    <n v="0.43"/>
    <n v="0.43"/>
    <m/>
    <n v="808.48"/>
    <n v="207.07"/>
    <m/>
    <n v="436.68650000000002"/>
    <n v="436.68650000000002"/>
    <n v="439.55459999999999"/>
    <n v="0"/>
    <n v="0"/>
    <n v="0"/>
    <n v="0"/>
    <n v="0"/>
    <n v="85.805280838761149"/>
    <n v="246.6889738370046"/>
    <n v="89.042237198723271"/>
    <n v="0"/>
    <n v="0"/>
    <n v="0"/>
    <n v="0"/>
    <n v="0"/>
    <n v="0"/>
    <m/>
    <n v="1.197528666932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53640238768658"/>
    <n v="0"/>
    <n v="1.9"/>
    <n v="8.76"/>
    <n v="0"/>
    <n v="6"/>
    <m/>
    <m/>
    <m/>
    <m/>
    <m/>
    <m/>
    <m/>
    <m/>
    <m/>
    <n v="102.99587743749193"/>
    <m/>
    <m/>
    <m/>
    <m/>
    <m/>
    <m/>
    <m/>
    <m/>
    <m/>
    <m/>
    <m/>
    <m/>
    <n v="439.55459999999999"/>
    <n v="2.8380999999999972"/>
    <m/>
    <m/>
    <m/>
    <m/>
    <n v="-11.416500000000029"/>
    <n v="14.284599999999999"/>
    <n v="31"/>
    <n v="34.007753732065822"/>
    <n v="0"/>
    <n v="0"/>
    <n v="0"/>
    <n v="0"/>
    <n v="0"/>
    <n v="0"/>
    <n v="0"/>
    <n v="18.454290120544442"/>
    <n v="0"/>
    <n v="0"/>
    <n v="13.517370433896431"/>
    <n v="0"/>
    <n v="0"/>
    <n v="0"/>
    <n v="2.118281502606477"/>
    <n v="0"/>
    <n v="0"/>
    <m/>
    <n v="0"/>
    <n v="0"/>
    <n v="0"/>
    <n v="0"/>
    <n v="0"/>
    <n v="-8.2188324981512739E-2"/>
    <n v="0"/>
    <n v="6.8566100197840116"/>
    <m/>
    <m/>
    <m/>
    <n v="246.6889738370046"/>
    <n v="0"/>
    <n v="0"/>
    <n v="-11.416500000000042"/>
    <n v="14.284599999999998"/>
    <n v="0"/>
    <n v="0"/>
    <n v="-37.99439893405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Fora ponta"/>
    <s v="CATIVO"/>
    <x v="6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5.6470000000000002"/>
    <n v="5.6470000000000002"/>
    <n v="5.6470000000000002"/>
    <n v="5.6470000000000002"/>
    <m/>
    <n v="897.25"/>
    <n v="207.07"/>
    <m/>
    <n v="6236.0950400000002"/>
    <n v="6236.0950400000002"/>
    <n v="6255.0124900000001"/>
    <n v="0"/>
    <n v="444.75914392897755"/>
    <n v="0"/>
    <n v="0"/>
    <n v="0"/>
    <n v="1126.8428392941494"/>
    <n v="3239.6572912966631"/>
    <n v="1169.3523568864891"/>
    <n v="0"/>
    <n v="0"/>
    <n v="0"/>
    <n v="0"/>
    <n v="0"/>
    <n v="56.520425681882777"/>
    <m/>
    <n v="15.726614842247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4699169378283"/>
    <n v="0"/>
    <n v="0"/>
    <n v="0"/>
    <n v="0"/>
    <n v="9"/>
    <m/>
    <m/>
    <m/>
    <m/>
    <m/>
    <m/>
    <m/>
    <m/>
    <m/>
    <n v="1352.5993485802719"/>
    <m/>
    <m/>
    <m/>
    <m/>
    <m/>
    <m/>
    <m/>
    <m/>
    <m/>
    <m/>
    <m/>
    <m/>
    <n v="6258.3355000000001"/>
    <n v="22.21045999999933"/>
    <m/>
    <m/>
    <m/>
    <m/>
    <n v="-168.67589000000004"/>
    <n v="187.59334000000001"/>
    <n v="31"/>
    <n v="419.0588986718526"/>
    <n v="0"/>
    <n v="0"/>
    <n v="0"/>
    <n v="0"/>
    <n v="0"/>
    <n v="0"/>
    <n v="0"/>
    <n v="242.35203793189407"/>
    <n v="0"/>
    <n v="0"/>
    <n v="177.51765311677491"/>
    <n v="0"/>
    <n v="0"/>
    <n v="0"/>
    <n v="27.818454988880887"/>
    <n v="0"/>
    <n v="-24.427884806282805"/>
    <m/>
    <n v="0"/>
    <n v="0"/>
    <n v="0"/>
    <n v="0"/>
    <n v="-3.1220196032032987"/>
    <n v="-1.079342956210704"/>
    <n v="0"/>
    <n v="98.827020438090258"/>
    <m/>
    <m/>
    <m/>
    <n v="3239.6572912966631"/>
    <n v="0"/>
    <n v="0"/>
    <n v="-168.67589000000044"/>
    <n v="187.5933399999999"/>
    <n v="0"/>
    <n v="0"/>
    <n v="-498.963652978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43099999999999999"/>
    <n v="0.43099999999999999"/>
    <n v="0.43099999999999999"/>
    <n v="0.43099999999999999"/>
    <m/>
    <n v="897.25"/>
    <n v="207.07"/>
    <m/>
    <n v="475.96191999999996"/>
    <n v="475.96191999999996"/>
    <n v="477.40576999999996"/>
    <n v="0"/>
    <n v="33.945668679544767"/>
    <n v="0"/>
    <n v="0"/>
    <n v="0"/>
    <n v="86.004828003502453"/>
    <n v="247.26266912499764"/>
    <n v="89.249312168952869"/>
    <n v="0"/>
    <n v="0"/>
    <n v="0"/>
    <n v="0"/>
    <n v="0"/>
    <n v="4.3138486752065655"/>
    <m/>
    <n v="1.200313617320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609056490533"/>
    <n v="0"/>
    <n v="0"/>
    <n v="0"/>
    <n v="0"/>
    <n v="1"/>
    <m/>
    <m/>
    <m/>
    <m/>
    <m/>
    <m/>
    <m/>
    <m/>
    <m/>
    <n v="103.23540273385819"/>
    <m/>
    <m/>
    <m/>
    <m/>
    <m/>
    <m/>
    <m/>
    <m/>
    <m/>
    <m/>
    <m/>
    <m/>
    <n v="476.29809999999998"/>
    <n v="0.30618000000004031"/>
    <m/>
    <m/>
    <m/>
    <m/>
    <n v="-12.873970000000002"/>
    <n v="14.317819999999999"/>
    <n v="31"/>
    <n v="31.984130569783702"/>
    <n v="0"/>
    <n v="0"/>
    <n v="0"/>
    <n v="0"/>
    <n v="0"/>
    <n v="0"/>
    <n v="0"/>
    <n v="18.497207074313152"/>
    <n v="0"/>
    <n v="0"/>
    <n v="13.548806179091528"/>
    <n v="0"/>
    <n v="0"/>
    <n v="0"/>
    <n v="2.1232077386590493"/>
    <n v="0"/>
    <n v="-1.8644268375257411"/>
    <m/>
    <n v="0"/>
    <n v="0"/>
    <n v="0"/>
    <n v="0"/>
    <n v="-0.23828412413327804"/>
    <n v="-8.2379460621004652E-2"/>
    <n v="0"/>
    <n v="7.5428450166135832"/>
    <m/>
    <m/>
    <m/>
    <n v="247.26266912499764"/>
    <n v="0"/>
    <n v="0"/>
    <n v="-12.873969999999986"/>
    <n v="14.317819999999998"/>
    <n v="0"/>
    <n v="0"/>
    <n v="-38.0827580013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0.94399999999999995"/>
    <n v="0.94399999999999995"/>
    <n v="0.94399999999999995"/>
    <n v="0.94399999999999995"/>
    <m/>
    <n v="4750.8599999999997"/>
    <n v="207.07"/>
    <m/>
    <n v="4680.2859199999994"/>
    <n v="4680.2859199999994"/>
    <n v="4559.4916799999992"/>
    <n v="0"/>
    <n v="64.684219891267986"/>
    <n v="0"/>
    <n v="0"/>
    <n v="0"/>
    <n v="1215.2466093727401"/>
    <n v="3180.6699670434855"/>
    <n v="195.47877189673201"/>
    <n v="0"/>
    <n v="0"/>
    <n v="0"/>
    <n v="0"/>
    <n v="0"/>
    <n v="9.4484295809628716"/>
    <m/>
    <n v="1.7080161614431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54019070530281"/>
    <n v="0"/>
    <n v="0"/>
    <n v="0"/>
    <n v="0"/>
    <n v="0"/>
    <m/>
    <m/>
    <m/>
    <m/>
    <m/>
    <m/>
    <m/>
    <m/>
    <m/>
    <n v="208.53279096726229"/>
    <m/>
    <m/>
    <m/>
    <m/>
    <m/>
    <m/>
    <m/>
    <m/>
    <m/>
    <m/>
    <m/>
    <m/>
    <n v="4540.1718000000001"/>
    <n v="-140.14411999999993"/>
    <m/>
    <m/>
    <m/>
    <m/>
    <n v="-152.1539199999994"/>
    <n v="31.359679999999997"/>
    <n v="31"/>
    <n v="288.83041104668882"/>
    <n v="0"/>
    <n v="0"/>
    <n v="0"/>
    <n v="0"/>
    <n v="0"/>
    <n v="0"/>
    <n v="0"/>
    <n v="261.365189626443"/>
    <n v="0"/>
    <n v="0"/>
    <n v="29.675343464181935"/>
    <n v="0"/>
    <n v="0"/>
    <n v="0"/>
    <n v="1.9817113426036137"/>
    <n v="0"/>
    <n v="-3.5527064341604131"/>
    <m/>
    <n v="0"/>
    <n v="0"/>
    <n v="0"/>
    <n v="0"/>
    <n v="-0.52190304682555499"/>
    <n v="-0.11722390555373918"/>
    <n v="0"/>
    <n v="80.253540112902613"/>
    <m/>
    <m/>
    <m/>
    <n v="3180.6699670434855"/>
    <n v="0"/>
    <n v="0"/>
    <n v="-152.15391999999974"/>
    <n v="31.359679999999997"/>
    <n v="0"/>
    <n v="0"/>
    <n v="-489.878577569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99.957999999999998"/>
    <n v="99.957999999999998"/>
    <n v="99.957999999999998"/>
    <n v="99.957999999999998"/>
    <m/>
    <n v="94.17"/>
    <n v="207.07"/>
    <m/>
    <n v="30111.34792"/>
    <n v="30111.34792"/>
    <n v="33362.981660000005"/>
    <n v="0"/>
    <n v="6849.2640380205139"/>
    <n v="0"/>
    <n v="0"/>
    <n v="0"/>
    <n v="0"/>
    <n v="0"/>
    <n v="20698.799874209257"/>
    <n v="0"/>
    <n v="0"/>
    <n v="0"/>
    <n v="0"/>
    <n v="0"/>
    <n v="1000.4725890401343"/>
    <m/>
    <n v="180.8579231626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2.2602100127817"/>
    <n v="0"/>
    <n v="0"/>
    <n v="0"/>
    <n v="0"/>
    <n v="0"/>
    <m/>
    <m/>
    <m/>
    <m/>
    <m/>
    <m/>
    <m/>
    <m/>
    <m/>
    <n v="22081.060084222037"/>
    <m/>
    <m/>
    <m/>
    <m/>
    <m/>
    <m/>
    <m/>
    <m/>
    <m/>
    <m/>
    <m/>
    <m/>
    <n v="33363.6492"/>
    <n v="3252.2712800000045"/>
    <m/>
    <m/>
    <m/>
    <m/>
    <n v="-68.971019999999768"/>
    <n v="3320.6047599999997"/>
    <n v="31"/>
    <n v="2908.229452039126"/>
    <n v="0"/>
    <n v="0"/>
    <n v="0"/>
    <n v="0"/>
    <n v="0"/>
    <n v="0"/>
    <n v="0"/>
    <n v="0"/>
    <n v="0"/>
    <n v="0"/>
    <n v="3142.2542182126053"/>
    <n v="0"/>
    <n v="0"/>
    <n v="0"/>
    <n v="209.83887964403812"/>
    <n v="0"/>
    <n v="-376.18795523920107"/>
    <m/>
    <n v="0"/>
    <n v="0"/>
    <n v="0"/>
    <n v="0"/>
    <n v="-55.263119443420351"/>
    <n v="-12.41257113489479"/>
    <n v="0"/>
    <n v="342.97828094432435"/>
    <m/>
    <m/>
    <m/>
    <n v="0"/>
    <n v="0"/>
    <n v="0"/>
    <n v="-68.971019999999044"/>
    <n v="3320.6047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83"/>
    <s v="Regular"/>
    <s v="Convencional"/>
    <s v="B3"/>
    <s v="Comercial"/>
    <s v="Não se aplica"/>
    <s v="Não se aplica"/>
    <s v="Não se aplica"/>
    <s v="Não se aplica"/>
    <s v="CATIVO"/>
    <x v="6"/>
    <n v="0"/>
    <n v="0"/>
    <n v="102.13800000000001"/>
    <n v="102.13800000000001"/>
    <n v="102.13800000000001"/>
    <n v="102.13800000000001"/>
    <m/>
    <n v="897.25"/>
    <n v="207.07"/>
    <m/>
    <n v="112793.03616"/>
    <n v="112793.03616"/>
    <n v="113135.19846"/>
    <n v="0"/>
    <n v="8044.4146347827009"/>
    <n v="0"/>
    <n v="0"/>
    <n v="0"/>
    <n v="20381.348312347411"/>
    <n v="58596.089325032503"/>
    <n v="21150.223309309764"/>
    <n v="0"/>
    <n v="0"/>
    <n v="0"/>
    <n v="0"/>
    <n v="0"/>
    <n v="1022.2920556571884"/>
    <m/>
    <n v="284.449262751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4.4114109473335"/>
    <n v="0"/>
    <n v="175.39"/>
    <n v="810.34"/>
    <n v="0"/>
    <n v="237"/>
    <m/>
    <m/>
    <m/>
    <m/>
    <m/>
    <m/>
    <m/>
    <m/>
    <m/>
    <n v="24464.634720257098"/>
    <m/>
    <m/>
    <m/>
    <m/>
    <m/>
    <m/>
    <m/>
    <m/>
    <m/>
    <m/>
    <m/>
    <m/>
    <n v="113137.41379999999"/>
    <n v="344.34764000000723"/>
    <m/>
    <m/>
    <m/>
    <m/>
    <n v="-3050.8620600000008"/>
    <n v="3393.0243599999999"/>
    <n v="31"/>
    <n v="7579.5710629618698"/>
    <n v="0"/>
    <n v="0"/>
    <n v="0"/>
    <n v="0"/>
    <n v="0"/>
    <n v="0"/>
    <n v="0"/>
    <n v="4383.4518240282996"/>
    <n v="0"/>
    <n v="0"/>
    <n v="3210.784142737939"/>
    <n v="0"/>
    <n v="0"/>
    <n v="0"/>
    <n v="503.15589793772187"/>
    <n v="0"/>
    <n v="-441.83022814664673"/>
    <m/>
    <n v="0"/>
    <n v="0"/>
    <n v="0"/>
    <n v="0"/>
    <n v="-56.468361649013218"/>
    <n v="-19.522211946422715"/>
    <n v="0"/>
    <n v="1787.4967617328959"/>
    <m/>
    <m/>
    <m/>
    <n v="58596.089325032503"/>
    <n v="0"/>
    <n v="0"/>
    <n v="-3050.8620599999995"/>
    <n v="3393.0243599999994"/>
    <n v="0"/>
    <n v="0"/>
    <n v="-9024.818414712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91300000000000003"/>
    <n v="0.91300000000000003"/>
    <n v="0.91300000000000003"/>
    <n v="0.91300000000000003"/>
    <m/>
    <n v="897.25"/>
    <n v="207.07"/>
    <m/>
    <n v="1008.24416"/>
    <n v="1008.24416"/>
    <n v="1011.30271"/>
    <n v="0"/>
    <n v="71.908110219082076"/>
    <n v="0"/>
    <n v="0"/>
    <n v="0"/>
    <n v="182.18656140881149"/>
    <n v="523.78379793763997"/>
    <n v="189.05944781961477"/>
    <n v="0"/>
    <n v="0"/>
    <n v="0"/>
    <n v="0"/>
    <n v="0"/>
    <n v="9.1381527620965066"/>
    <m/>
    <n v="2.542659704439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7147762780897"/>
    <n v="0"/>
    <n v="4.3099999999999996"/>
    <n v="19.940000000000001"/>
    <n v="0"/>
    <n v="7"/>
    <m/>
    <m/>
    <m/>
    <m/>
    <m/>
    <m/>
    <m/>
    <m/>
    <m/>
    <n v="218.68659558239568"/>
    <m/>
    <m/>
    <m/>
    <m/>
    <m/>
    <m/>
    <m/>
    <m/>
    <m/>
    <m/>
    <m/>
    <m/>
    <n v="1007.9797"/>
    <n v="-0.2944599999999582"/>
    <m/>
    <m/>
    <m/>
    <m/>
    <n v="-27.271310000000007"/>
    <n v="30.32986"/>
    <n v="31"/>
    <n v="67.752926241792352"/>
    <n v="0"/>
    <n v="0"/>
    <n v="0"/>
    <n v="0"/>
    <n v="0"/>
    <n v="0"/>
    <n v="0"/>
    <n v="39.183178790830397"/>
    <n v="0"/>
    <n v="0"/>
    <n v="28.700835363133592"/>
    <n v="0"/>
    <n v="0"/>
    <n v="0"/>
    <n v="4.4976535159993354"/>
    <n v="0"/>
    <n v="-3.9494703077981512"/>
    <m/>
    <n v="0"/>
    <n v="0"/>
    <n v="0"/>
    <n v="0"/>
    <n v="-0.50476428151666397"/>
    <n v="-0.17450683885609575"/>
    <n v="0"/>
    <n v="15.978230858858936"/>
    <m/>
    <m/>
    <m/>
    <n v="523.78379793763997"/>
    <n v="0"/>
    <n v="0"/>
    <n v="-27.271309999999971"/>
    <n v="30.329859999999996"/>
    <n v="0"/>
    <n v="0"/>
    <n v="-80.67182843439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5"/>
    <s v="Regular"/>
    <s v="Azul"/>
    <s v="A4"/>
    <s v="Comercial"/>
    <s v="Não se aplica"/>
    <s v="Não se aplica"/>
    <s v="Não se aplica"/>
    <s v="Ponta"/>
    <s v="CATIVO"/>
    <x v="6"/>
    <n v="100"/>
    <n v="100"/>
    <n v="3.105"/>
    <n v="3.105"/>
    <n v="3.105"/>
    <n v="3.105"/>
    <n v="193.63"/>
    <n v="94.17"/>
    <n v="207.07"/>
    <n v="19363"/>
    <n v="935.35020000000009"/>
    <n v="20298.350200000001"/>
    <n v="19731.355850000004"/>
    <n v="0"/>
    <n v="212.75900716354565"/>
    <n v="0"/>
    <n v="0"/>
    <n v="0"/>
    <n v="5352.7545792855199"/>
    <n v="14009.762805225198"/>
    <n v="642.96778256287394"/>
    <n v="0"/>
    <n v="0"/>
    <n v="0"/>
    <n v="0"/>
    <n v="0"/>
    <n v="31.077726534840803"/>
    <m/>
    <n v="5.6179980733909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3721315042005"/>
    <n v="0"/>
    <n v="0"/>
    <n v="0"/>
    <n v="0"/>
    <n v="0"/>
    <m/>
    <m/>
    <m/>
    <m/>
    <m/>
    <m/>
    <m/>
    <m/>
    <m/>
    <n v="685.90499571329394"/>
    <m/>
    <m/>
    <m/>
    <m/>
    <m/>
    <m/>
    <m/>
    <m/>
    <m/>
    <m/>
    <m/>
    <m/>
    <n v="19733.024699999998"/>
    <n v="-565.35549999999785"/>
    <m/>
    <m/>
    <m/>
    <m/>
    <n v="-670.14245000000062"/>
    <n v="103.1481"/>
    <n v="31"/>
    <n v="1241.5646497462039"/>
    <n v="0"/>
    <n v="0"/>
    <n v="0"/>
    <n v="0"/>
    <n v="0"/>
    <n v="0"/>
    <n v="0"/>
    <n v="1151.2261831043998"/>
    <n v="0"/>
    <n v="0"/>
    <n v="97.6079888308102"/>
    <n v="0"/>
    <n v="0"/>
    <n v="0"/>
    <n v="6.5182348715934495"/>
    <n v="0"/>
    <n v="-11.68554393863144"/>
    <m/>
    <n v="0"/>
    <n v="0"/>
    <n v="0"/>
    <n v="0"/>
    <n v="-1.7166408478743094"/>
    <n v="-0.38557227409360273"/>
    <n v="0"/>
    <n v="349.8764733340949"/>
    <m/>
    <m/>
    <n v="14009.762805225198"/>
    <n v="0"/>
    <n v="0"/>
    <n v="0"/>
    <n v="-670.14244999999937"/>
    <n v="103.148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6"/>
    <s v="Regular"/>
    <s v="Azul"/>
    <s v="A4"/>
    <s v="Comercial"/>
    <s v="Não se aplica"/>
    <s v="Não se aplica"/>
    <s v="Não se aplica"/>
    <s v="Fora ponta"/>
    <s v="CATIVO"/>
    <x v="6"/>
    <n v="100"/>
    <n v="100"/>
    <n v="30.068999999999999"/>
    <n v="30.068999999999999"/>
    <n v="30.068999999999999"/>
    <n v="30.068999999999999"/>
    <n v="73.75"/>
    <n v="94.17"/>
    <n v="207.07"/>
    <n v="7375"/>
    <n v="9057.9855599999992"/>
    <n v="16432.985560000001"/>
    <n v="17477.130129999998"/>
    <n v="0"/>
    <n v="2060.3705592272636"/>
    <n v="0"/>
    <n v="0"/>
    <n v="0"/>
    <n v="2905.8255513392301"/>
    <n v="4469.1623472813199"/>
    <n v="6226.537279833512"/>
    <n v="0"/>
    <n v="0"/>
    <n v="0"/>
    <n v="0"/>
    <n v="0"/>
    <n v="300.95850537073369"/>
    <m/>
    <n v="54.405019023766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80646126247353"/>
    <n v="0"/>
    <n v="0"/>
    <n v="0"/>
    <n v="0"/>
    <n v="0"/>
    <m/>
    <m/>
    <m/>
    <m/>
    <m/>
    <m/>
    <m/>
    <m/>
    <m/>
    <n v="6642.3437410959859"/>
    <m/>
    <m/>
    <m/>
    <m/>
    <m/>
    <m/>
    <m/>
    <m/>
    <m/>
    <m/>
    <m/>
    <m/>
    <n v="17477.463900000002"/>
    <n v="1044.4483400000063"/>
    <m/>
    <m/>
    <m/>
    <m/>
    <n v="45.252389999999728"/>
    <n v="998.89217999999994"/>
    <n v="31"/>
    <n v="1499.8038739184412"/>
    <n v="0"/>
    <n v="0"/>
    <n v="0"/>
    <n v="0"/>
    <n v="0"/>
    <n v="0"/>
    <n v="0"/>
    <n v="624.9609259466497"/>
    <n v="0"/>
    <n v="0"/>
    <n v="945.24142227170159"/>
    <n v="0"/>
    <n v="0"/>
    <n v="0"/>
    <n v="63.122964365199209"/>
    <n v="0"/>
    <n v="-113.16348492454358"/>
    <m/>
    <n v="0"/>
    <n v="0"/>
    <n v="0"/>
    <n v="0"/>
    <n v="-16.624049486226284"/>
    <n v="-3.7339042543383343"/>
    <n v="0"/>
    <n v="232.37991534485118"/>
    <m/>
    <m/>
    <n v="4469.1623472813199"/>
    <n v="0"/>
    <n v="0"/>
    <n v="0"/>
    <n v="45.25238999999965"/>
    <n v="998.89217999999983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7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2.79000000000002"/>
    <n v="1305.2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88"/>
    <s v="Regular"/>
    <s v="Verde"/>
    <s v="A4"/>
    <s v="Comercial"/>
    <s v="Não se aplica"/>
    <s v="Não se aplica"/>
    <s v="Não se aplica"/>
    <s v="Ponta"/>
    <s v="CATIVO"/>
    <x v="6"/>
    <n v="0"/>
    <n v="0"/>
    <n v="0.47"/>
    <n v="0.47"/>
    <n v="0.47"/>
    <n v="0.47"/>
    <m/>
    <n v="4750.8599999999997"/>
    <n v="207.07"/>
    <m/>
    <n v="2330.2271000000001"/>
    <n v="2330.2271000000001"/>
    <n v="2270.0859"/>
    <n v="0"/>
    <n v="32.205067106881302"/>
    <n v="0"/>
    <n v="0"/>
    <n v="0"/>
    <n v="605.04862966651251"/>
    <n v="1583.5962759644472"/>
    <n v="97.325236007906824"/>
    <n v="0"/>
    <n v="0"/>
    <n v="0"/>
    <n v="0"/>
    <n v="0"/>
    <n v="4.7041969311997347"/>
    <m/>
    <n v="0.8503894024134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99352715200458"/>
    <n v="0"/>
    <n v="0"/>
    <n v="0"/>
    <n v="0"/>
    <n v="0"/>
    <m/>
    <m/>
    <m/>
    <m/>
    <m/>
    <m/>
    <m/>
    <m/>
    <m/>
    <n v="103.82458872310728"/>
    <m/>
    <m/>
    <m/>
    <m/>
    <m/>
    <m/>
    <m/>
    <m/>
    <m/>
    <m/>
    <m/>
    <m/>
    <n v="2270.0859"/>
    <n v="-60.171200000000681"/>
    <m/>
    <m/>
    <m/>
    <m/>
    <n v="-75.754599999999698"/>
    <n v="15.613399999999999"/>
    <n v="31"/>
    <n v="143.8032766863812"/>
    <n v="0"/>
    <n v="0"/>
    <n v="0"/>
    <n v="0"/>
    <n v="0"/>
    <n v="0"/>
    <n v="0"/>
    <n v="130.12885500469099"/>
    <n v="0"/>
    <n v="0"/>
    <n v="14.77480024170076"/>
    <n v="0"/>
    <n v="0"/>
    <n v="0"/>
    <n v="0.98665713032171354"/>
    <n v="0"/>
    <n v="-1.7688262966688448"/>
    <m/>
    <n v="0"/>
    <n v="0"/>
    <n v="0"/>
    <n v="0"/>
    <n v="-0.25984579661865581"/>
    <n v="-5.8363597044764237E-2"/>
    <n v="0"/>
    <n v="39.956741369771436"/>
    <m/>
    <m/>
    <m/>
    <n v="1583.5962759644472"/>
    <n v="0"/>
    <n v="0"/>
    <n v="-75.754599999999755"/>
    <n v="15.613399999999999"/>
    <n v="0"/>
    <n v="0"/>
    <n v="-243.90141044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Fora ponta"/>
    <s v="CATIVO"/>
    <x v="6"/>
    <n v="0"/>
    <n v="0"/>
    <n v="86.043999999999997"/>
    <n v="86.043999999999997"/>
    <n v="86.043999999999997"/>
    <n v="86.043999999999997"/>
    <m/>
    <n v="94.17"/>
    <n v="207.07"/>
    <m/>
    <n v="25919.894560000001"/>
    <n v="25919.894560000001"/>
    <n v="28718.905879999998"/>
    <n v="0"/>
    <n v="5895.8570088180741"/>
    <n v="0"/>
    <n v="0"/>
    <n v="0"/>
    <n v="0"/>
    <n v="0"/>
    <n v="17817.558738434756"/>
    <n v="0"/>
    <n v="0"/>
    <n v="0"/>
    <n v="0"/>
    <n v="0"/>
    <n v="861.20834201734044"/>
    <m/>
    <n v="155.6827781728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8517128227834"/>
    <n v="0"/>
    <n v="0"/>
    <n v="0"/>
    <n v="0"/>
    <n v="0"/>
    <m/>
    <m/>
    <m/>
    <m/>
    <m/>
    <m/>
    <m/>
    <m/>
    <m/>
    <n v="19007.41045125754"/>
    <m/>
    <m/>
    <m/>
    <m/>
    <m/>
    <m/>
    <m/>
    <m/>
    <m/>
    <m/>
    <m/>
    <m/>
    <n v="28717.570800000001"/>
    <n v="2797.6462400000055"/>
    <m/>
    <m/>
    <m/>
    <m/>
    <n v="-59.370359999999799"/>
    <n v="2858.38168"/>
    <n v="31"/>
    <n v="2503.4083812326608"/>
    <n v="0"/>
    <n v="0"/>
    <n v="0"/>
    <n v="0"/>
    <n v="0"/>
    <n v="0"/>
    <n v="0"/>
    <n v="0"/>
    <n v="0"/>
    <n v="0"/>
    <n v="2704.8572595678706"/>
    <n v="0"/>
    <n v="0"/>
    <n v="0"/>
    <n v="180.62963004553535"/>
    <n v="0"/>
    <n v="-323.82316993739187"/>
    <m/>
    <n v="0"/>
    <n v="0"/>
    <n v="0"/>
    <n v="0"/>
    <n v="-47.570578136714062"/>
    <n v="-10.684760306637656"/>
    <n v="0"/>
    <n v="295.23623127286908"/>
    <m/>
    <m/>
    <m/>
    <n v="0"/>
    <n v="0"/>
    <n v="0"/>
    <n v="-59.370359999999891"/>
    <n v="2858.38167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Não se aplica"/>
    <s v="CATIVO"/>
    <x v="6"/>
    <n v="304"/>
    <n v="304"/>
    <n v="0"/>
    <n v="0"/>
    <n v="0"/>
    <n v="0"/>
    <n v="73.75"/>
    <m/>
    <m/>
    <n v="22420"/>
    <m/>
    <n v="22420"/>
    <n v="22620.639999999999"/>
    <n v="0"/>
    <n v="0"/>
    <n v="0"/>
    <n v="0"/>
    <n v="0"/>
    <n v="8833.7096760712593"/>
    <n v="13586.2535357352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620.639999999999"/>
    <n v="200.61000000000422"/>
    <m/>
    <m/>
    <m/>
    <m/>
    <n v="200.63999999999896"/>
    <n v="0"/>
    <n v="31"/>
    <n v="1899.8812148778161"/>
    <n v="0"/>
    <n v="0"/>
    <n v="0"/>
    <n v="0"/>
    <m/>
    <m/>
    <m/>
    <n v="1899.8812148778161"/>
    <n v="0"/>
    <n v="0"/>
    <m/>
    <m/>
    <n v="0"/>
    <n v="0"/>
    <n v="0"/>
    <n v="0"/>
    <n v="0"/>
    <m/>
    <n v="0"/>
    <n v="0"/>
    <m/>
    <n v="0"/>
    <n v="0"/>
    <n v="0"/>
    <n v="0"/>
    <n v="392.78758729576691"/>
    <m/>
    <m/>
    <n v="13586.253535735212"/>
    <m/>
    <n v="0"/>
    <n v="0"/>
    <n v="200.63999999999942"/>
    <m/>
    <n v="0"/>
    <m/>
    <n v="-2092.51969728083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91"/>
    <s v="Regular"/>
    <s v="Branca"/>
    <s v="B3"/>
    <s v="Comercial"/>
    <s v="Não se aplica"/>
    <s v="Não se aplica"/>
    <s v="Não se aplica"/>
    <s v="Ponta"/>
    <s v="CATIVO"/>
    <x v="6"/>
    <n v="0"/>
    <n v="0"/>
    <n v="3.1E-2"/>
    <n v="3.1E-2"/>
    <n v="3.1E-2"/>
    <n v="3.1E-2"/>
    <m/>
    <n v="2482.39"/>
    <n v="207.07"/>
    <m/>
    <n v="83.373259999999988"/>
    <n v="83.373259999999988"/>
    <n v="81.450329999999994"/>
    <n v="0"/>
    <n v="2.4415678168582087"/>
    <n v="0"/>
    <n v="0"/>
    <n v="0"/>
    <n v="18.867207001400136"/>
    <n v="54.242867934018022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"/>
    <n v="0"/>
    <n v="0"/>
    <n v="0"/>
    <m/>
    <m/>
    <m/>
    <m/>
    <m/>
    <m/>
    <m/>
    <m/>
    <m/>
    <n v="7.4252841873540696"/>
    <m/>
    <m/>
    <m/>
    <m/>
    <m/>
    <m/>
    <m/>
    <m/>
    <m/>
    <m/>
    <m/>
    <m/>
    <n v="78.82289999999999"/>
    <n v="-4.5803600000000131"/>
    <m/>
    <m/>
    <m/>
    <m/>
    <n v="-2.95275"/>
    <n v="1.02982"/>
    <n v="31"/>
    <n v="5.0278599764648568"/>
    <n v="0"/>
    <n v="0"/>
    <n v="0"/>
    <n v="0"/>
    <n v="0"/>
    <n v="0"/>
    <n v="0"/>
    <n v="4.0578028340992276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1.4034276011476383"/>
    <m/>
    <m/>
    <m/>
    <n v="54.242867934018022"/>
    <n v="0"/>
    <n v="0"/>
    <n v="-2.9527499999999947"/>
    <n v="1.02982"/>
    <n v="0"/>
    <n v="0"/>
    <n v="-8.354346493710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2"/>
    <s v="Regular"/>
    <s v="Branca"/>
    <s v="B3"/>
    <s v="Comercial"/>
    <s v="Não se aplica"/>
    <s v="Não se aplica"/>
    <s v="Não se aplica"/>
    <s v="Fora ponta"/>
    <s v="CATIVO"/>
    <x v="6"/>
    <n v="0"/>
    <n v="0"/>
    <n v="0.19800000000000001"/>
    <n v="0.19800000000000001"/>
    <n v="0.19800000000000001"/>
    <n v="0.19800000000000001"/>
    <m/>
    <n v="595.67999999999995"/>
    <n v="207.07"/>
    <m/>
    <n v="158.94450000000001"/>
    <n v="158.94450000000001"/>
    <n v="162.07092"/>
    <n v="0"/>
    <n v="15.594529927029848"/>
    <n v="0"/>
    <n v="0"/>
    <n v="0"/>
    <n v="24.101104692280177"/>
    <n v="69.29090945060031"/>
    <n v="41.000844105458626"/>
    <n v="0"/>
    <n v="0"/>
    <n v="0"/>
    <n v="0"/>
    <n v="0"/>
    <n v="1.9817680688883992"/>
    <m/>
    <n v="0.55142017686648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251645750609176"/>
    <n v="0"/>
    <n v="0"/>
    <n v="0"/>
    <n v="0"/>
    <n v="0"/>
    <m/>
    <m/>
    <m/>
    <m/>
    <m/>
    <m/>
    <m/>
    <m/>
    <m/>
    <n v="47.426008680519544"/>
    <m/>
    <m/>
    <m/>
    <m/>
    <m/>
    <m/>
    <m/>
    <m/>
    <m/>
    <m/>
    <m/>
    <m/>
    <n v="163.708"/>
    <n v="4.7335000000000207"/>
    <m/>
    <m/>
    <m/>
    <m/>
    <n v="-3.4511399999999903"/>
    <n v="6.5775600000000001"/>
    <n v="31"/>
    <n v="11.379315105479222"/>
    <n v="0"/>
    <n v="0"/>
    <n v="0"/>
    <n v="0"/>
    <n v="0"/>
    <n v="0"/>
    <n v="0"/>
    <n v="5.1834662606923025"/>
    <n v="0"/>
    <n v="0"/>
    <n v="6.2242775486313846"/>
    <n v="0"/>
    <n v="0"/>
    <n v="0"/>
    <n v="0.97539473840949409"/>
    <n v="0"/>
    <n v="-0.85651163301646704"/>
    <m/>
    <n v="0"/>
    <n v="0"/>
    <n v="0"/>
    <n v="0"/>
    <n v="-0.10946695261807204"/>
    <n v="-3.7844856619394185E-2"/>
    <n v="0"/>
    <n v="2.4190665288609243"/>
    <m/>
    <m/>
    <m/>
    <n v="69.29090945060031"/>
    <n v="0"/>
    <n v="0"/>
    <n v="-3.451139999999981"/>
    <n v="6.5775600000000054"/>
    <n v="0"/>
    <n v="0"/>
    <n v="-10.67200700226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94"/>
    <s v="Regular"/>
    <s v="Branca"/>
    <s v="B3"/>
    <s v="Comercial"/>
    <s v="Não se aplica"/>
    <s v="Não se aplica"/>
    <s v="Não se aplica"/>
    <s v="Intermediário"/>
    <s v="CATIVO"/>
    <x v="6"/>
    <n v="0"/>
    <n v="0"/>
    <n v="1.7000000000000001E-2"/>
    <n v="1.7000000000000001E-2"/>
    <n v="1.7000000000000001E-2"/>
    <n v="1.7000000000000001E-2"/>
    <m/>
    <n v="1539.04"/>
    <n v="207.07"/>
    <m/>
    <n v="29.683870000000002"/>
    <n v="29.683870000000002"/>
    <n v="29.290830000000003"/>
    <n v="0"/>
    <n v="1.3389242866641791"/>
    <n v="0"/>
    <n v="0"/>
    <n v="0"/>
    <n v="6.2079117237220514"/>
    <n v="17.847651595349834"/>
    <n v="3.5202744939030133"/>
    <n v="0"/>
    <n v="0"/>
    <n v="0"/>
    <n v="0"/>
    <n v="0"/>
    <n v="0.17015180389445853"/>
    <m/>
    <n v="4.73441565996473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165554432341213"/>
    <n v="0"/>
    <n v="0"/>
    <n v="0"/>
    <n v="0"/>
    <n v="0"/>
    <m/>
    <m/>
    <m/>
    <m/>
    <m/>
    <m/>
    <m/>
    <m/>
    <m/>
    <n v="4.0719300382264256"/>
    <m/>
    <m/>
    <m/>
    <m/>
    <m/>
    <m/>
    <m/>
    <m/>
    <m/>
    <m/>
    <m/>
    <m/>
    <n v="34.459800000000001"/>
    <n v="4.7459299999999942"/>
    <m/>
    <m/>
    <m/>
    <m/>
    <n v="-0.95777999999999863"/>
    <n v="0.56474000000000002"/>
    <n v="31"/>
    <n v="1.8671131288637923"/>
    <n v="0"/>
    <n v="0"/>
    <n v="0"/>
    <n v="0"/>
    <n v="0"/>
    <n v="0"/>
    <n v="0"/>
    <n v="1.3351463088568334"/>
    <n v="0"/>
    <n v="0"/>
    <n v="0.53440766831683639"/>
    <n v="0"/>
    <n v="0"/>
    <n v="0"/>
    <n v="8.3746012893744504E-2"/>
    <n v="0"/>
    <n v="-7.3538877582222106E-2"/>
    <m/>
    <n v="0"/>
    <n v="0"/>
    <n v="0"/>
    <n v="0"/>
    <n v="-9.3986777500364993E-3"/>
    <n v="-3.2493058713621362E-3"/>
    <n v="0"/>
    <n v="0.48865959753515376"/>
    <m/>
    <m/>
    <m/>
    <n v="17.847651595349834"/>
    <n v="0"/>
    <n v="0"/>
    <n v="-0.95777999999999963"/>
    <n v="0.56474000000000002"/>
    <n v="0"/>
    <n v="0"/>
    <n v="-2.748849225818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Não se aplica"/>
    <s v="Não se aplica"/>
    <s v="Não se aplica"/>
    <s v="Não se aplica"/>
    <s v="CATIVO"/>
    <x v="6"/>
    <n v="0"/>
    <n v="0"/>
    <n v="40.125"/>
    <n v="40.125"/>
    <n v="40.125"/>
    <n v="40.125"/>
    <m/>
    <n v="897.25"/>
    <n v="207.07"/>
    <m/>
    <n v="44310.84"/>
    <n v="44310.84"/>
    <n v="44445.258749999994"/>
    <n v="0"/>
    <n v="3160.2551177882456"/>
    <n v="0"/>
    <n v="0"/>
    <n v="0"/>
    <n v="8006.8299852448636"/>
    <n v="23019.523430720488"/>
    <n v="8308.8831804622587"/>
    <n v="0"/>
    <n v="0"/>
    <n v="0"/>
    <n v="0"/>
    <n v="0"/>
    <n v="401.60830183912628"/>
    <m/>
    <n v="111.746134327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0693362339359"/>
    <n v="0"/>
    <n v="33.17"/>
    <n v="153.33000000000001"/>
    <n v="0"/>
    <n v="150"/>
    <m/>
    <m/>
    <m/>
    <m/>
    <m/>
    <n v="5333.415"/>
    <m/>
    <m/>
    <m/>
    <n v="9610.9525166961939"/>
    <m/>
    <m/>
    <m/>
    <m/>
    <m/>
    <m/>
    <m/>
    <m/>
    <m/>
    <m/>
    <m/>
    <m/>
    <n v="39116.717499999999"/>
    <n v="122.81124999999884"/>
    <m/>
    <m/>
    <m/>
    <m/>
    <n v="-1198.5337500000003"/>
    <n v="1332.9524999999999"/>
    <n v="31"/>
    <n v="2977.6409260152504"/>
    <n v="0"/>
    <n v="0"/>
    <n v="0"/>
    <n v="0"/>
    <n v="0"/>
    <n v="0"/>
    <n v="0"/>
    <n v="1722.0427699694083"/>
    <n v="0"/>
    <n v="0"/>
    <n v="1261.3592759537078"/>
    <n v="0"/>
    <n v="0"/>
    <n v="0"/>
    <n v="197.66522160949967"/>
    <n v="0"/>
    <n v="-173.57338017568554"/>
    <m/>
    <n v="0"/>
    <n v="0"/>
    <n v="0"/>
    <n v="0"/>
    <n v="-22.183643807071348"/>
    <n v="-7.669317534612091"/>
    <n v="0"/>
    <n v="702.21962016617181"/>
    <m/>
    <m/>
    <m/>
    <n v="23019.523430720488"/>
    <n v="0"/>
    <n v="0"/>
    <n v="-1198.5337500000023"/>
    <n v="1332.9524999999994"/>
    <n v="0"/>
    <n v="0"/>
    <n v="-3545.40757495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5300000000000005"/>
    <n v="0.55300000000000005"/>
    <n v="0.55300000000000005"/>
    <n v="0.55300000000000005"/>
    <m/>
    <n v="897.25"/>
    <n v="207.07"/>
    <m/>
    <n v="610.68896000000007"/>
    <n v="610.68896000000007"/>
    <n v="612.54151000000002"/>
    <n v="0"/>
    <n v="43.554419442664177"/>
    <n v="0"/>
    <n v="0"/>
    <n v="0"/>
    <n v="110.34958210194168"/>
    <n v="317.25349426014782"/>
    <n v="114.51245853696274"/>
    <n v="0"/>
    <n v="0"/>
    <n v="0"/>
    <n v="0"/>
    <n v="0"/>
    <n v="5.5349380913903268"/>
    <m/>
    <n v="1.540077564682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45030353579231"/>
    <n v="0"/>
    <n v="0"/>
    <n v="0"/>
    <n v="0"/>
    <n v="5"/>
    <m/>
    <m/>
    <m/>
    <m/>
    <m/>
    <n v="73.504760000000019"/>
    <m/>
    <m/>
    <m/>
    <n v="132.45748889054198"/>
    <m/>
    <m/>
    <m/>
    <m/>
    <m/>
    <m/>
    <m/>
    <m/>
    <m/>
    <m/>
    <m/>
    <m/>
    <n v="536.11250000000007"/>
    <n v="-1.3284299999999121"/>
    <m/>
    <m/>
    <m/>
    <m/>
    <n v="-16.518110000000004"/>
    <n v="18.370660000000001"/>
    <n v="31"/>
    <n v="41.03764316726307"/>
    <n v="0"/>
    <n v="0"/>
    <n v="0"/>
    <n v="0"/>
    <n v="0"/>
    <n v="0"/>
    <n v="0"/>
    <n v="23.733075434095525"/>
    <n v="0"/>
    <n v="0"/>
    <n v="17.383967092894707"/>
    <n v="0"/>
    <n v="0"/>
    <n v="0"/>
    <n v="2.7242085370729825"/>
    <n v="0"/>
    <n v="-2.3921764295863994"/>
    <m/>
    <n v="0"/>
    <n v="0"/>
    <n v="0"/>
    <n v="0"/>
    <n v="-0.30573345857471601"/>
    <n v="-0.10569800863901535"/>
    <n v="0"/>
    <n v="9.6779426779287974"/>
    <m/>
    <m/>
    <m/>
    <n v="317.25349426014782"/>
    <n v="0"/>
    <n v="0"/>
    <n v="-16.518109999999979"/>
    <n v="18.370659999999987"/>
    <n v="0"/>
    <n v="0"/>
    <n v="-48.86256421053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.686"/>
    <n v="20.686"/>
    <n v="20.686"/>
    <n v="20.686"/>
    <m/>
    <n v="897.25"/>
    <n v="207.07"/>
    <m/>
    <n v="22843.963520000001"/>
    <n v="22843.963520000001"/>
    <n v="22913.261620000001"/>
    <n v="0"/>
    <n v="1629.2345761138356"/>
    <n v="0"/>
    <n v="0"/>
    <n v="0"/>
    <n v="4127.832649838635"/>
    <n v="11867.460727423901"/>
    <n v="4283.552834169278"/>
    <n v="0"/>
    <n v="0"/>
    <n v="0"/>
    <n v="0"/>
    <n v="0"/>
    <n v="207.04471855063343"/>
    <m/>
    <n v="57.609483730606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26744646318252"/>
    <n v="0"/>
    <n v="174.25"/>
    <n v="804.83"/>
    <n v="0"/>
    <n v="31"/>
    <m/>
    <m/>
    <m/>
    <m/>
    <m/>
    <m/>
    <m/>
    <m/>
    <m/>
    <n v="4954.8202806324607"/>
    <m/>
    <m/>
    <m/>
    <m/>
    <m/>
    <m/>
    <m/>
    <m/>
    <m/>
    <m/>
    <m/>
    <m/>
    <n v="22917.692300000002"/>
    <n v="73.698780000006082"/>
    <m/>
    <m/>
    <m/>
    <m/>
    <n v="-617.89082000000008"/>
    <n v="687.18891999999994"/>
    <n v="31"/>
    <n v="1535.0898491103162"/>
    <n v="0"/>
    <n v="0"/>
    <n v="0"/>
    <n v="0"/>
    <n v="0"/>
    <n v="0"/>
    <n v="0"/>
    <n v="887.78010565949444"/>
    <n v="0"/>
    <n v="0"/>
    <n v="650.27982510600395"/>
    <n v="0"/>
    <n v="0"/>
    <n v="0"/>
    <n v="101.9041189835292"/>
    <n v="0"/>
    <n v="-89.483836568579136"/>
    <m/>
    <n v="0"/>
    <n v="0"/>
    <n v="0"/>
    <n v="0"/>
    <n v="-11.436532231603195"/>
    <n v="-3.9538318385292399"/>
    <n v="0"/>
    <n v="362.02155919644679"/>
    <m/>
    <m/>
    <m/>
    <n v="11867.460727423901"/>
    <n v="0"/>
    <n v="0"/>
    <n v="-617.89082000000053"/>
    <n v="687.1889199999996"/>
    <n v="0"/>
    <n v="0"/>
    <n v="-1827.795665929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53.86"/>
    <n v="253.86"/>
    <n v="253.86"/>
    <n v="253.86"/>
    <m/>
    <n v="493.49"/>
    <n v="113.89"/>
    <m/>
    <n v="154189.48680000001"/>
    <n v="154189.48680000001"/>
    <n v="154656.58919999999"/>
    <n v="0"/>
    <n v="10996.742686877209"/>
    <n v="0"/>
    <n v="0"/>
    <n v="0"/>
    <n v="27861.373782675291"/>
    <n v="80101.05719545146"/>
    <n v="28912.428568365918"/>
    <n v="0"/>
    <n v="0"/>
    <n v="0"/>
    <n v="0"/>
    <n v="0"/>
    <n v="1397.4767832444682"/>
    <m/>
    <n v="388.8431280536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8118861804533"/>
    <n v="0"/>
    <n v="1286.53"/>
    <n v="5937.87"/>
    <n v="0"/>
    <n v="3"/>
    <m/>
    <m/>
    <m/>
    <m/>
    <m/>
    <m/>
    <m/>
    <m/>
    <m/>
    <n v="33443.240454546372"/>
    <m/>
    <m/>
    <m/>
    <m/>
    <m/>
    <m/>
    <m/>
    <m/>
    <m/>
    <m/>
    <m/>
    <m/>
    <n v="154656.58919999999"/>
    <n v="467.07239999997546"/>
    <m/>
    <m/>
    <m/>
    <m/>
    <n v="-4170.9198000000024"/>
    <n v="4638.0221999999994"/>
    <n v="31"/>
    <n v="10361.299913097057"/>
    <n v="0"/>
    <n v="0"/>
    <n v="0"/>
    <n v="0"/>
    <n v="0"/>
    <n v="0"/>
    <n v="0"/>
    <n v="5992.1938360482163"/>
    <n v="0"/>
    <n v="0"/>
    <n v="4389.1530513764592"/>
    <n v="0"/>
    <n v="0"/>
    <n v="0"/>
    <n v="687.81585636843829"/>
    <n v="0"/>
    <n v="-603.98345321544548"/>
    <m/>
    <n v="0"/>
    <n v="0"/>
    <n v="0"/>
    <n v="0"/>
    <n v="-77.192446087842882"/>
    <n v="-26.686931392776273"/>
    <n v="0"/>
    <n v="2443.5142685722512"/>
    <m/>
    <m/>
    <m/>
    <n v="80101.05719545146"/>
    <n v="0"/>
    <n v="0"/>
    <n v="-4170.9198000000033"/>
    <n v="4638.0221999999994"/>
    <n v="0"/>
    <n v="0"/>
    <n v="-12336.9580520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2.247"/>
    <n v="11.512180000000001"/>
    <n v="12.247"/>
    <n v="11.512180000000001"/>
    <m/>
    <n v="897.25"/>
    <n v="207.07"/>
    <m/>
    <n v="13524.607039999999"/>
    <n v="13524.607039999999"/>
    <n v="13565.63449"/>
    <n v="0"/>
    <n v="964.57680816330583"/>
    <n v="0"/>
    <n v="0"/>
    <n v="0"/>
    <n v="2443.8541265867625"/>
    <n v="7026.0461920506868"/>
    <n v="2536.0471604017766"/>
    <n v="0"/>
    <n v="0"/>
    <n v="0"/>
    <n v="0"/>
    <n v="0"/>
    <n v="122.57936131149607"/>
    <m/>
    <n v="34.10728740446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1914419581343"/>
    <n v="0"/>
    <n v="9.5399999999999991"/>
    <n v="44.06"/>
    <n v="0"/>
    <n v="2"/>
    <m/>
    <m/>
    <m/>
    <m/>
    <n v="813.93806939999911"/>
    <m/>
    <m/>
    <m/>
    <m/>
    <n v="2933.4663045975899"/>
    <m/>
    <m/>
    <m/>
    <m/>
    <m/>
    <m/>
    <m/>
    <m/>
    <m/>
    <m/>
    <m/>
    <m/>
    <n v="12749.2817"/>
    <n v="36.121082399999068"/>
    <m/>
    <m/>
    <m/>
    <m/>
    <n v="-365.81789000000003"/>
    <n v="406.84533999999996"/>
    <n v="31"/>
    <n v="908.83908837155741"/>
    <n v="0"/>
    <n v="0"/>
    <n v="0"/>
    <n v="0"/>
    <n v="0"/>
    <n v="0"/>
    <n v="0"/>
    <n v="525.60393280536664"/>
    <n v="0"/>
    <n v="0"/>
    <n v="384.99357140448728"/>
    <n v="0"/>
    <n v="0"/>
    <n v="0"/>
    <n v="60.331612935863973"/>
    <n v="0"/>
    <n v="-52.97827257349843"/>
    <m/>
    <n v="0"/>
    <n v="0"/>
    <n v="0"/>
    <n v="0"/>
    <n v="-6.7709180238056916"/>
    <n v="-2.3408381768571829"/>
    <n v="0"/>
    <n v="214.33230375514282"/>
    <m/>
    <m/>
    <m/>
    <n v="7026.0461920506868"/>
    <n v="0"/>
    <n v="0"/>
    <n v="-365.81789000000026"/>
    <n v="406.84533999999985"/>
    <n v="0"/>
    <n v="0"/>
    <n v="-1082.133497082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5920000000000001"/>
    <n v="1.49648"/>
    <n v="1.5920000000000001"/>
    <n v="1.49648"/>
    <m/>
    <n v="4750.8599999999997"/>
    <n v="207.07"/>
    <m/>
    <n v="7893.0245599999998"/>
    <n v="7893.0245599999998"/>
    <n v="7689.3122400000011"/>
    <n v="0"/>
    <n v="109.08609964713838"/>
    <n v="0"/>
    <n v="0"/>
    <n v="0"/>
    <n v="2049.4413158065699"/>
    <n v="5364.0112156072346"/>
    <n v="329.66335260550574"/>
    <n v="0"/>
    <n v="0"/>
    <n v="0"/>
    <n v="0"/>
    <n v="0"/>
    <n v="15.934215988233996"/>
    <m/>
    <n v="2.880467933281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14828771487512"/>
    <n v="0"/>
    <n v="0"/>
    <n v="0"/>
    <n v="0"/>
    <n v="0"/>
    <m/>
    <m/>
    <m/>
    <m/>
    <n v="461.35873440000023"/>
    <m/>
    <m/>
    <m/>
    <m/>
    <n v="351.67818137699322"/>
    <m/>
    <m/>
    <m/>
    <m/>
    <m/>
    <m/>
    <m/>
    <m/>
    <m/>
    <m/>
    <m/>
    <m/>
    <n v="7244.9550000000008"/>
    <n v="-174.51808639999945"/>
    <m/>
    <m/>
    <m/>
    <m/>
    <n v="-256.59855999999905"/>
    <n v="52.886240000000001"/>
    <n v="31"/>
    <n v="487.09535422280624"/>
    <n v="0"/>
    <n v="0"/>
    <n v="0"/>
    <n v="0"/>
    <n v="0"/>
    <n v="0"/>
    <n v="0"/>
    <n v="440.77688759035755"/>
    <n v="0"/>
    <n v="0"/>
    <n v="50.045706350611908"/>
    <n v="0"/>
    <n v="0"/>
    <n v="0"/>
    <n v="3.3420386201535486"/>
    <n v="0"/>
    <n v="-5.9914286474400029"/>
    <m/>
    <n v="0"/>
    <n v="0"/>
    <n v="0"/>
    <n v="0"/>
    <n v="-0.8801585281210631"/>
    <n v="-0.19769116275588239"/>
    <n v="0"/>
    <n v="135.34283459718324"/>
    <m/>
    <m/>
    <m/>
    <n v="5364.0112156072346"/>
    <n v="0"/>
    <n v="0"/>
    <n v="-256.59855999999945"/>
    <n v="52.886239999999987"/>
    <n v="0"/>
    <n v="0"/>
    <n v="-826.1511604778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7.405000000000001"/>
    <n v="16.360700000000001"/>
    <n v="17.405000000000001"/>
    <n v="16.360700000000001"/>
    <m/>
    <n v="94.17"/>
    <n v="207.07"/>
    <m/>
    <n v="5243.0822000000007"/>
    <n v="5243.0822000000007"/>
    <n v="5809.26685"/>
    <n v="0"/>
    <n v="1192.6153042452536"/>
    <n v="0"/>
    <n v="0"/>
    <n v="0"/>
    <n v="0"/>
    <n v="0"/>
    <n v="3604.1398568459972"/>
    <n v="0"/>
    <n v="0"/>
    <n v="0"/>
    <n v="0"/>
    <n v="0"/>
    <n v="174.20542039900297"/>
    <m/>
    <n v="31.491547976608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6834766129021"/>
    <n v="0"/>
    <n v="0"/>
    <n v="0"/>
    <n v="0"/>
    <n v="0"/>
    <m/>
    <m/>
    <m/>
    <m/>
    <n v="348.5560109999999"/>
    <m/>
    <m/>
    <m/>
    <m/>
    <n v="3844.8233334588995"/>
    <m/>
    <m/>
    <m/>
    <m/>
    <m/>
    <m/>
    <m/>
    <m/>
    <m/>
    <m/>
    <m/>
    <m/>
    <n v="5460.4771999999994"/>
    <n v="531.94993199999863"/>
    <m/>
    <m/>
    <m/>
    <m/>
    <n v="-12.009449999999962"/>
    <n v="578.19410000000005"/>
    <n v="31"/>
    <n v="506.39001993578313"/>
    <n v="0"/>
    <n v="0"/>
    <n v="0"/>
    <n v="0"/>
    <n v="0"/>
    <n v="0"/>
    <n v="0"/>
    <n v="0"/>
    <n v="0"/>
    <n v="0"/>
    <n v="547.13914512085466"/>
    <n v="0"/>
    <n v="0"/>
    <n v="0"/>
    <n v="36.537802879254116"/>
    <n v="0"/>
    <n v="-65.503024879832537"/>
    <m/>
    <n v="0"/>
    <n v="0"/>
    <n v="0"/>
    <n v="0"/>
    <n v="-9.6225874258461772"/>
    <n v="-2.1613157586470706"/>
    <n v="0"/>
    <n v="59.720452388362773"/>
    <m/>
    <m/>
    <m/>
    <n v="0"/>
    <n v="0"/>
    <n v="0"/>
    <n v="-12.009450000000015"/>
    <n v="578.1940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2"/>
    <s v="Regular"/>
    <s v="Verde"/>
    <s v="A4"/>
    <s v="Serviço público"/>
    <s v="Água, esgoto e saneamento"/>
    <s v="Não se aplica"/>
    <s v="Não se aplica"/>
    <s v="Não se aplica"/>
    <s v="CATIVO"/>
    <x v="6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6"/>
    <n v="605.3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6"/>
    <n v="1.2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05"/>
    <s v="Regular"/>
    <s v="Convencional"/>
    <s v="B2"/>
    <s v="Rural"/>
    <s v="Agropecuária rural"/>
    <s v="IRRIG./AQUIC."/>
    <s v="Não se aplica"/>
    <s v="Não se aplica"/>
    <s v="CATIVO"/>
    <x v="6"/>
    <n v="0"/>
    <n v="0"/>
    <n v="1.696"/>
    <n v="1.696"/>
    <n v="1.696"/>
    <n v="1.696"/>
    <m/>
    <n v="897.25"/>
    <n v="207.07"/>
    <m/>
    <n v="1872.9267199999999"/>
    <n v="1872.9267199999999"/>
    <n v="1878.6083199999998"/>
    <n v="0"/>
    <n v="133.57738765779101"/>
    <n v="0"/>
    <n v="0"/>
    <n v="0"/>
    <n v="338.4319914012533"/>
    <n v="972.9872084361856"/>
    <n v="351.19914950938295"/>
    <n v="0"/>
    <n v="0"/>
    <n v="0"/>
    <n v="0"/>
    <n v="0"/>
    <n v="16.975144670882447"/>
    <m/>
    <n v="4.723275858411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35753127794521"/>
    <n v="0"/>
    <n v="0"/>
    <n v="0"/>
    <n v="0"/>
    <n v="0"/>
    <m/>
    <m/>
    <m/>
    <m/>
    <m/>
    <n v="225.43232000000003"/>
    <m/>
    <m/>
    <m/>
    <n v="406.23490263717747"/>
    <m/>
    <m/>
    <m/>
    <m/>
    <m/>
    <m/>
    <m/>
    <m/>
    <m/>
    <m/>
    <m/>
    <m/>
    <n v="1657.0749999999998"/>
    <n v="8.855239999999867"/>
    <m/>
    <m/>
    <m/>
    <m/>
    <n v="-50.659520000000008"/>
    <n v="56.341119999999997"/>
    <n v="31"/>
    <n v="125.85866692889363"/>
    <n v="0"/>
    <n v="0"/>
    <n v="0"/>
    <n v="0"/>
    <n v="0"/>
    <n v="0"/>
    <n v="0"/>
    <n v="72.787153591728725"/>
    <n v="0"/>
    <n v="0"/>
    <n v="53.315023850903174"/>
    <n v="0"/>
    <n v="0"/>
    <n v="0"/>
    <n v="8.3548963451641498"/>
    <n v="0"/>
    <n v="-7.3365844929087274"/>
    <m/>
    <n v="0"/>
    <n v="0"/>
    <n v="0"/>
    <n v="0"/>
    <n v="-0.93765632141540323"/>
    <n v="-0.32416604457824594"/>
    <n v="0"/>
    <n v="29.681357652381987"/>
    <m/>
    <m/>
    <m/>
    <n v="972.9872084361856"/>
    <n v="0"/>
    <n v="0"/>
    <n v="-50.659519999999929"/>
    <n v="56.341119999999989"/>
    <n v="0"/>
    <n v="0"/>
    <n v="-149.8569781212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.8999999999999997E-2"/>
    <n v="2.3599999999999999E-2"/>
    <n v="5.8999999999999997E-2"/>
    <n v="2.3599999999999999E-2"/>
    <m/>
    <n v="897.25"/>
    <n v="207.07"/>
    <m/>
    <n v="65.154879999999991"/>
    <n v="65.154879999999991"/>
    <n v="65.352530000000002"/>
    <n v="0"/>
    <n v="4.6468548772462679"/>
    <n v="0"/>
    <n v="0"/>
    <n v="0"/>
    <n v="11.773282719736995"/>
    <n v="33.848021991589"/>
    <n v="12.217423243545751"/>
    <n v="0"/>
    <n v="0"/>
    <n v="0"/>
    <n v="0"/>
    <n v="0"/>
    <n v="0.59052684881017947"/>
    <m/>
    <n v="0.16431207290465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45692420636067"/>
    <n v="0"/>
    <n v="0"/>
    <n v="0"/>
    <n v="0"/>
    <n v="0"/>
    <m/>
    <m/>
    <m/>
    <m/>
    <m/>
    <m/>
    <n v="42.34843"/>
    <m/>
    <m/>
    <n v="14.131992485609358"/>
    <m/>
    <m/>
    <m/>
    <m/>
    <m/>
    <m/>
    <m/>
    <m/>
    <m/>
    <m/>
    <m/>
    <m/>
    <n v="19.494999999999997"/>
    <n v="-3.4697160000000089"/>
    <m/>
    <m/>
    <m/>
    <m/>
    <n v="-1.7623300000000002"/>
    <n v="1.9599799999999998"/>
    <n v="31"/>
    <n v="4.3783380594367571"/>
    <n v="0"/>
    <n v="0"/>
    <n v="0"/>
    <n v="0"/>
    <n v="0"/>
    <n v="0"/>
    <n v="0"/>
    <n v="2.5321002723537713"/>
    <n v="0"/>
    <n v="0"/>
    <n v="1.854708966511371"/>
    <n v="0"/>
    <n v="0"/>
    <n v="0"/>
    <n v="0.29064792710181875"/>
    <n v="0"/>
    <n v="-0.25522316337359463"/>
    <m/>
    <n v="0"/>
    <n v="0"/>
    <n v="0"/>
    <n v="0"/>
    <n v="-3.2618940426597187E-2"/>
    <n v="-1.1277002730021496E-2"/>
    <n v="0"/>
    <n v="1.0325472296524394"/>
    <m/>
    <m/>
    <m/>
    <n v="33.848021991589"/>
    <n v="0"/>
    <n v="0"/>
    <n v="-1.7623299999999986"/>
    <n v="1.9599799999999998"/>
    <n v="0"/>
    <n v="0"/>
    <n v="-5.21318497002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Ponta"/>
    <s v="CATIVO"/>
    <x v="6"/>
    <n v="0"/>
    <n v="0"/>
    <n v="0.35099999999999998"/>
    <n v="0.33695999999999998"/>
    <n v="0.35099999999999998"/>
    <n v="0.33695999999999998"/>
    <m/>
    <n v="4750.8599999999997"/>
    <n v="207.07"/>
    <m/>
    <n v="1740.2334299999998"/>
    <n v="1740.2334299999998"/>
    <n v="1695.3194699999999"/>
    <n v="0"/>
    <n v="24.051018201096461"/>
    <n v="0"/>
    <n v="0"/>
    <n v="0"/>
    <n v="451.85546598499121"/>
    <n v="1182.6431763053638"/>
    <n v="72.683314550585735"/>
    <n v="0"/>
    <n v="0"/>
    <n v="0"/>
    <n v="0"/>
    <n v="0"/>
    <n v="3.5131343039385254"/>
    <m/>
    <n v="0.6350780430789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537719213518313"/>
    <n v="0"/>
    <n v="0"/>
    <n v="0"/>
    <n v="0"/>
    <n v="0"/>
    <m/>
    <m/>
    <m/>
    <m/>
    <m/>
    <n v="67.81277879999999"/>
    <m/>
    <m/>
    <m/>
    <n v="77.53708647193757"/>
    <m/>
    <m/>
    <m/>
    <m/>
    <m/>
    <m/>
    <m/>
    <m/>
    <m/>
    <m/>
    <m/>
    <m/>
    <n v="1642.1898000000001"/>
    <n v="-28.464292799999839"/>
    <m/>
    <m/>
    <m/>
    <m/>
    <n v="-56.574179999999778"/>
    <n v="11.660219999999999"/>
    <n v="31"/>
    <n v="107.39351088706337"/>
    <n v="0"/>
    <n v="0"/>
    <n v="0"/>
    <n v="0"/>
    <n v="0"/>
    <n v="0"/>
    <n v="0"/>
    <n v="97.181336397120333"/>
    <n v="0"/>
    <n v="0"/>
    <n v="11.0339465634829"/>
    <n v="0"/>
    <n v="0"/>
    <n v="0"/>
    <n v="0.73684394200621561"/>
    <n v="0"/>
    <n v="-1.3209745321931159"/>
    <m/>
    <n v="0"/>
    <n v="0"/>
    <n v="0"/>
    <n v="0"/>
    <n v="-0.19405505236840037"/>
    <n v="-4.3586430984494107E-2"/>
    <n v="0"/>
    <n v="29.840034512318667"/>
    <m/>
    <m/>
    <m/>
    <n v="1182.6431763053638"/>
    <n v="0"/>
    <n v="0"/>
    <n v="-56.574179999999842"/>
    <n v="11.660219999999995"/>
    <n v="0"/>
    <n v="0"/>
    <n v="-182.1476490751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Agropecuária rural"/>
    <s v="Não se aplica"/>
    <s v="Não se aplica"/>
    <s v="Fora ponta"/>
    <s v="CATIVO"/>
    <x v="6"/>
    <n v="0"/>
    <n v="0"/>
    <n v="12.372999999999999"/>
    <n v="11.878080000000001"/>
    <n v="12.372999999999999"/>
    <n v="11.878080000000001"/>
    <m/>
    <n v="94.17"/>
    <n v="207.07"/>
    <m/>
    <n v="3727.2425199999998"/>
    <n v="3727.2425199999998"/>
    <n v="4129.7362099999991"/>
    <n v="0"/>
    <n v="847.81552194349445"/>
    <n v="0"/>
    <n v="0"/>
    <n v="0"/>
    <n v="0"/>
    <n v="0"/>
    <n v="2562.1386066507048"/>
    <n v="0"/>
    <n v="0"/>
    <n v="0"/>
    <n v="0"/>
    <n v="0"/>
    <n v="123.84048644624323"/>
    <m/>
    <n v="22.386953353322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09891733016013"/>
    <n v="0"/>
    <n v="0"/>
    <n v="0"/>
    <n v="0"/>
    <n v="0"/>
    <m/>
    <m/>
    <m/>
    <m/>
    <m/>
    <n v="165.18944839999955"/>
    <m/>
    <m/>
    <m/>
    <n v="2733.2375239808648"/>
    <m/>
    <m/>
    <m/>
    <m/>
    <m/>
    <m/>
    <m/>
    <m/>
    <m/>
    <m/>
    <m/>
    <m/>
    <n v="3965.1876000000002"/>
    <n v="387.00478079999993"/>
    <m/>
    <m/>
    <m/>
    <m/>
    <n v="-8.5373699999999708"/>
    <n v="411.03105999999997"/>
    <n v="31"/>
    <n v="359.98642439904916"/>
    <n v="0"/>
    <n v="0"/>
    <n v="0"/>
    <n v="0"/>
    <n v="0"/>
    <n v="0"/>
    <n v="0"/>
    <n v="0"/>
    <n v="0"/>
    <n v="0"/>
    <n v="388.95447529907096"/>
    <n v="0"/>
    <n v="0"/>
    <n v="0"/>
    <n v="25.974273773341622"/>
    <n v="0"/>
    <n v="-46.56529312485884"/>
    <m/>
    <n v="0"/>
    <n v="0"/>
    <n v="0"/>
    <n v="0"/>
    <n v="-6.8405788118353712"/>
    <n v="-1.5364527366699328"/>
    <n v="0"/>
    <n v="42.4545336053555"/>
    <m/>
    <m/>
    <m/>
    <n v="0"/>
    <n v="0"/>
    <n v="0"/>
    <n v="-8.5373700000000099"/>
    <n v="411.0310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Agropecuária rural"/>
    <s v="Não se aplica"/>
    <s v="Não se aplica"/>
    <s v="Não se aplica"/>
    <s v="CATIVO"/>
    <x v="6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10"/>
    <s v="Regular"/>
    <s v="Verde"/>
    <s v="A4"/>
    <s v="Rural"/>
    <s v="Agropecuária rural"/>
    <s v="IRRIG./AQUIC. PR"/>
    <s v="Não se aplica"/>
    <s v="Fora ponta"/>
    <s v="CATIVO"/>
    <x v="6"/>
    <n v="0"/>
    <n v="0"/>
    <n v="6.3449999999999998"/>
    <n v="1.9035"/>
    <n v="6.3449999999999998"/>
    <n v="1.9035"/>
    <m/>
    <n v="94.17"/>
    <n v="207.07"/>
    <m/>
    <n v="1911.3678"/>
    <n v="1911.3678"/>
    <n v="2117.7706499999999"/>
    <n v="0"/>
    <n v="434.76840594289763"/>
    <n v="0"/>
    <n v="0"/>
    <n v="0"/>
    <n v="0"/>
    <n v="0"/>
    <n v="1313.8906861067421"/>
    <n v="0"/>
    <n v="0"/>
    <n v="0"/>
    <n v="0"/>
    <n v="0"/>
    <n v="63.506658571196418"/>
    <m/>
    <n v="11.480256932581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1261655206188"/>
    <n v="0"/>
    <n v="0"/>
    <n v="0"/>
    <n v="0"/>
    <n v="0"/>
    <m/>
    <m/>
    <m/>
    <m/>
    <m/>
    <m/>
    <n v="1482.4394549999997"/>
    <m/>
    <m/>
    <n v="1401.6319477619484"/>
    <m/>
    <m/>
    <m/>
    <m/>
    <m/>
    <m/>
    <m/>
    <m/>
    <m/>
    <m/>
    <m/>
    <m/>
    <n v="634.16300000000001"/>
    <n v="60.722660000000019"/>
    <m/>
    <m/>
    <m/>
    <m/>
    <n v="-4.3780499999999858"/>
    <n v="210.78089999999997"/>
    <n v="31"/>
    <n v="184.60469270281783"/>
    <n v="0"/>
    <n v="0"/>
    <n v="0"/>
    <n v="0"/>
    <n v="0"/>
    <n v="0"/>
    <n v="0"/>
    <n v="0"/>
    <n v="0"/>
    <n v="0"/>
    <n v="199.45980326296035"/>
    <n v="0"/>
    <n v="0"/>
    <n v="0"/>
    <n v="13.319871259343131"/>
    <n v="0"/>
    <n v="-23.879155005029475"/>
    <m/>
    <n v="0"/>
    <n v="0"/>
    <n v="0"/>
    <n v="0"/>
    <n v="-3.5079182543518499"/>
    <n v="-0.78790856010431831"/>
    <n v="0"/>
    <n v="21.771115794551093"/>
    <m/>
    <m/>
    <m/>
    <n v="0"/>
    <n v="0"/>
    <n v="0"/>
    <n v="-4.3780500000000302"/>
    <n v="210.780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049999999999997"/>
    <n v="184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4.4130000000000003"/>
    <n v="4.4130000000000003"/>
    <n v="4.4130000000000003"/>
    <n v="4.4130000000000003"/>
    <m/>
    <n v="897.25"/>
    <n v="207.07"/>
    <m/>
    <n v="4873.3641600000001"/>
    <n v="4873.3641600000001"/>
    <n v="4888.1477100000002"/>
    <n v="0"/>
    <n v="347.56899276758952"/>
    <n v="0"/>
    <n v="0"/>
    <n v="0"/>
    <n v="880.60163800337909"/>
    <n v="2531.7173059132592"/>
    <n v="913.82184362317639"/>
    <n v="0"/>
    <n v="0"/>
    <n v="0"/>
    <n v="0"/>
    <n v="0"/>
    <n v="44.169406505073262"/>
    <m/>
    <n v="12.289986063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20328924113045"/>
    <n v="0"/>
    <n v="0"/>
    <n v="0"/>
    <n v="0"/>
    <n v="0"/>
    <m/>
    <m/>
    <m/>
    <m/>
    <m/>
    <n v="586.57596000000012"/>
    <m/>
    <m/>
    <m/>
    <n v="1057.0251328643069"/>
    <m/>
    <m/>
    <m/>
    <m/>
    <m/>
    <m/>
    <m/>
    <m/>
    <m/>
    <m/>
    <m/>
    <m/>
    <n v="4298.6475"/>
    <n v="10.019969999999375"/>
    <m/>
    <m/>
    <m/>
    <m/>
    <n v="-131.81631000000002"/>
    <n v="146.59986000000001"/>
    <n v="31"/>
    <n v="327.48484502193833"/>
    <n v="0"/>
    <n v="0"/>
    <n v="0"/>
    <n v="0"/>
    <n v="0"/>
    <n v="0"/>
    <n v="0"/>
    <n v="189.39251698130829"/>
    <n v="0"/>
    <n v="0"/>
    <n v="138.72594354601142"/>
    <n v="0"/>
    <n v="0"/>
    <n v="0"/>
    <n v="21.739479700005546"/>
    <n v="0"/>
    <n v="-19.089827457079195"/>
    <m/>
    <n v="0"/>
    <n v="0"/>
    <n v="0"/>
    <n v="0"/>
    <n v="-2.439786171230061"/>
    <n v="-0.84348157707771065"/>
    <n v="0"/>
    <n v="77.23103261790196"/>
    <m/>
    <m/>
    <m/>
    <n v="2531.7173059132592"/>
    <n v="0"/>
    <n v="0"/>
    <n v="-131.81631000000016"/>
    <n v="146.59985999999992"/>
    <n v="0"/>
    <n v="0"/>
    <n v="-389.928563944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2589999999999999"/>
    <n v="2.2589999999999999"/>
    <n v="2.2589999999999999"/>
    <n v="2.2589999999999999"/>
    <m/>
    <n v="897.25"/>
    <n v="207.07"/>
    <m/>
    <n v="2494.65888"/>
    <n v="2494.65888"/>
    <n v="2502.2265299999999"/>
    <n v="0"/>
    <n v="177.91940962202236"/>
    <n v="0"/>
    <n v="0"/>
    <n v="0"/>
    <n v="450.77704515060799"/>
    <n v="1295.9776555762637"/>
    <n v="467.78235774864157"/>
    <n v="0"/>
    <n v="0"/>
    <n v="0"/>
    <n v="0"/>
    <n v="0"/>
    <n v="22.610172058681279"/>
    <m/>
    <n v="6.2912029269766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05286742740464"/>
    <n v="0"/>
    <n v="0"/>
    <n v="0"/>
    <n v="0"/>
    <n v="0"/>
    <m/>
    <m/>
    <m/>
    <m/>
    <m/>
    <n v="300.26627999999999"/>
    <m/>
    <m/>
    <m/>
    <n v="541.08764449138198"/>
    <m/>
    <m/>
    <m/>
    <m/>
    <m/>
    <m/>
    <m/>
    <m/>
    <m/>
    <m/>
    <m/>
    <m/>
    <n v="2202.9349999999995"/>
    <n v="7.5862099999994825"/>
    <m/>
    <m/>
    <m/>
    <m/>
    <n v="-67.476330000000004"/>
    <n v="75.043979999999991"/>
    <n v="31"/>
    <n v="167.63840129267146"/>
    <n v="0"/>
    <n v="0"/>
    <n v="0"/>
    <n v="0"/>
    <n v="0"/>
    <n v="0"/>
    <n v="0"/>
    <n v="96.949398563511352"/>
    <n v="0"/>
    <n v="0"/>
    <n v="71.013348395748892"/>
    <n v="0"/>
    <n v="0"/>
    <n v="0"/>
    <n v="11.128367242762863"/>
    <n v="0"/>
    <n v="-9.7720190857787941"/>
    <m/>
    <n v="0"/>
    <n v="0"/>
    <n v="0"/>
    <n v="0"/>
    <n v="-1.2489184139607303"/>
    <n v="-0.43177540961217975"/>
    <n v="0"/>
    <n v="39.534308335336618"/>
    <m/>
    <m/>
    <m/>
    <n v="1295.9776555762637"/>
    <n v="0"/>
    <n v="0"/>
    <n v="-67.476329999999962"/>
    <n v="75.043980000000033"/>
    <n v="0"/>
    <n v="0"/>
    <n v="-199.6031330047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"/>
    <s v="Não se aplica"/>
    <s v="Não se aplica"/>
    <s v="Não se aplica"/>
    <s v="CATIVO"/>
    <x v="7"/>
    <n v="0"/>
    <n v="0"/>
    <n v="748.33"/>
    <n v="748.33"/>
    <n v="748.33"/>
    <n v="748.33"/>
    <m/>
    <n v="897.25"/>
    <n v="207.07"/>
    <m/>
    <n v="826395.78560000006"/>
    <n v="826395.78560000006"/>
    <n v="828902.69109999994"/>
    <n v="0"/>
    <n v="58938.65949643559"/>
    <n v="0"/>
    <n v="0"/>
    <n v="0"/>
    <n v="149327.12979086078"/>
    <n v="429313.39486382715"/>
    <n v="154960.41247190835"/>
    <n v="0"/>
    <n v="0"/>
    <n v="0"/>
    <n v="0"/>
    <n v="0"/>
    <n v="7489.9823181376551"/>
    <m/>
    <n v="2084.061924012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83.552557855237"/>
    <n v="0"/>
    <n v="1447.76"/>
    <n v="6706.53"/>
    <n v="0"/>
    <n v="6289"/>
    <m/>
    <m/>
    <m/>
    <m/>
    <m/>
    <m/>
    <m/>
    <m/>
    <m/>
    <n v="179243.96502976358"/>
    <m/>
    <m/>
    <m/>
    <m/>
    <m/>
    <m/>
    <m/>
    <m/>
    <m/>
    <m/>
    <m/>
    <m/>
    <n v="828902.69109999994"/>
    <n v="2506.8754999998491"/>
    <m/>
    <m/>
    <m/>
    <m/>
    <n v="-22352.617100000003"/>
    <n v="24859.5226"/>
    <n v="30"/>
    <n v="55532.910508784815"/>
    <n v="0"/>
    <n v="0"/>
    <n v="0"/>
    <n v="0"/>
    <n v="0"/>
    <n v="0"/>
    <n v="0"/>
    <n v="32116.044013737264"/>
    <n v="0"/>
    <n v="0"/>
    <n v="23524.311201855162"/>
    <n v="0"/>
    <n v="0"/>
    <n v="0"/>
    <n v="3686.4502252221027"/>
    <n v="0"/>
    <n v="-3237.138133006134"/>
    <m/>
    <n v="0"/>
    <n v="0"/>
    <n v="0"/>
    <n v="0"/>
    <n v="-413.72426592263491"/>
    <n v="-143.03253310096602"/>
    <n v="0"/>
    <n v="13096.374040098475"/>
    <m/>
    <m/>
    <m/>
    <n v="429313.39486382715"/>
    <n v="0"/>
    <n v="0"/>
    <n v="-22352.617100000032"/>
    <n v="24859.522599999997"/>
    <n v="0"/>
    <n v="0"/>
    <n v="-66121.74082400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0300000000000002"/>
    <n v="-0.90300000000000002"/>
    <n v="-0.90300000000000002"/>
    <n v="-0.90300000000000002"/>
    <m/>
    <n v="897.25"/>
    <n v="207.07"/>
    <m/>
    <n v="-997.20096000000001"/>
    <n v="-997.20096000000001"/>
    <n v="-1000.22601"/>
    <n v="0"/>
    <n v="-71.12050769751491"/>
    <n v="0"/>
    <n v="0"/>
    <n v="0"/>
    <n v="-180.19108976139842"/>
    <n v="-518.04684505770967"/>
    <n v="-186.98869811731888"/>
    <n v="0"/>
    <n v="0"/>
    <n v="0"/>
    <n v="0"/>
    <n v="0"/>
    <n v="-9.0380634656880012"/>
    <m/>
    <n v="-2.514810200557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302644501414186"/>
    <n v="0"/>
    <n v="0"/>
    <n v="0"/>
    <n v="0"/>
    <n v="0"/>
    <m/>
    <m/>
    <m/>
    <m/>
    <m/>
    <m/>
    <m/>
    <m/>
    <m/>
    <n v="-216.29134261873307"/>
    <m/>
    <m/>
    <m/>
    <m/>
    <m/>
    <m/>
    <m/>
    <m/>
    <m/>
    <m/>
    <m/>
    <m/>
    <n v="-996.90300000000002"/>
    <n v="0.26796000000001641"/>
    <m/>
    <m/>
    <m/>
    <m/>
    <n v="26.972610000000003"/>
    <n v="-29.99766"/>
    <n v="30"/>
    <n v="-67.010835045277645"/>
    <n v="0"/>
    <n v="0"/>
    <n v="0"/>
    <n v="0"/>
    <n v="0"/>
    <n v="0"/>
    <n v="0"/>
    <n v="-38.754009253143323"/>
    <n v="0"/>
    <n v="0"/>
    <n v="-28.38647791118251"/>
    <n v="0"/>
    <n v="0"/>
    <n v="0"/>
    <n v="-4.4483911554736011"/>
    <n v="0"/>
    <n v="3.9062121445144982"/>
    <m/>
    <n v="0"/>
    <n v="0"/>
    <n v="0"/>
    <n v="0"/>
    <n v="0.49923564754605465"/>
    <n v="0.17259548246117662"/>
    <n v="0"/>
    <n v="-15.803222853833098"/>
    <m/>
    <m/>
    <m/>
    <n v="-518.04684505770967"/>
    <n v="0"/>
    <n v="0"/>
    <n v="26.972610000000032"/>
    <n v="-29.997659999999996"/>
    <n v="0"/>
    <n v="0"/>
    <n v="79.7882377615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0919999999999996"/>
    <n v="5.0919999999999996"/>
    <n v="5.0919999999999996"/>
    <n v="5.0919999999999996"/>
    <m/>
    <n v="897.25"/>
    <n v="207.07"/>
    <m/>
    <n v="5623.1974399999999"/>
    <n v="5623.1974399999999"/>
    <n v="5640.2556399999994"/>
    <n v="0"/>
    <n v="401.04720398199993"/>
    <n v="0"/>
    <n v="0"/>
    <n v="0"/>
    <n v="1016.0941628627251"/>
    <n v="2921.2564064605285"/>
    <n v="1054.4257484090672"/>
    <n v="0"/>
    <n v="0"/>
    <n v="0"/>
    <n v="0"/>
    <n v="0"/>
    <n v="50.965469731210739"/>
    <m/>
    <n v="14.18096737678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23706068793024"/>
    <n v="0"/>
    <n v="3.67"/>
    <n v="17.11"/>
    <n v="0"/>
    <n v="49"/>
    <m/>
    <m/>
    <m/>
    <m/>
    <m/>
    <m/>
    <m/>
    <m/>
    <m/>
    <n v="1219.6628090969975"/>
    <m/>
    <m/>
    <m/>
    <m/>
    <m/>
    <m/>
    <m/>
    <m/>
    <m/>
    <m/>
    <m/>
    <m/>
    <n v="5638.0402999999997"/>
    <n v="14.812859999999091"/>
    <m/>
    <m/>
    <m/>
    <m/>
    <n v="-152.09804000000003"/>
    <n v="169.15623999999997"/>
    <n v="30"/>
    <n v="377.87283726528676"/>
    <n v="0"/>
    <n v="0"/>
    <n v="0"/>
    <n v="0"/>
    <n v="0"/>
    <n v="0"/>
    <n v="0"/>
    <n v="218.53312859026107"/>
    <n v="0"/>
    <n v="0"/>
    <n v="160.07081453348974"/>
    <n v="0"/>
    <n v="0"/>
    <n v="0"/>
    <n v="25.084393979702753"/>
    <n v="0"/>
    <n v="-22.027056744039726"/>
    <m/>
    <n v="0"/>
    <n v="0"/>
    <n v="0"/>
    <n v="0"/>
    <n v="-2.8151804178344548"/>
    <n v="-0.97326267629270369"/>
    <n v="0"/>
    <n v="89.114076159156298"/>
    <m/>
    <m/>
    <m/>
    <n v="2921.2564064605285"/>
    <n v="0"/>
    <n v="0"/>
    <n v="-152.09803999999986"/>
    <n v="169.15624000000003"/>
    <n v="0"/>
    <n v="0"/>
    <n v="-449.9243706330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64"/>
    <n v="2.64"/>
    <n v="2.64"/>
    <n v="2.64"/>
    <m/>
    <n v="808.48"/>
    <n v="207.07"/>
    <m/>
    <n v="2681.0520000000001"/>
    <n v="2681.0520000000001"/>
    <n v="2698.6608000000001"/>
    <n v="0"/>
    <n v="0"/>
    <n v="0"/>
    <n v="0"/>
    <n v="0"/>
    <n v="526.80451491704525"/>
    <n v="1514.5555603016098"/>
    <n v="546.67792140611505"/>
    <n v="0"/>
    <n v="0"/>
    <n v="0"/>
    <n v="0"/>
    <n v="0"/>
    <n v="0"/>
    <m/>
    <n v="7.352269024886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68861000812242"/>
    <n v="0"/>
    <n v="2.66"/>
    <n v="12.61"/>
    <n v="0"/>
    <n v="5"/>
    <m/>
    <m/>
    <m/>
    <m/>
    <m/>
    <m/>
    <m/>
    <n v="1754.1215999999999"/>
    <m/>
    <n v="632.34678240692733"/>
    <m/>
    <m/>
    <m/>
    <m/>
    <m/>
    <m/>
    <m/>
    <m/>
    <m/>
    <m/>
    <m/>
    <m/>
    <n v="944.53920000000005"/>
    <n v="6.1211999999999307"/>
    <m/>
    <m/>
    <m/>
    <m/>
    <n v="-70.092000000000183"/>
    <n v="87.700800000000001"/>
    <n v="30"/>
    <n v="208.79179035500852"/>
    <n v="0"/>
    <n v="0"/>
    <n v="0"/>
    <n v="0"/>
    <n v="0"/>
    <n v="0"/>
    <n v="0"/>
    <n v="113.30075794938909"/>
    <n v="0"/>
    <n v="0"/>
    <n v="82.990367315085109"/>
    <n v="0"/>
    <n v="0"/>
    <n v="0"/>
    <n v="13.005263178793243"/>
    <n v="0"/>
    <n v="0"/>
    <m/>
    <n v="0"/>
    <n v="0"/>
    <n v="0"/>
    <n v="0"/>
    <n v="0"/>
    <n v="-0.50459808825859032"/>
    <n v="0"/>
    <n v="42.096396400534395"/>
    <m/>
    <m/>
    <m/>
    <n v="1514.5555603016098"/>
    <n v="0"/>
    <n v="0"/>
    <n v="-70.092000000000098"/>
    <n v="87.700799999999958"/>
    <n v="0"/>
    <n v="0"/>
    <n v="-233.2679376416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.03"/>
    <n v="5.03"/>
    <n v="5.03"/>
    <n v="5.03"/>
    <m/>
    <n v="808.48"/>
    <n v="207.07"/>
    <m/>
    <n v="5108.2165000000005"/>
    <n v="5108.2165000000005"/>
    <n v="5141.7665999999999"/>
    <n v="0"/>
    <n v="0"/>
    <n v="0"/>
    <n v="0"/>
    <n v="0"/>
    <n v="1003.7222386487642"/>
    <n v="2885.6872986049611"/>
    <n v="1041.5871002548329"/>
    <n v="0"/>
    <n v="0"/>
    <n v="0"/>
    <n v="0"/>
    <n v="0"/>
    <n v="0"/>
    <m/>
    <n v="14.008300452719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22514046745664"/>
    <n v="0"/>
    <n v="8.08"/>
    <n v="37.43"/>
    <n v="0"/>
    <n v="28"/>
    <m/>
    <m/>
    <m/>
    <m/>
    <m/>
    <m/>
    <m/>
    <n v="2056.6663999999996"/>
    <m/>
    <n v="1204.8122407222895"/>
    <m/>
    <m/>
    <m/>
    <m/>
    <m/>
    <m/>
    <m/>
    <m/>
    <m/>
    <m/>
    <m/>
    <m/>
    <n v="3085.1001999999999"/>
    <n v="20.140299999999115"/>
    <m/>
    <m/>
    <m/>
    <m/>
    <n v="-133.54650000000035"/>
    <n v="167.0966"/>
    <n v="30"/>
    <n v="397.81163086579363"/>
    <n v="0"/>
    <n v="0"/>
    <n v="0"/>
    <n v="0"/>
    <n v="0"/>
    <n v="0"/>
    <n v="0"/>
    <n v="215.8722774566013"/>
    <n v="0"/>
    <n v="0"/>
    <n v="158.12179833139317"/>
    <n v="0"/>
    <n v="0"/>
    <n v="0"/>
    <n v="24.778967344443231"/>
    <n v="0"/>
    <n v="0"/>
    <m/>
    <n v="0"/>
    <n v="0"/>
    <n v="0"/>
    <n v="0"/>
    <n v="0"/>
    <n v="-0.9614122666442082"/>
    <n v="0"/>
    <n v="80.206391626775769"/>
    <m/>
    <m/>
    <m/>
    <n v="2885.6872986049611"/>
    <n v="0"/>
    <n v="0"/>
    <n v="-133.54650000000038"/>
    <n v="167.09659999999985"/>
    <n v="0"/>
    <n v="0"/>
    <n v="-444.446108461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.488"/>
    <n v="2.488"/>
    <n v="2.488"/>
    <n v="2.488"/>
    <m/>
    <n v="808.48"/>
    <n v="207.07"/>
    <m/>
    <n v="2526.6884"/>
    <n v="2526.6884"/>
    <n v="2543.2833599999999"/>
    <n v="0"/>
    <n v="0"/>
    <n v="0"/>
    <n v="0"/>
    <n v="0"/>
    <n v="496.47334587636686"/>
    <n v="1427.3538765266685"/>
    <n v="515.20252593121745"/>
    <n v="0"/>
    <n v="0"/>
    <n v="0"/>
    <n v="0"/>
    <n v="0"/>
    <n v="0"/>
    <m/>
    <n v="6.9289565658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6411428038195"/>
    <n v="0"/>
    <n v="5.97"/>
    <n v="27.69"/>
    <n v="0"/>
    <n v="51"/>
    <m/>
    <m/>
    <m/>
    <m/>
    <m/>
    <m/>
    <m/>
    <n v="254.32335999999987"/>
    <m/>
    <n v="595.93893735925565"/>
    <m/>
    <m/>
    <m/>
    <m/>
    <m/>
    <m/>
    <m/>
    <m/>
    <m/>
    <m/>
    <m/>
    <m/>
    <n v="2290.8000000000002"/>
    <n v="16.738000000000284"/>
    <m/>
    <m/>
    <m/>
    <m/>
    <n v="-66.056400000000167"/>
    <n v="82.651359999999997"/>
    <n v="30"/>
    <n v="196.77044484972066"/>
    <n v="0"/>
    <n v="0"/>
    <n v="0"/>
    <n v="0"/>
    <n v="0"/>
    <n v="0"/>
    <n v="0"/>
    <n v="106.77738097654554"/>
    <n v="0"/>
    <n v="0"/>
    <n v="78.212134045428684"/>
    <n v="0"/>
    <n v="0"/>
    <n v="0"/>
    <n v="12.25647529880213"/>
    <n v="0"/>
    <n v="0"/>
    <m/>
    <n v="0"/>
    <n v="0"/>
    <n v="0"/>
    <n v="0"/>
    <n v="0"/>
    <n v="-0.47554547105582312"/>
    <n v="0"/>
    <n v="39.67266448656423"/>
    <m/>
    <m/>
    <m/>
    <n v="1427.3538765266685"/>
    <n v="0"/>
    <n v="0"/>
    <n v="-66.056400000000167"/>
    <n v="82.651359999999954"/>
    <n v="0"/>
    <n v="0"/>
    <n v="-219.8373594137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222"/>
    <n v="0.222"/>
    <n v="0.222"/>
    <n v="0.222"/>
    <m/>
    <n v="808.48"/>
    <n v="207.07"/>
    <m/>
    <n v="225.4521"/>
    <n v="225.4521"/>
    <n v="226.93284"/>
    <n v="0"/>
    <n v="0"/>
    <n v="0"/>
    <n v="0"/>
    <n v="0"/>
    <n v="44.29947057256971"/>
    <n v="127.36035393445354"/>
    <n v="45.97064339096876"/>
    <n v="0"/>
    <n v="0"/>
    <n v="0"/>
    <n v="0"/>
    <n v="0"/>
    <n v="0"/>
    <m/>
    <n v="0.618258986183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39724023410292"/>
    <n v="0"/>
    <n v="1.42"/>
    <n v="6.53"/>
    <n v="0"/>
    <n v="4"/>
    <m/>
    <m/>
    <m/>
    <m/>
    <m/>
    <m/>
    <m/>
    <m/>
    <m/>
    <n v="53.17461579330979"/>
    <m/>
    <m/>
    <m/>
    <m/>
    <m/>
    <m/>
    <m/>
    <m/>
    <m/>
    <m/>
    <m/>
    <m/>
    <n v="224.88839999999999"/>
    <n v="-0.59369999999998413"/>
    <m/>
    <m/>
    <m/>
    <m/>
    <n v="-5.894100000000015"/>
    <n v="7.3748399999999998"/>
    <n v="30"/>
    <n v="17.557491461671205"/>
    <n v="0"/>
    <n v="0"/>
    <n v="0"/>
    <n v="0"/>
    <n v="0"/>
    <n v="0"/>
    <n v="0"/>
    <n v="9.5275637366531782"/>
    <n v="0"/>
    <n v="0"/>
    <n v="6.9787354333139717"/>
    <n v="0"/>
    <n v="0"/>
    <n v="0"/>
    <n v="1.0936244036712504"/>
    <n v="0"/>
    <n v="0"/>
    <m/>
    <n v="0"/>
    <n v="0"/>
    <n v="0"/>
    <n v="0"/>
    <n v="0"/>
    <n v="-4.2432111967199648E-2"/>
    <n v="0"/>
    <n v="3.5399242427722104"/>
    <m/>
    <m/>
    <m/>
    <n v="127.36035393445354"/>
    <n v="0"/>
    <n v="0"/>
    <n v="-5.8941000000000088"/>
    <n v="7.374839999999999"/>
    <n v="0"/>
    <n v="0"/>
    <n v="-19.61571293804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Fora ponta"/>
    <s v="CATIVO"/>
    <x v="7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7"/>
    <n v="0"/>
    <n v="0"/>
    <n v="5.8319999999999999"/>
    <n v="5.8319999999999999"/>
    <n v="5.8319999999999999"/>
    <n v="5.8319999999999999"/>
    <m/>
    <n v="897.25"/>
    <n v="207.07"/>
    <m/>
    <n v="6440.3942399999996"/>
    <n v="6440.3942399999996"/>
    <n v="6459.9314400000003"/>
    <n v="0"/>
    <n v="459.32979057797007"/>
    <n v="0"/>
    <n v="0"/>
    <n v="0"/>
    <n v="1163.7590647712907"/>
    <n v="3345.7909195753741"/>
    <n v="1207.6612263789632"/>
    <n v="0"/>
    <n v="0"/>
    <n v="0"/>
    <n v="0"/>
    <n v="0"/>
    <n v="58.372077665440116"/>
    <m/>
    <n v="16.24183066406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25030202906703"/>
    <n v="0"/>
    <n v="0"/>
    <n v="0"/>
    <n v="0"/>
    <n v="9"/>
    <m/>
    <m/>
    <m/>
    <m/>
    <m/>
    <m/>
    <m/>
    <m/>
    <m/>
    <n v="1396.9115284080303"/>
    <m/>
    <m/>
    <m/>
    <m/>
    <m/>
    <m/>
    <m/>
    <m/>
    <m/>
    <m/>
    <m/>
    <m/>
    <n v="6457.7160999999996"/>
    <n v="17.29185999999936"/>
    <m/>
    <m/>
    <m/>
    <m/>
    <n v="-174.20184000000003"/>
    <n v="193.73903999999999"/>
    <n v="30"/>
    <n v="432.78758580737531"/>
    <n v="0"/>
    <n v="0"/>
    <n v="0"/>
    <n v="0"/>
    <n v="0"/>
    <n v="0"/>
    <n v="0"/>
    <n v="250.29167437910519"/>
    <n v="0"/>
    <n v="0"/>
    <n v="183.33326597786959"/>
    <n v="0"/>
    <n v="0"/>
    <n v="0"/>
    <n v="28.729808658606913"/>
    <n v="0"/>
    <n v="-25.228160827030536"/>
    <m/>
    <n v="0"/>
    <n v="0"/>
    <n v="0"/>
    <n v="0"/>
    <n v="-3.2242993316595729"/>
    <n v="-1.1147030495167023"/>
    <n v="0"/>
    <n v="102.06466853106825"/>
    <m/>
    <m/>
    <m/>
    <n v="3345.7909195753741"/>
    <n v="0"/>
    <n v="0"/>
    <n v="-174.20183999999972"/>
    <n v="193.73903999999993"/>
    <n v="0"/>
    <n v="0"/>
    <n v="-515.3100804265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54100000000000004"/>
    <n v="0.54100000000000004"/>
    <n v="0.54100000000000004"/>
    <n v="0.54100000000000004"/>
    <m/>
    <n v="897.25"/>
    <n v="207.07"/>
    <m/>
    <n v="597.43712000000005"/>
    <n v="597.43712000000005"/>
    <n v="599.24946999999997"/>
    <n v="0"/>
    <n v="42.609296416783579"/>
    <n v="0"/>
    <n v="0"/>
    <n v="0"/>
    <n v="107.95501612504601"/>
    <n v="310.36915080423137"/>
    <n v="112.02755889420766"/>
    <n v="0"/>
    <n v="0"/>
    <n v="0"/>
    <n v="0"/>
    <n v="0"/>
    <n v="5.4148309357001212"/>
    <m/>
    <n v="1.5066581600240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55626439939175"/>
    <n v="0"/>
    <n v="0"/>
    <n v="0"/>
    <n v="0"/>
    <n v="1"/>
    <m/>
    <m/>
    <m/>
    <m/>
    <m/>
    <m/>
    <m/>
    <m/>
    <m/>
    <n v="129.58318533414683"/>
    <m/>
    <m/>
    <m/>
    <m/>
    <m/>
    <m/>
    <m/>
    <m/>
    <m/>
    <m/>
    <m/>
    <m/>
    <n v="598.1418000000001"/>
    <n v="0.67468000000008033"/>
    <m/>
    <m/>
    <m/>
    <m/>
    <n v="-16.159670000000002"/>
    <n v="17.972020000000001"/>
    <n v="30"/>
    <n v="40.147133731445479"/>
    <n v="0"/>
    <n v="0"/>
    <n v="0"/>
    <n v="0"/>
    <n v="0"/>
    <n v="0"/>
    <n v="0"/>
    <n v="23.218071988871046"/>
    <n v="0"/>
    <n v="0"/>
    <n v="17.006738150553417"/>
    <n v="0"/>
    <n v="0"/>
    <n v="0"/>
    <n v="2.6650937044421035"/>
    <n v="0"/>
    <n v="-2.3402666336460101"/>
    <m/>
    <n v="0"/>
    <n v="0"/>
    <n v="0"/>
    <n v="0"/>
    <n v="-0.299099097809985"/>
    <n v="-0.1034043809651124"/>
    <n v="0"/>
    <n v="9.467933071897793"/>
    <m/>
    <m/>
    <m/>
    <n v="310.36915080423137"/>
    <n v="0"/>
    <n v="0"/>
    <n v="-16.159670000000006"/>
    <n v="17.972020000000001"/>
    <n v="0"/>
    <n v="0"/>
    <n v="-47.80225540307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7"/>
    <n v="0"/>
    <n v="0"/>
    <n v="1.024"/>
    <n v="1.024"/>
    <n v="1.024"/>
    <n v="1.024"/>
    <m/>
    <n v="4750.8599999999997"/>
    <n v="207.07"/>
    <m/>
    <n v="5076.9203199999993"/>
    <n v="5076.9203199999993"/>
    <n v="4945.8892800000003"/>
    <n v="0"/>
    <n v="70.165933441375444"/>
    <n v="0"/>
    <n v="0"/>
    <n v="0"/>
    <n v="1318.2336101670401"/>
    <n v="3450.2182693353061"/>
    <n v="212.04476951509915"/>
    <n v="0"/>
    <n v="0"/>
    <n v="0"/>
    <n v="0"/>
    <n v="0"/>
    <n v="10.249143952230913"/>
    <m/>
    <n v="1.852763293768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60291873117595"/>
    <n v="0"/>
    <n v="0"/>
    <n v="0"/>
    <n v="0"/>
    <n v="0"/>
    <m/>
    <m/>
    <m/>
    <m/>
    <m/>
    <m/>
    <m/>
    <m/>
    <m/>
    <n v="226.20506138821673"/>
    <m/>
    <m/>
    <m/>
    <m/>
    <m/>
    <m/>
    <m/>
    <m/>
    <m/>
    <m/>
    <m/>
    <m/>
    <n v="4926.5694000000003"/>
    <n v="-150.38091999999961"/>
    <m/>
    <m/>
    <m/>
    <m/>
    <n v="-165.04831999999936"/>
    <n v="34.01728"/>
    <n v="30"/>
    <n v="313.30756452522178"/>
    <n v="0"/>
    <n v="0"/>
    <n v="0"/>
    <n v="0"/>
    <n v="0"/>
    <n v="0"/>
    <n v="0"/>
    <n v="283.5147819676672"/>
    <n v="0"/>
    <n v="0"/>
    <n v="32.190203079790592"/>
    <n v="0"/>
    <n v="0"/>
    <n v="0"/>
    <n v="2.1496529818073089"/>
    <n v="0"/>
    <n v="-3.8537832506146827"/>
    <m/>
    <n v="0"/>
    <n v="0"/>
    <n v="0"/>
    <n v="0"/>
    <n v="-0.56613211859043311"/>
    <n v="-0.12715813483795468"/>
    <n v="0"/>
    <n v="87.054687580097763"/>
    <m/>
    <m/>
    <m/>
    <n v="3450.2182693353061"/>
    <n v="0"/>
    <n v="0"/>
    <n v="-165.04831999999897"/>
    <n v="34.01728"/>
    <n v="0"/>
    <n v="0"/>
    <n v="-531.393711262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Fora ponta"/>
    <s v="CATIVO"/>
    <x v="7"/>
    <n v="0"/>
    <n v="0"/>
    <n v="119.455"/>
    <n v="119.455"/>
    <n v="119.455"/>
    <n v="119.455"/>
    <m/>
    <n v="94.17"/>
    <n v="207.07"/>
    <m/>
    <n v="35984.624199999998"/>
    <n v="35984.624199999998"/>
    <n v="39870.495349999997"/>
    <n v="0"/>
    <n v="8185.2261516010776"/>
    <n v="0"/>
    <n v="0"/>
    <n v="0"/>
    <n v="0"/>
    <n v="0"/>
    <n v="24736.140568775554"/>
    <n v="0"/>
    <n v="0"/>
    <n v="0"/>
    <n v="0"/>
    <n v="0"/>
    <n v="1195.6166902477964"/>
    <m/>
    <n v="216.13460864957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1.872720413342"/>
    <n v="0"/>
    <n v="0"/>
    <n v="0"/>
    <n v="0"/>
    <n v="0"/>
    <m/>
    <m/>
    <m/>
    <m/>
    <m/>
    <m/>
    <m/>
    <m/>
    <m/>
    <n v="26388.013289188897"/>
    <m/>
    <m/>
    <m/>
    <m/>
    <m/>
    <m/>
    <m/>
    <m/>
    <m/>
    <m/>
    <m/>
    <m/>
    <n v="39872.164199999999"/>
    <n v="3887.510000000002"/>
    <m/>
    <m/>
    <m/>
    <m/>
    <n v="-82.423949999999721"/>
    <n v="3968.2950999999998"/>
    <n v="30"/>
    <n v="3475.4851957155479"/>
    <n v="0"/>
    <n v="0"/>
    <n v="0"/>
    <n v="0"/>
    <n v="0"/>
    <n v="0"/>
    <n v="0"/>
    <n v="0"/>
    <n v="0"/>
    <n v="0"/>
    <n v="3755.1569422816247"/>
    <n v="0"/>
    <n v="0"/>
    <n v="0"/>
    <n v="250.76835638846887"/>
    <n v="0"/>
    <n v="-449.56413886931387"/>
    <m/>
    <n v="0"/>
    <n v="0"/>
    <n v="0"/>
    <n v="0"/>
    <n v="-66.042297095918002"/>
    <n v="-14.833666989324087"/>
    <n v="0"/>
    <n v="409.87685378063054"/>
    <m/>
    <m/>
    <m/>
    <n v="0"/>
    <n v="0"/>
    <n v="0"/>
    <n v="-82.423949999998513"/>
    <n v="3968.295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Não se aplica"/>
    <s v="CATIVO"/>
    <x v="7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28"/>
    <s v="Regular"/>
    <s v="Convencional"/>
    <s v="B3"/>
    <s v="Comercial"/>
    <s v="Não se aplica"/>
    <s v="Não se aplica"/>
    <s v="Não se aplica"/>
    <s v="Não se aplica"/>
    <s v="CATIVO"/>
    <x v="7"/>
    <n v="0"/>
    <n v="0"/>
    <n v="98.225999999999999"/>
    <n v="98.225999999999999"/>
    <n v="98.225999999999999"/>
    <n v="98.225999999999999"/>
    <m/>
    <n v="897.25"/>
    <n v="207.07"/>
    <m/>
    <n v="108472.93632000001"/>
    <n v="108472.93632000001"/>
    <n v="108801.99342"/>
    <n v="0"/>
    <n v="7736.3045283456258"/>
    <n v="0"/>
    <n v="0"/>
    <n v="0"/>
    <n v="19600.719803879427"/>
    <n v="56351.793358403753"/>
    <n v="20340.14602577161"/>
    <n v="0"/>
    <n v="0"/>
    <n v="0"/>
    <n v="0"/>
    <n v="0"/>
    <n v="983.1371229021812"/>
    <m/>
    <n v="273.5545368327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.4657351006749"/>
    <n v="0"/>
    <n v="190.16"/>
    <n v="878.95"/>
    <n v="0"/>
    <n v="238"/>
    <m/>
    <m/>
    <m/>
    <m/>
    <m/>
    <m/>
    <m/>
    <m/>
    <m/>
    <n v="23527.611760872285"/>
    <m/>
    <m/>
    <m/>
    <m/>
    <m/>
    <m/>
    <m/>
    <m/>
    <m/>
    <m/>
    <m/>
    <m/>
    <n v="108806.4241"/>
    <n v="333.45778000001155"/>
    <m/>
    <m/>
    <m/>
    <m/>
    <n v="-2934.0106200000005"/>
    <n v="3263.06772"/>
    <n v="30"/>
    <n v="7289.2649868853186"/>
    <n v="0"/>
    <n v="0"/>
    <n v="0"/>
    <n v="0"/>
    <n v="0"/>
    <n v="0"/>
    <n v="0"/>
    <n v="4215.5607008851111"/>
    <n v="0"/>
    <n v="0"/>
    <n v="3087.8075075346787"/>
    <n v="0"/>
    <n v="0"/>
    <n v="0"/>
    <n v="483.88446250005563"/>
    <n v="0"/>
    <n v="-424.90763467007946"/>
    <m/>
    <n v="0"/>
    <n v="0"/>
    <n v="0"/>
    <n v="0"/>
    <n v="-54.305560039710826"/>
    <n v="-18.774489324730382"/>
    <n v="0"/>
    <n v="1719.0336301667885"/>
    <m/>
    <m/>
    <m/>
    <n v="56351.793358403753"/>
    <n v="0"/>
    <n v="0"/>
    <n v="-2934.0106200000009"/>
    <n v="3263.0677199999991"/>
    <n v="0"/>
    <n v="0"/>
    <n v="-8679.15774348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94199999999999995"/>
    <n v="0.94199999999999995"/>
    <n v="0.94199999999999995"/>
    <n v="0.94199999999999995"/>
    <m/>
    <n v="897.25"/>
    <n v="207.07"/>
    <m/>
    <n v="1040.26944"/>
    <n v="1040.26944"/>
    <n v="1043.4251400000001"/>
    <n v="0"/>
    <n v="74.192157531626847"/>
    <n v="0"/>
    <n v="0"/>
    <n v="0"/>
    <n v="187.97342918630932"/>
    <n v="540.42096128943797"/>
    <n v="195.06462195627284"/>
    <n v="0"/>
    <n v="0"/>
    <n v="0"/>
    <n v="0"/>
    <n v="0"/>
    <n v="9.4284117216811705"/>
    <m/>
    <n v="2.623423265698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68207220744362"/>
    <n v="0"/>
    <n v="4.53"/>
    <n v="20.92"/>
    <n v="0"/>
    <n v="7"/>
    <m/>
    <m/>
    <m/>
    <m/>
    <m/>
    <m/>
    <m/>
    <m/>
    <m/>
    <n v="225.63282917701721"/>
    <m/>
    <m/>
    <m/>
    <m/>
    <m/>
    <m/>
    <m/>
    <m/>
    <m/>
    <m/>
    <m/>
    <m/>
    <n v="1041.2097999999999"/>
    <n v="0.91035999999985506"/>
    <m/>
    <m/>
    <m/>
    <m/>
    <n v="-28.137540000000001"/>
    <n v="31.293239999999997"/>
    <n v="30"/>
    <n v="69.904990711685059"/>
    <n v="0"/>
    <n v="0"/>
    <n v="0"/>
    <n v="0"/>
    <n v="0"/>
    <n v="0"/>
    <n v="0"/>
    <n v="40.427770450122921"/>
    <n v="0"/>
    <n v="0"/>
    <n v="29.612471973791713"/>
    <n v="0"/>
    <n v="0"/>
    <n v="0"/>
    <n v="4.6405143615239552"/>
    <n v="0"/>
    <n v="-4.0749189813207778"/>
    <m/>
    <n v="0"/>
    <n v="0"/>
    <n v="0"/>
    <n v="0"/>
    <n v="-0.52079732003143242"/>
    <n v="-0.18004977240136055"/>
    <n v="0"/>
    <n v="16.485754073433863"/>
    <m/>
    <m/>
    <m/>
    <n v="540.42096128943797"/>
    <n v="0"/>
    <n v="0"/>
    <n v="-28.137539999999944"/>
    <n v="31.293239999999997"/>
    <n v="0"/>
    <n v="0"/>
    <n v="-83.2342413857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0"/>
    <s v="Regular"/>
    <s v="Azul"/>
    <s v="A4"/>
    <s v="Comercial"/>
    <s v="Não se aplica"/>
    <s v="Não se aplica"/>
    <s v="Não se aplica"/>
    <s v="Ponta"/>
    <s v="CATIVO"/>
    <x v="7"/>
    <n v="100"/>
    <n v="100"/>
    <n v="3.3519999999999999"/>
    <n v="3.3519999999999999"/>
    <n v="3.3519999999999999"/>
    <n v="3.3519999999999999"/>
    <n v="193.63"/>
    <n v="94.17"/>
    <n v="207.07"/>
    <n v="19363"/>
    <n v="1009.75648"/>
    <n v="20372.75648"/>
    <n v="19813.797039999998"/>
    <n v="0"/>
    <n v="229.68379774950242"/>
    <n v="0"/>
    <n v="0"/>
    <n v="0"/>
    <n v="5352.7545792855199"/>
    <n v="14009.762805225198"/>
    <n v="694.1153002095823"/>
    <n v="0"/>
    <n v="0"/>
    <n v="0"/>
    <n v="0"/>
    <n v="0"/>
    <n v="33.549932156130872"/>
    <m/>
    <n v="6.064904844446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352830428408375"/>
    <n v="0"/>
    <n v="0"/>
    <n v="0"/>
    <n v="0"/>
    <n v="0"/>
    <m/>
    <m/>
    <m/>
    <m/>
    <m/>
    <m/>
    <m/>
    <m/>
    <m/>
    <n v="740.46813063799073"/>
    <m/>
    <m/>
    <m/>
    <m/>
    <m/>
    <m/>
    <m/>
    <m/>
    <m/>
    <m/>
    <m/>
    <m/>
    <n v="19813.129499999999"/>
    <n v="-559.65697999999611"/>
    <m/>
    <m/>
    <m/>
    <m/>
    <n v="-670.31288000000063"/>
    <n v="111.35343999999999"/>
    <n v="30"/>
    <n v="1248.7509947576464"/>
    <n v="0"/>
    <n v="0"/>
    <n v="0"/>
    <n v="0"/>
    <n v="0"/>
    <n v="0"/>
    <n v="0"/>
    <n v="1151.2261831043998"/>
    <n v="0"/>
    <n v="0"/>
    <n v="105.37261789400202"/>
    <n v="0"/>
    <n v="0"/>
    <n v="0"/>
    <n v="7.0367546826348573"/>
    <n v="0"/>
    <n v="-12.615118609434006"/>
    <m/>
    <n v="0"/>
    <n v="0"/>
    <n v="0"/>
    <n v="0"/>
    <n v="-1.8531981069483656"/>
    <n v="-0.4162442070086172"/>
    <n v="0"/>
    <n v="350.72398564319718"/>
    <m/>
    <m/>
    <n v="14009.762805225198"/>
    <n v="0"/>
    <n v="0"/>
    <n v="0"/>
    <n v="-670.31288000000131"/>
    <n v="111.3534399999999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1"/>
    <s v="Regular"/>
    <s v="Azul"/>
    <s v="A4"/>
    <s v="Comercial"/>
    <s v="Não se aplica"/>
    <s v="Não se aplica"/>
    <s v="Não se aplica"/>
    <s v="Fora ponta"/>
    <s v="CATIVO"/>
    <x v="7"/>
    <n v="100"/>
    <n v="100"/>
    <n v="31.263000000000002"/>
    <n v="31.263000000000002"/>
    <n v="31.263000000000002"/>
    <n v="31.263000000000002"/>
    <n v="73.75"/>
    <n v="94.17"/>
    <n v="207.07"/>
    <n v="7375"/>
    <n v="9417.6661200000017"/>
    <n v="16792.666120000002"/>
    <n v="17875.651510000003"/>
    <n v="0"/>
    <n v="2142.1851339626178"/>
    <n v="0"/>
    <n v="0"/>
    <n v="0"/>
    <n v="2905.8255513392301"/>
    <n v="4469.1623472813199"/>
    <n v="6473.7847942876415"/>
    <n v="0"/>
    <n v="0"/>
    <n v="0"/>
    <n v="0"/>
    <n v="0"/>
    <n v="312.90916736190917"/>
    <m/>
    <n v="56.56536997372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31758284108923"/>
    <n v="0"/>
    <n v="0"/>
    <n v="0"/>
    <n v="0"/>
    <n v="0"/>
    <m/>
    <m/>
    <m/>
    <m/>
    <m/>
    <m/>
    <m/>
    <m/>
    <m/>
    <n v="6906.102377128731"/>
    <m/>
    <m/>
    <m/>
    <m/>
    <m/>
    <m/>
    <m/>
    <m/>
    <m/>
    <m/>
    <m/>
    <m/>
    <n v="17874.6502"/>
    <n v="1081.9540799999995"/>
    <m/>
    <m/>
    <m/>
    <m/>
    <n v="44.428529999999725"/>
    <n v="1038.5568599999999"/>
    <n v="30"/>
    <n v="1534.5427238927787"/>
    <n v="0"/>
    <n v="0"/>
    <n v="0"/>
    <n v="0"/>
    <n v="0"/>
    <n v="0"/>
    <n v="0"/>
    <n v="624.9609259466497"/>
    <n v="0"/>
    <n v="0"/>
    <n v="982.77570203466075"/>
    <n v="0"/>
    <n v="0"/>
    <n v="0"/>
    <n v="65.629493330314347"/>
    <n v="0"/>
    <n v="-117.65705641012391"/>
    <m/>
    <n v="0"/>
    <n v="0"/>
    <n v="0"/>
    <n v="0"/>
    <n v="-17.284168382317034"/>
    <n v="-3.8821726264052501"/>
    <n v="0"/>
    <n v="236.47679670949958"/>
    <m/>
    <m/>
    <n v="4469.1623472813199"/>
    <n v="0"/>
    <n v="0"/>
    <n v="0"/>
    <n v="44.428530000001047"/>
    <n v="1038.5568599999997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2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7.42"/>
    <n v="1326.5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7"/>
    <n v="0"/>
    <n v="0"/>
    <n v="0.434"/>
    <n v="0.434"/>
    <n v="0.434"/>
    <n v="0.434"/>
    <m/>
    <n v="4750.8599999999997"/>
    <n v="207.07"/>
    <m/>
    <n v="2151.7416199999998"/>
    <n v="2151.7416199999998"/>
    <n v="2096.2069800000004"/>
    <n v="0"/>
    <n v="29.738296009332949"/>
    <n v="0"/>
    <n v="0"/>
    <n v="0"/>
    <n v="558.70447930907756"/>
    <n v="1462.2995399331278"/>
    <n v="89.870537079641636"/>
    <n v="0"/>
    <n v="0"/>
    <n v="0"/>
    <n v="0"/>
    <n v="0"/>
    <n v="4.3438754641291171"/>
    <m/>
    <n v="0.7852531928668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01529954036168"/>
    <n v="0"/>
    <n v="0"/>
    <n v="0"/>
    <n v="0"/>
    <n v="0"/>
    <m/>
    <m/>
    <m/>
    <m/>
    <m/>
    <m/>
    <m/>
    <m/>
    <m/>
    <n v="95.872067033677808"/>
    <m/>
    <m/>
    <m/>
    <m/>
    <m/>
    <m/>
    <m/>
    <m/>
    <m/>
    <m/>
    <m/>
    <m/>
    <n v="2076.8870999999999"/>
    <n v="-74.884520000000521"/>
    <m/>
    <m/>
    <m/>
    <m/>
    <n v="-69.952119999999738"/>
    <n v="14.417479999999999"/>
    <n v="30"/>
    <n v="132.78855762104126"/>
    <n v="0"/>
    <n v="0"/>
    <n v="0"/>
    <n v="0"/>
    <n v="0"/>
    <n v="0"/>
    <n v="0"/>
    <n v="120.16153845114013"/>
    <n v="0"/>
    <n v="0"/>
    <n v="13.643113414676861"/>
    <n v="0"/>
    <n v="0"/>
    <n v="0"/>
    <n v="0.91108339268005079"/>
    <n v="0"/>
    <n v="-1.6333417292644228"/>
    <m/>
    <n v="0"/>
    <n v="0"/>
    <n v="0"/>
    <n v="0"/>
    <n v="-0.23994271432446101"/>
    <n v="-5.3893193866867417E-2"/>
    <n v="0"/>
    <n v="36.896225009533623"/>
    <m/>
    <m/>
    <m/>
    <n v="1462.2995399331278"/>
    <n v="0"/>
    <n v="0"/>
    <n v="-69.952119999999695"/>
    <n v="14.417479999999998"/>
    <n v="0"/>
    <n v="0"/>
    <n v="-225.219600281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Fora ponta"/>
    <s v="CATIVO"/>
    <x v="7"/>
    <n v="0"/>
    <n v="0"/>
    <n v="86.302000000000007"/>
    <n v="86.302000000000007"/>
    <n v="86.302000000000007"/>
    <n v="86.302000000000007"/>
    <m/>
    <n v="94.17"/>
    <n v="207.07"/>
    <m/>
    <n v="25997.61448"/>
    <n v="25997.61448"/>
    <n v="28805.018540000001"/>
    <n v="0"/>
    <n v="5913.5355350171712"/>
    <n v="0"/>
    <n v="0"/>
    <n v="0"/>
    <n v="0"/>
    <n v="0"/>
    <n v="17870.984080753991"/>
    <n v="0"/>
    <n v="0"/>
    <n v="0"/>
    <n v="0"/>
    <n v="0"/>
    <n v="863.79064586467996"/>
    <m/>
    <n v="156.1495876746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3.4194426111276"/>
    <n v="0"/>
    <n v="0"/>
    <n v="0"/>
    <n v="0"/>
    <n v="0"/>
    <m/>
    <m/>
    <m/>
    <m/>
    <m/>
    <m/>
    <m/>
    <m/>
    <m/>
    <n v="19064.403523365119"/>
    <m/>
    <m/>
    <m/>
    <m/>
    <m/>
    <m/>
    <m/>
    <m/>
    <m/>
    <m/>
    <m/>
    <m/>
    <n v="28804.350999999999"/>
    <n v="2806.7065199999997"/>
    <m/>
    <m/>
    <m/>
    <m/>
    <n v="-59.54837999999981"/>
    <n v="2866.95244"/>
    <n v="30"/>
    <n v="2510.9147659004848"/>
    <n v="0"/>
    <n v="0"/>
    <n v="0"/>
    <n v="0"/>
    <n v="0"/>
    <n v="0"/>
    <n v="0"/>
    <n v="0"/>
    <n v="0"/>
    <n v="0"/>
    <n v="2712.9676818282096"/>
    <n v="0"/>
    <n v="0"/>
    <n v="0"/>
    <n v="181.17124183196711"/>
    <n v="0"/>
    <n v="-324.79414267045649"/>
    <m/>
    <n v="0"/>
    <n v="0"/>
    <n v="0"/>
    <n v="0"/>
    <n v="-47.713216893155845"/>
    <n v="-10.716798196079253"/>
    <n v="0"/>
    <n v="296.12148704512981"/>
    <m/>
    <m/>
    <m/>
    <n v="0"/>
    <n v="0"/>
    <n v="0"/>
    <n v="-59.548380000000179"/>
    <n v="2866.9524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Não se aplica"/>
    <s v="CATIVO"/>
    <x v="7"/>
    <n v="296"/>
    <n v="296"/>
    <n v="0"/>
    <n v="0"/>
    <n v="0"/>
    <n v="0"/>
    <n v="73.75"/>
    <m/>
    <m/>
    <n v="21830"/>
    <m/>
    <n v="21830"/>
    <n v="22025.360000000001"/>
    <n v="0"/>
    <n v="0"/>
    <n v="0"/>
    <n v="0"/>
    <n v="0"/>
    <n v="8601.2436319641201"/>
    <n v="13228.720547952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025.360000000001"/>
    <n v="195.33000000000538"/>
    <m/>
    <m/>
    <m/>
    <m/>
    <n v="195.35999999999899"/>
    <n v="0"/>
    <n v="30"/>
    <n v="1849.8843408020839"/>
    <n v="0"/>
    <n v="0"/>
    <n v="0"/>
    <n v="0"/>
    <m/>
    <m/>
    <m/>
    <n v="1849.8843408020839"/>
    <n v="0"/>
    <n v="0"/>
    <m/>
    <m/>
    <n v="0"/>
    <n v="0"/>
    <n v="0"/>
    <n v="0"/>
    <n v="0"/>
    <m/>
    <n v="0"/>
    <n v="0"/>
    <m/>
    <n v="0"/>
    <n v="0"/>
    <n v="0"/>
    <n v="0"/>
    <n v="382.4510718406151"/>
    <m/>
    <m/>
    <n v="13228.720547952707"/>
    <m/>
    <n v="0"/>
    <n v="0"/>
    <n v="195.36000000000058"/>
    <m/>
    <n v="0"/>
    <m/>
    <n v="-2037.453389457661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Ponta"/>
    <s v="CATIVO"/>
    <x v="7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0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Fora ponta"/>
    <s v="CATIVO"/>
    <x v="7"/>
    <n v="0"/>
    <n v="0"/>
    <n v="0.182"/>
    <n v="0.182"/>
    <n v="0.182"/>
    <n v="0.182"/>
    <m/>
    <n v="595.67999999999995"/>
    <n v="207.07"/>
    <m/>
    <n v="146.10049999999998"/>
    <n v="146.10049999999998"/>
    <n v="148.97427999999999"/>
    <n v="0"/>
    <n v="14.334365892522385"/>
    <n v="0"/>
    <n v="0"/>
    <n v="0"/>
    <n v="22.153540676742384"/>
    <n v="63.69164404045079"/>
    <n v="37.6876445817852"/>
    <n v="0"/>
    <n v="0"/>
    <n v="0"/>
    <n v="0"/>
    <n v="0"/>
    <n v="1.821625194634791"/>
    <m/>
    <n v="0.50686097065504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059593568741766"/>
    <n v="0"/>
    <n v="0"/>
    <n v="0"/>
    <n v="0"/>
    <n v="0"/>
    <m/>
    <m/>
    <m/>
    <m/>
    <m/>
    <m/>
    <m/>
    <m/>
    <m/>
    <n v="43.593603938659378"/>
    <m/>
    <m/>
    <m/>
    <m/>
    <m/>
    <m/>
    <m/>
    <m/>
    <m/>
    <m/>
    <m/>
    <m/>
    <n v="147.3372"/>
    <n v="1.2067000000000121"/>
    <m/>
    <m/>
    <m/>
    <m/>
    <n v="-3.1722599999999908"/>
    <n v="6.0460399999999996"/>
    <n v="30"/>
    <n v="10.459774490895043"/>
    <n v="0"/>
    <n v="0"/>
    <n v="0"/>
    <n v="0"/>
    <n v="0"/>
    <n v="0"/>
    <n v="0"/>
    <n v="4.7646003002323205"/>
    <n v="0"/>
    <n v="0"/>
    <n v="5.7213056255096504"/>
    <n v="0"/>
    <n v="0"/>
    <n v="0"/>
    <n v="0.89657496156832295"/>
    <n v="0"/>
    <n v="-0.7872985717626122"/>
    <m/>
    <n v="0"/>
    <n v="0"/>
    <n v="0"/>
    <n v="0"/>
    <n v="-0.10062113826509655"/>
    <n v="-3.4786686387524024E-2"/>
    <n v="0"/>
    <n v="2.223586405316607"/>
    <m/>
    <m/>
    <m/>
    <n v="63.69164404045079"/>
    <n v="0"/>
    <n v="0"/>
    <n v="-3.1722599999999801"/>
    <n v="6.0460399999999979"/>
    <n v="0"/>
    <n v="0"/>
    <n v="-9.809622598039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9"/>
    <s v="Regular"/>
    <s v="Branca"/>
    <s v="B3"/>
    <s v="Comercial"/>
    <s v="Não se aplica"/>
    <s v="Não se aplica"/>
    <s v="Não se aplica"/>
    <s v="Intermediário"/>
    <s v="CATIVO"/>
    <x v="7"/>
    <n v="0"/>
    <n v="0"/>
    <n v="1.6E-2"/>
    <n v="1.6E-2"/>
    <n v="1.6E-2"/>
    <n v="1.6E-2"/>
    <m/>
    <n v="1539.04"/>
    <n v="207.07"/>
    <m/>
    <n v="27.937760000000001"/>
    <n v="27.937760000000001"/>
    <n v="27.567840000000004"/>
    <n v="0"/>
    <n v="1.2601640345074625"/>
    <n v="0"/>
    <n v="0"/>
    <n v="0"/>
    <n v="5.8427404458560481"/>
    <n v="16.797789736799842"/>
    <n v="3.3131995236734242"/>
    <n v="0"/>
    <n v="0"/>
    <n v="0"/>
    <n v="0"/>
    <n v="0"/>
    <n v="0.16014287425360801"/>
    <m/>
    <n v="4.45592062114328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920521818674081"/>
    <n v="0"/>
    <n v="0"/>
    <n v="0"/>
    <n v="0"/>
    <n v="0"/>
    <m/>
    <m/>
    <m/>
    <m/>
    <m/>
    <m/>
    <m/>
    <m/>
    <m/>
    <n v="3.8324047418601648"/>
    <m/>
    <m/>
    <m/>
    <m/>
    <m/>
    <m/>
    <m/>
    <m/>
    <m/>
    <m/>
    <m/>
    <m/>
    <n v="34.459800000000001"/>
    <n v="6.4920399999999958"/>
    <m/>
    <m/>
    <m/>
    <m/>
    <n v="-0.90143999999999869"/>
    <n v="0.53151999999999999"/>
    <n v="30"/>
    <n v="1.7572829448129816"/>
    <n v="0"/>
    <n v="0"/>
    <n v="0"/>
    <n v="0"/>
    <n v="0"/>
    <n v="0"/>
    <n v="0"/>
    <n v="1.2566082906887841"/>
    <n v="0"/>
    <n v="0"/>
    <n v="0.502971923121728"/>
    <n v="0"/>
    <n v="0"/>
    <n v="0"/>
    <n v="7.8819776841171252E-2"/>
    <n v="0"/>
    <n v="-6.9213061253855956E-2"/>
    <m/>
    <n v="0"/>
    <n v="0"/>
    <n v="0"/>
    <n v="0"/>
    <n v="-8.8458143529755173E-3"/>
    <n v="-3.0581702318702442E-3"/>
    <n v="0"/>
    <n v="0.45991491532720352"/>
    <m/>
    <m/>
    <m/>
    <n v="16.797789736799842"/>
    <n v="0"/>
    <n v="0"/>
    <n v="-0.90143999999999735"/>
    <n v="0.53151999999999999"/>
    <n v="0"/>
    <n v="0"/>
    <n v="-2.58715221253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Não se aplica"/>
    <s v="Não se aplica"/>
    <s v="Não se aplica"/>
    <s v="Não se aplica"/>
    <s v="CATIVO"/>
    <x v="7"/>
    <n v="0"/>
    <n v="0"/>
    <n v="38.409999999999997"/>
    <n v="38.409999999999997"/>
    <n v="38.409999999999997"/>
    <n v="38.409999999999997"/>
    <m/>
    <n v="897.25"/>
    <n v="207.07"/>
    <m/>
    <n v="42416.931199999999"/>
    <n v="42416.931199999999"/>
    <n v="42545.604699999996"/>
    <n v="0"/>
    <n v="3025.1812853394767"/>
    <n v="0"/>
    <n v="0"/>
    <n v="0"/>
    <n v="7664.6065977135249"/>
    <n v="22035.636011812432"/>
    <n v="7953.7496065185132"/>
    <n v="0"/>
    <n v="0"/>
    <n v="0"/>
    <n v="0"/>
    <n v="0"/>
    <n v="384.44298750506766"/>
    <m/>
    <n v="106.9699444113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4170269095446"/>
    <n v="0"/>
    <n v="33.18"/>
    <n v="153.35"/>
    <n v="0"/>
    <n v="147"/>
    <m/>
    <m/>
    <m/>
    <m/>
    <m/>
    <n v="5105.4572000000007"/>
    <m/>
    <m/>
    <m/>
    <n v="9200.166633428058"/>
    <m/>
    <m/>
    <m/>
    <m/>
    <m/>
    <m/>
    <m/>
    <m/>
    <m/>
    <m/>
    <m/>
    <m/>
    <n v="37440.147499999992"/>
    <n v="112.89539999999397"/>
    <m/>
    <m/>
    <m/>
    <m/>
    <n v="-1147.3067000000001"/>
    <n v="1275.9801999999997"/>
    <n v="30"/>
    <n v="2850.3722858129768"/>
    <n v="0"/>
    <n v="0"/>
    <n v="0"/>
    <n v="0"/>
    <n v="0"/>
    <n v="0"/>
    <n v="0"/>
    <n v="1648.4401942560735"/>
    <n v="0"/>
    <n v="0"/>
    <n v="1207.4469729440971"/>
    <n v="0"/>
    <n v="0"/>
    <n v="0"/>
    <n v="189.21672677933657"/>
    <n v="0"/>
    <n v="-166.15460517253814"/>
    <m/>
    <n v="0"/>
    <n v="0"/>
    <n v="0"/>
    <n v="0"/>
    <n v="-21.235483081111795"/>
    <n v="-7.3415199128834985"/>
    <n v="0"/>
    <n v="672.20574730424062"/>
    <m/>
    <m/>
    <m/>
    <n v="22035.636011812432"/>
    <n v="0"/>
    <n v="0"/>
    <n v="-1147.306700000001"/>
    <n v="1275.9802000000009"/>
    <n v="0"/>
    <n v="0"/>
    <n v="-3393.87177455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52"/>
    <n v="0.52"/>
    <n v="0.52"/>
    <n v="0.52"/>
    <m/>
    <n v="897.25"/>
    <n v="207.07"/>
    <m/>
    <n v="574.24639999999999"/>
    <n v="574.24639999999999"/>
    <n v="575.98839999999996"/>
    <n v="0"/>
    <n v="40.955331121492534"/>
    <n v="0"/>
    <n v="0"/>
    <n v="0"/>
    <n v="103.76452566547862"/>
    <n v="298.32154975637769"/>
    <n v="107.67898451938629"/>
    <n v="0"/>
    <n v="0"/>
    <n v="0"/>
    <n v="0"/>
    <n v="0"/>
    <n v="5.2046434132422599"/>
    <m/>
    <n v="1.4481742018715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74169591069077"/>
    <n v="0"/>
    <n v="0"/>
    <n v="0"/>
    <n v="0"/>
    <n v="5"/>
    <m/>
    <m/>
    <m/>
    <m/>
    <m/>
    <n v="69.118400000000008"/>
    <m/>
    <m/>
    <m/>
    <n v="124.55315411045537"/>
    <m/>
    <m/>
    <m/>
    <m/>
    <m/>
    <m/>
    <m/>
    <m/>
    <m/>
    <m/>
    <m/>
    <m/>
    <n v="506.87"/>
    <n v="1.498800000000017"/>
    <m/>
    <m/>
    <m/>
    <m/>
    <n v="-15.532400000000003"/>
    <n v="17.2744"/>
    <n v="30"/>
    <n v="38.588742218764594"/>
    <n v="0"/>
    <n v="0"/>
    <n v="0"/>
    <n v="0"/>
    <n v="0"/>
    <n v="0"/>
    <n v="0"/>
    <n v="22.31681595972816"/>
    <n v="0"/>
    <n v="0"/>
    <n v="16.346587501456156"/>
    <n v="0"/>
    <n v="0"/>
    <n v="0"/>
    <n v="2.5616427473380661"/>
    <n v="0"/>
    <n v="-2.2494244907503216"/>
    <m/>
    <n v="0"/>
    <n v="0"/>
    <n v="0"/>
    <n v="0"/>
    <n v="-0.28748896647170419"/>
    <n v="-9.9390532535782894E-2"/>
    <n v="0"/>
    <n v="9.1004162613435344"/>
    <m/>
    <m/>
    <m/>
    <n v="298.32154975637769"/>
    <n v="0"/>
    <n v="0"/>
    <n v="-15.532399999999996"/>
    <n v="17.2744"/>
    <n v="0"/>
    <n v="0"/>
    <n v="-45.94671499001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.233000000000001"/>
    <n v="20.233000000000001"/>
    <n v="20.233000000000001"/>
    <n v="20.233000000000001"/>
    <m/>
    <n v="897.25"/>
    <n v="207.07"/>
    <m/>
    <n v="22343.706560000002"/>
    <n v="22343.706560000002"/>
    <n v="22411.487110000002"/>
    <n v="0"/>
    <n v="1593.556181886843"/>
    <n v="0"/>
    <n v="0"/>
    <n v="0"/>
    <n v="4037.4377842108242"/>
    <n v="11607.576761963057"/>
    <n v="4189.7478726552745"/>
    <n v="0"/>
    <n v="0"/>
    <n v="0"/>
    <n v="0"/>
    <n v="0"/>
    <n v="202.51067342332817"/>
    <m/>
    <n v="56.34790120474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56744872327045"/>
    <n v="0"/>
    <n v="170.43"/>
    <n v="787.21"/>
    <n v="0"/>
    <n v="31"/>
    <m/>
    <m/>
    <m/>
    <m/>
    <m/>
    <m/>
    <m/>
    <m/>
    <m/>
    <n v="4846.3153213785445"/>
    <m/>
    <m/>
    <m/>
    <m/>
    <m/>
    <m/>
    <m/>
    <m/>
    <m/>
    <m/>
    <m/>
    <m/>
    <n v="22408.164099999998"/>
    <n v="64.42754000000059"/>
    <m/>
    <m/>
    <m/>
    <m/>
    <n v="-604.35971000000006"/>
    <n v="672.14026000000001"/>
    <n v="30"/>
    <n v="1501.4731179082009"/>
    <n v="0"/>
    <n v="0"/>
    <n v="0"/>
    <n v="0"/>
    <n v="0"/>
    <n v="0"/>
    <n v="0"/>
    <n v="868.33872560226882"/>
    <n v="0"/>
    <n v="0"/>
    <n v="636.03943253261968"/>
    <n v="0"/>
    <n v="0"/>
    <n v="0"/>
    <n v="99.672534051713569"/>
    <n v="0"/>
    <n v="-87.524241771829338"/>
    <m/>
    <n v="0"/>
    <n v="0"/>
    <n v="0"/>
    <n v="0"/>
    <n v="-11.186085112734588"/>
    <n v="-3.8672473938394134"/>
    <n v="0"/>
    <n v="354.09369656877641"/>
    <m/>
    <m/>
    <m/>
    <n v="11607.576761963057"/>
    <n v="0"/>
    <n v="0"/>
    <n v="-604.35971000000063"/>
    <n v="672.14026000000013"/>
    <n v="0"/>
    <n v="0"/>
    <n v="-1787.769008448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32.631"/>
    <n v="232.631"/>
    <n v="232.631"/>
    <n v="232.631"/>
    <m/>
    <n v="493.49"/>
    <n v="113.89"/>
    <m/>
    <n v="141295.41678"/>
    <n v="141295.41678"/>
    <n v="141723.45782000001"/>
    <n v="0"/>
    <n v="10077.141920707996"/>
    <n v="0"/>
    <n v="0"/>
    <n v="0"/>
    <n v="25531.471064514044"/>
    <n v="73402.619697609189"/>
    <n v="26494.631569713747"/>
    <n v="0"/>
    <n v="0"/>
    <n v="0"/>
    <n v="0"/>
    <n v="0"/>
    <n v="1280.6130212043797"/>
    <m/>
    <n v="356.32618656840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1.9235007249863"/>
    <n v="0"/>
    <n v="1178.93"/>
    <n v="5441.33"/>
    <n v="0"/>
    <n v="3"/>
    <m/>
    <m/>
    <m/>
    <m/>
    <m/>
    <m/>
    <m/>
    <m/>
    <m/>
    <n v="30646.555070438735"/>
    <m/>
    <m/>
    <m/>
    <m/>
    <m/>
    <m/>
    <m/>
    <m/>
    <m/>
    <m/>
    <m/>
    <m/>
    <n v="141722.8486"/>
    <n v="427.40181999999913"/>
    <m/>
    <m/>
    <m/>
    <m/>
    <n v="-3822.1273300000016"/>
    <n v="4250.1683699999994"/>
    <n v="30"/>
    <n v="9494.8379425024759"/>
    <n v="0"/>
    <n v="0"/>
    <n v="0"/>
    <n v="0"/>
    <n v="0"/>
    <n v="0"/>
    <n v="0"/>
    <n v="5491.0976296924782"/>
    <n v="0"/>
    <n v="0"/>
    <n v="4022.1108622656466"/>
    <n v="0"/>
    <n v="0"/>
    <n v="0"/>
    <n v="630.2973705303948"/>
    <n v="0"/>
    <n v="-553.47543805626083"/>
    <m/>
    <n v="0"/>
    <n v="0"/>
    <n v="0"/>
    <n v="0"/>
    <n v="-70.737240706928787"/>
    <n v="-24.455241222850987"/>
    <n v="0"/>
    <n v="2239.1757969441082"/>
    <m/>
    <m/>
    <m/>
    <n v="73402.619697609189"/>
    <n v="0"/>
    <n v="0"/>
    <n v="-3822.127330000003"/>
    <n v="4250.1683699999994"/>
    <n v="0"/>
    <n v="0"/>
    <n v="-11305.2820003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2.291"/>
    <n v="11.55354"/>
    <n v="12.291"/>
    <n v="11.55354"/>
    <m/>
    <n v="897.25"/>
    <n v="207.07"/>
    <m/>
    <n v="13573.197120000001"/>
    <n v="13573.197120000001"/>
    <n v="13614.37197"/>
    <n v="0"/>
    <n v="968.0422592582014"/>
    <n v="0"/>
    <n v="0"/>
    <n v="0"/>
    <n v="2452.6342018353798"/>
    <n v="7051.288784722381"/>
    <n v="2545.1584590918787"/>
    <n v="0"/>
    <n v="0"/>
    <n v="0"/>
    <n v="0"/>
    <n v="0"/>
    <n v="123.0197542156935"/>
    <m/>
    <n v="34.22982522154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84695854582696"/>
    <n v="0"/>
    <n v="10.07"/>
    <n v="46.48"/>
    <n v="0"/>
    <n v="2"/>
    <m/>
    <m/>
    <m/>
    <m/>
    <n v="816.86231820000057"/>
    <m/>
    <m/>
    <m/>
    <m/>
    <n v="2944.0054176377057"/>
    <m/>
    <m/>
    <m/>
    <m/>
    <m/>
    <m/>
    <m/>
    <m/>
    <m/>
    <m/>
    <m/>
    <m/>
    <n v="12793.588500000002"/>
    <n v="34.75320720000127"/>
    <m/>
    <m/>
    <m/>
    <m/>
    <n v="-367.13217000000009"/>
    <n v="408.30702000000002"/>
    <n v="30"/>
    <n v="912.10428963622144"/>
    <n v="0"/>
    <n v="0"/>
    <n v="0"/>
    <n v="0"/>
    <n v="0"/>
    <n v="0"/>
    <n v="0"/>
    <n v="527.49227877119029"/>
    <n v="0"/>
    <n v="0"/>
    <n v="386.37674419307223"/>
    <n v="0"/>
    <n v="0"/>
    <n v="0"/>
    <n v="60.548367322177228"/>
    <n v="0"/>
    <n v="-53.168608491946543"/>
    <m/>
    <n v="0"/>
    <n v="0"/>
    <n v="0"/>
    <n v="0"/>
    <n v="-6.7952440132763741"/>
    <n v="-2.3492481449948208"/>
    <n v="0"/>
    <n v="215.10233897725649"/>
    <m/>
    <m/>
    <m/>
    <n v="7051.288784722381"/>
    <n v="0"/>
    <n v="0"/>
    <n v="-367.13217000000077"/>
    <n v="408.30702000000019"/>
    <n v="0"/>
    <n v="0"/>
    <n v="-1086.021296042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4690000000000001"/>
    <n v="1.38086"/>
    <n v="1.4690000000000001"/>
    <n v="1.38086"/>
    <m/>
    <n v="4750.8599999999997"/>
    <n v="207.07"/>
    <m/>
    <n v="7283.1991699999999"/>
    <n v="7283.1991699999999"/>
    <n v="7095.2259300000005"/>
    <n v="0"/>
    <n v="100.65796506384817"/>
    <n v="0"/>
    <n v="0"/>
    <n v="0"/>
    <n v="1891.098802085334"/>
    <n v="4949.5807008335596"/>
    <n v="304.19313126726627"/>
    <n v="0"/>
    <n v="0"/>
    <n v="0"/>
    <n v="0"/>
    <n v="0"/>
    <n v="14.703117642409385"/>
    <m/>
    <n v="2.657919217330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3934337509519"/>
    <n v="0"/>
    <n v="0"/>
    <n v="0"/>
    <n v="0"/>
    <n v="0"/>
    <m/>
    <m/>
    <m/>
    <m/>
    <n v="425.71355580000056"/>
    <m/>
    <m/>
    <m/>
    <m/>
    <n v="324.50706560477579"/>
    <m/>
    <m/>
    <m/>
    <m/>
    <m/>
    <m/>
    <m/>
    <m/>
    <m/>
    <m/>
    <m/>
    <m/>
    <n v="6665.3585999999996"/>
    <n v="-180.87861980000071"/>
    <m/>
    <m/>
    <m/>
    <m/>
    <n v="-236.77341999999911"/>
    <n v="48.800180000000005"/>
    <n v="30"/>
    <n v="449.46173074956187"/>
    <n v="0"/>
    <n v="0"/>
    <n v="0"/>
    <n v="0"/>
    <n v="0"/>
    <n v="0"/>
    <n v="0"/>
    <n v="406.7218893657257"/>
    <n v="0"/>
    <n v="0"/>
    <n v="46.179109691613633"/>
    <n v="0"/>
    <n v="0"/>
    <n v="0"/>
    <n v="3.0838283498778658"/>
    <n v="0"/>
    <n v="-5.5285230421415577"/>
    <m/>
    <n v="0"/>
    <n v="0"/>
    <n v="0"/>
    <n v="0"/>
    <n v="-0.81215633028256384"/>
    <n v="-0.18241728523140122"/>
    <n v="0"/>
    <n v="124.88607036637073"/>
    <m/>
    <m/>
    <m/>
    <n v="4949.5807008335596"/>
    <n v="0"/>
    <n v="0"/>
    <n v="-236.77341999999862"/>
    <n v="48.800180000000012"/>
    <n v="0"/>
    <n v="0"/>
    <n v="-762.321642425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7.268000000000001"/>
    <n v="16.231919999999999"/>
    <n v="17.268000000000001"/>
    <n v="16.231919999999999"/>
    <m/>
    <n v="94.17"/>
    <n v="207.07"/>
    <m/>
    <n v="5201.81232"/>
    <n v="5201.81232"/>
    <n v="5763.5403600000009"/>
    <n v="0"/>
    <n v="1183.2278697906945"/>
    <n v="0"/>
    <n v="0"/>
    <n v="0"/>
    <n v="0"/>
    <n v="0"/>
    <n v="3575.7705859245434"/>
    <n v="0"/>
    <n v="0"/>
    <n v="0"/>
    <n v="0"/>
    <n v="0"/>
    <n v="172.83419703820644"/>
    <m/>
    <n v="31.24366851250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8898443847132"/>
    <n v="0"/>
    <n v="0"/>
    <n v="0"/>
    <n v="0"/>
    <n v="0"/>
    <m/>
    <m/>
    <m/>
    <m/>
    <n v="345.81242160000062"/>
    <m/>
    <m/>
    <m/>
    <m/>
    <n v="3814.5595703630147"/>
    <m/>
    <m/>
    <m/>
    <m/>
    <m/>
    <m/>
    <m/>
    <m/>
    <m/>
    <m/>
    <m/>
    <m/>
    <n v="5417.0871000000006"/>
    <n v="527.35351920000085"/>
    <m/>
    <m/>
    <m/>
    <m/>
    <n v="-11.914919999999961"/>
    <n v="573.64296000000002"/>
    <n v="30"/>
    <n v="502.40407148814029"/>
    <n v="0"/>
    <n v="0"/>
    <n v="0"/>
    <n v="0"/>
    <n v="0"/>
    <n v="0"/>
    <n v="0"/>
    <n v="0"/>
    <n v="0"/>
    <n v="0"/>
    <n v="542.83244802912486"/>
    <n v="0"/>
    <n v="0"/>
    <n v="0"/>
    <n v="36.250202822117757"/>
    <n v="0"/>
    <n v="-64.987430831654592"/>
    <m/>
    <n v="0"/>
    <n v="0"/>
    <n v="0"/>
    <n v="0"/>
    <n v="-9.5468451404488235"/>
    <n v="-2.1443033909978517"/>
    <n v="0"/>
    <n v="59.25037471084449"/>
    <m/>
    <m/>
    <m/>
    <n v="0"/>
    <n v="0"/>
    <n v="0"/>
    <n v="-11.914919999999938"/>
    <n v="573.6429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7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6.86"/>
    <n v="585.51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0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7"/>
    <n v="0"/>
    <n v="0"/>
    <n v="0.5"/>
    <n v="0.5"/>
    <n v="0.5"/>
    <n v="0.5"/>
    <m/>
    <n v="897.25"/>
    <n v="207.07"/>
    <m/>
    <n v="552.16"/>
    <n v="552.16"/>
    <n v="553.83500000000004"/>
    <n v="0"/>
    <n v="39.380126078358202"/>
    <n v="0"/>
    <n v="0"/>
    <n v="0"/>
    <n v="99.773582370652505"/>
    <n v="286.84764399651698"/>
    <n v="103.53748511479451"/>
    <n v="0"/>
    <n v="0"/>
    <n v="0"/>
    <n v="0"/>
    <n v="0"/>
    <n v="5.00446482042525"/>
    <m/>
    <n v="1.392475194107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2516306833565"/>
    <n v="0"/>
    <n v="0"/>
    <n v="0"/>
    <n v="0"/>
    <n v="0"/>
    <m/>
    <m/>
    <m/>
    <m/>
    <m/>
    <n v="66.460000000000008"/>
    <m/>
    <m/>
    <m/>
    <n v="119.76264818313015"/>
    <m/>
    <m/>
    <m/>
    <m/>
    <m/>
    <m/>
    <m/>
    <m/>
    <m/>
    <m/>
    <m/>
    <m/>
    <n v="487.375"/>
    <n v="1.4399999999999977"/>
    <m/>
    <m/>
    <m/>
    <m/>
    <n v="-14.935000000000002"/>
    <n v="16.61"/>
    <n v="30"/>
    <n v="37.104559825735237"/>
    <n v="0"/>
    <n v="0"/>
    <n v="0"/>
    <n v="0"/>
    <n v="0"/>
    <n v="0"/>
    <n v="0"/>
    <n v="21.458476884353999"/>
    <n v="0"/>
    <n v="0"/>
    <n v="15.717872597553992"/>
    <n v="0"/>
    <n v="0"/>
    <n v="0"/>
    <n v="2.463118026286601"/>
    <n v="0"/>
    <n v="-2.1629081641830012"/>
    <m/>
    <n v="0"/>
    <n v="0"/>
    <n v="0"/>
    <n v="0"/>
    <n v="-0.27643169853048466"/>
    <n v="-9.5567819745945082E-2"/>
    <n v="0"/>
    <n v="8.7504002512918593"/>
    <m/>
    <m/>
    <m/>
    <n v="286.84764399651698"/>
    <n v="0"/>
    <n v="0"/>
    <n v="-14.935000000000002"/>
    <n v="16.61"/>
    <n v="0"/>
    <n v="0"/>
    <n v="-44.17953364424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7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Fora ponta"/>
    <s v="CATIVO"/>
    <x v="7"/>
    <n v="0"/>
    <n v="0"/>
    <n v="10.742000000000001"/>
    <n v="10.31232"/>
    <n v="10.742000000000001"/>
    <n v="10.31232"/>
    <m/>
    <n v="94.17"/>
    <n v="207.07"/>
    <m/>
    <n v="3235.9200800000003"/>
    <n v="3235.9200800000003"/>
    <n v="3585.3573400000005"/>
    <n v="0"/>
    <n v="736.0570869406788"/>
    <n v="0"/>
    <n v="0"/>
    <n v="0"/>
    <n v="0"/>
    <n v="0"/>
    <n v="2224.3993302062454"/>
    <n v="0"/>
    <n v="0"/>
    <n v="0"/>
    <n v="0"/>
    <n v="0"/>
    <n v="107.51592220201609"/>
    <m/>
    <n v="19.4359211930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4478056741132"/>
    <n v="0"/>
    <n v="0"/>
    <n v="0"/>
    <n v="0"/>
    <n v="0"/>
    <m/>
    <m/>
    <m/>
    <m/>
    <m/>
    <n v="143.41429360000041"/>
    <m/>
    <m/>
    <m/>
    <n v="2372.9441107736566"/>
    <m/>
    <m/>
    <m/>
    <m/>
    <m/>
    <m/>
    <m/>
    <m/>
    <m/>
    <m/>
    <m/>
    <m/>
    <n v="3441.1687000000002"/>
    <n v="334.65542320000031"/>
    <m/>
    <m/>
    <m/>
    <m/>
    <n v="-7.4119799999999758"/>
    <n v="356.84924000000001"/>
    <n v="30"/>
    <n v="312.53327171216233"/>
    <n v="0"/>
    <n v="0"/>
    <n v="0"/>
    <n v="0"/>
    <n v="0"/>
    <n v="0"/>
    <n v="0"/>
    <n v="0"/>
    <n v="0"/>
    <n v="0"/>
    <n v="337.68277488584999"/>
    <n v="0"/>
    <n v="0"/>
    <n v="0"/>
    <n v="22.550363604076296"/>
    <n v="0"/>
    <n v="-40.427089529397449"/>
    <m/>
    <n v="0"/>
    <n v="0"/>
    <n v="0"/>
    <n v="0"/>
    <n v="-5.9388586112289374"/>
    <n v="-1.3339186371379945"/>
    <n v="0"/>
    <n v="36.858207386141508"/>
    <m/>
    <m/>
    <m/>
    <n v="0"/>
    <n v="0"/>
    <n v="0"/>
    <n v="-7.4119799999999714"/>
    <n v="356.8492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Não se aplica"/>
    <s v="CATIVO"/>
    <x v="7"/>
    <n v="273"/>
    <n v="262.08"/>
    <n v="0"/>
    <n v="0"/>
    <n v="0"/>
    <n v="0"/>
    <n v="73.75"/>
    <m/>
    <m/>
    <n v="20133.75"/>
    <m/>
    <n v="20133.75"/>
    <n v="20313.93"/>
    <n v="0"/>
    <n v="0"/>
    <n v="0"/>
    <n v="0"/>
    <n v="0"/>
    <n v="7932.9037551560978"/>
    <n v="12200.813208078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12.5572000000011"/>
    <m/>
    <m/>
    <m/>
    <n v="0"/>
    <m/>
    <m/>
    <m/>
    <m/>
    <m/>
    <m/>
    <m/>
    <m/>
    <m/>
    <m/>
    <m/>
    <m/>
    <n v="19501.372799999997"/>
    <n v="172.94280000000435"/>
    <m/>
    <m/>
    <m/>
    <m/>
    <n v="180.17999999999907"/>
    <n v="0"/>
    <n v="30"/>
    <n v="1706.1433278343538"/>
    <n v="0"/>
    <n v="0"/>
    <n v="0"/>
    <n v="0"/>
    <m/>
    <m/>
    <m/>
    <n v="1706.1433278343538"/>
    <n v="0"/>
    <n v="0"/>
    <m/>
    <m/>
    <n v="0"/>
    <n v="0"/>
    <n v="0"/>
    <n v="0"/>
    <n v="0"/>
    <m/>
    <n v="0"/>
    <n v="0"/>
    <m/>
    <n v="0"/>
    <n v="0"/>
    <n v="0"/>
    <n v="0"/>
    <n v="352.73358990705384"/>
    <m/>
    <m/>
    <n v="12200.813208078003"/>
    <m/>
    <n v="0"/>
    <n v="0"/>
    <n v="180.18000000000029"/>
    <m/>
    <n v="0"/>
    <m/>
    <n v="-1879.13775446601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.101000000000001"/>
    <n v="3.0303"/>
    <n v="10.101000000000001"/>
    <n v="3.0303"/>
    <m/>
    <n v="94.17"/>
    <n v="207.07"/>
    <m/>
    <n v="3042.8252400000001"/>
    <n v="3042.8252400000001"/>
    <n v="3371.4107700000004"/>
    <n v="0"/>
    <n v="692.1348571204428"/>
    <n v="0"/>
    <n v="0"/>
    <n v="0"/>
    <n v="0"/>
    <n v="0"/>
    <n v="2091.664274289079"/>
    <n v="0"/>
    <n v="0"/>
    <n v="0"/>
    <n v="0"/>
    <n v="0"/>
    <n v="101.10019830223091"/>
    <m/>
    <n v="18.27613479527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6807697366805"/>
    <n v="0"/>
    <n v="0"/>
    <n v="0"/>
    <n v="0"/>
    <n v="0"/>
    <m/>
    <m/>
    <m/>
    <m/>
    <m/>
    <m/>
    <n v="2359.9875390000002"/>
    <m/>
    <m/>
    <n v="2231.3450440257593"/>
    <m/>
    <m/>
    <m/>
    <m/>
    <m/>
    <m/>
    <m/>
    <m/>
    <m/>
    <m/>
    <m/>
    <m/>
    <n v="1011.3230999999998"/>
    <n v="98.445527999999968"/>
    <m/>
    <m/>
    <m/>
    <m/>
    <n v="-6.9696899999999777"/>
    <n v="335.55522000000002"/>
    <n v="30"/>
    <n v="293.88368809947451"/>
    <n v="0"/>
    <n v="0"/>
    <n v="0"/>
    <n v="0"/>
    <n v="0"/>
    <n v="0"/>
    <n v="0"/>
    <n v="0"/>
    <n v="0"/>
    <n v="0"/>
    <n v="317.53246221578547"/>
    <n v="0"/>
    <n v="0"/>
    <n v="0"/>
    <n v="21.20473121995667"/>
    <n v="0"/>
    <n v="-38.014711537557559"/>
    <m/>
    <n v="0"/>
    <n v="0"/>
    <n v="0"/>
    <n v="0"/>
    <n v="-5.5844731737128512"/>
    <n v="-1.2543206249982219"/>
    <n v="0"/>
    <n v="34.658792851183705"/>
    <m/>
    <m/>
    <m/>
    <n v="0"/>
    <n v="0"/>
    <n v="0"/>
    <n v="-6.9696900000000142"/>
    <n v="335.555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63"/>
    <n v="62.9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.93600000000000005"/>
    <n v="0.93600000000000005"/>
    <n v="0.93600000000000005"/>
    <n v="0.93600000000000005"/>
    <m/>
    <n v="897.25"/>
    <n v="207.07"/>
    <m/>
    <n v="1033.6435200000001"/>
    <n v="1033.6435200000001"/>
    <n v="1036.7791200000001"/>
    <n v="0"/>
    <n v="73.719596018686559"/>
    <n v="0"/>
    <n v="0"/>
    <n v="0"/>
    <n v="186.77614619786149"/>
    <n v="536.97878956147986"/>
    <n v="193.82217213489534"/>
    <n v="0"/>
    <n v="0"/>
    <n v="0"/>
    <n v="0"/>
    <n v="0"/>
    <n v="9.368358143836069"/>
    <m/>
    <n v="2.606713563368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7350526392434"/>
    <n v="0"/>
    <n v="0"/>
    <n v="0"/>
    <n v="0"/>
    <n v="0"/>
    <m/>
    <m/>
    <m/>
    <m/>
    <m/>
    <n v="124.41312000000002"/>
    <m/>
    <m/>
    <m/>
    <n v="224.19567739881967"/>
    <m/>
    <m/>
    <m/>
    <m/>
    <m/>
    <m/>
    <m/>
    <m/>
    <m/>
    <m/>
    <m/>
    <m/>
    <n v="916.26499999999987"/>
    <n v="6.6208399999998164"/>
    <m/>
    <m/>
    <m/>
    <m/>
    <n v="-27.958320000000008"/>
    <n v="31.093920000000001"/>
    <n v="30"/>
    <n v="69.459735993776292"/>
    <n v="0"/>
    <n v="0"/>
    <n v="0"/>
    <n v="0"/>
    <n v="0"/>
    <n v="0"/>
    <n v="0"/>
    <n v="40.170268727510688"/>
    <n v="0"/>
    <n v="0"/>
    <n v="29.423857502621075"/>
    <n v="0"/>
    <n v="0"/>
    <n v="0"/>
    <n v="4.6109569452085175"/>
    <n v="0"/>
    <n v="-4.0489640833505831"/>
    <m/>
    <n v="0"/>
    <n v="0"/>
    <n v="0"/>
    <n v="0"/>
    <n v="-0.51748013964906825"/>
    <n v="-0.17890295856440952"/>
    <n v="0"/>
    <n v="16.380749270418363"/>
    <m/>
    <m/>
    <m/>
    <n v="536.97878956147986"/>
    <n v="0"/>
    <n v="0"/>
    <n v="-27.958319999999958"/>
    <n v="31.093919999999997"/>
    <n v="0"/>
    <n v="0"/>
    <n v="-82.70408698203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1850000000000001"/>
    <n v="2.1850000000000001"/>
    <n v="2.1850000000000001"/>
    <n v="2.1850000000000001"/>
    <m/>
    <n v="897.25"/>
    <n v="207.07"/>
    <m/>
    <n v="2412.9391999999998"/>
    <n v="2412.9391999999998"/>
    <n v="2420.2589499999999"/>
    <n v="0"/>
    <n v="172.09115096242536"/>
    <n v="0"/>
    <n v="0"/>
    <n v="0"/>
    <n v="436.01055495975146"/>
    <n v="1253.5242042647792"/>
    <n v="452.45880995165203"/>
    <n v="0"/>
    <n v="0"/>
    <n v="0"/>
    <n v="0"/>
    <n v="0"/>
    <n v="21.869511265258343"/>
    <m/>
    <n v="6.08511659824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03962608626799"/>
    <n v="0"/>
    <n v="0"/>
    <n v="0"/>
    <n v="0"/>
    <n v="0"/>
    <m/>
    <m/>
    <m/>
    <m/>
    <m/>
    <n v="290.43020000000001"/>
    <m/>
    <m/>
    <m/>
    <n v="523.36277256027881"/>
    <m/>
    <m/>
    <m/>
    <m/>
    <m/>
    <m/>
    <m/>
    <m/>
    <m/>
    <m/>
    <m/>
    <m/>
    <n v="2134.7024999999999"/>
    <n v="11.267649999999321"/>
    <m/>
    <m/>
    <m/>
    <m/>
    <n v="-65.265950000000018"/>
    <n v="72.585700000000003"/>
    <n v="30"/>
    <n v="162.14692643846251"/>
    <n v="0"/>
    <n v="0"/>
    <n v="0"/>
    <n v="0"/>
    <n v="0"/>
    <n v="0"/>
    <n v="0"/>
    <n v="93.773543984626997"/>
    <n v="0"/>
    <n v="0"/>
    <n v="68.687103251310873"/>
    <n v="0"/>
    <n v="0"/>
    <n v="0"/>
    <n v="10.763825774872444"/>
    <n v="0"/>
    <n v="-9.4519086774797358"/>
    <m/>
    <n v="0"/>
    <n v="0"/>
    <n v="0"/>
    <n v="0"/>
    <n v="-1.2080065225782164"/>
    <n v="-0.41763137228977953"/>
    <n v="0"/>
    <n v="38.239249098145429"/>
    <m/>
    <m/>
    <m/>
    <n v="1253.5242042647792"/>
    <n v="0"/>
    <n v="0"/>
    <n v="-65.265949999999975"/>
    <n v="72.585699999999974"/>
    <n v="0"/>
    <n v="0"/>
    <n v="-193.0645620253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809.14"/>
    <n v="809.14"/>
    <n v="809.14"/>
    <n v="809.14"/>
    <m/>
    <n v="897.25"/>
    <n v="207.07"/>
    <m/>
    <n v="893549.48479999998"/>
    <n v="893549.48479999998"/>
    <n v="896260.10380000004"/>
    <n v="0"/>
    <n v="63728.070430085514"/>
    <n v="0"/>
    <n v="0"/>
    <n v="0"/>
    <n v="161461.59287877954"/>
    <n v="464199.8053266835"/>
    <n v="167552.64141156964"/>
    <n v="0"/>
    <n v="0"/>
    <n v="0"/>
    <n v="0"/>
    <n v="0"/>
    <n v="8098.6253295977731"/>
    <m/>
    <n v="2253.41475711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56.856890226216"/>
    <n v="0"/>
    <n v="1568.2"/>
    <n v="7264.1"/>
    <n v="0"/>
    <n v="6289"/>
    <m/>
    <m/>
    <m/>
    <m/>
    <m/>
    <m/>
    <m/>
    <m/>
    <m/>
    <n v="193809.49830179586"/>
    <m/>
    <m/>
    <m/>
    <m/>
    <m/>
    <m/>
    <m/>
    <m/>
    <m/>
    <m/>
    <m/>
    <m/>
    <n v="896260.10380000004"/>
    <n v="2710.5890000000363"/>
    <m/>
    <m/>
    <m/>
    <m/>
    <n v="-24169.011800000004"/>
    <n v="26879.630799999999"/>
    <m/>
    <n v="60045.567074790655"/>
    <n v="0"/>
    <n v="0"/>
    <n v="0"/>
    <n v="0"/>
    <n v="0"/>
    <n v="0"/>
    <n v="0"/>
    <n v="34725.823972412385"/>
    <n v="0"/>
    <n v="0"/>
    <n v="25435.918867169676"/>
    <n v="0"/>
    <n v="0"/>
    <n v="0"/>
    <n v="3986.0146395790798"/>
    <n v="0"/>
    <n v="-3500.1910239340723"/>
    <m/>
    <n v="0"/>
    <n v="0"/>
    <n v="0"/>
    <n v="0"/>
    <n v="-447.34388909791232"/>
    <n v="-154.65549133846798"/>
    <n v="0"/>
    <n v="14160.597718660591"/>
    <m/>
    <m/>
    <m/>
    <n v="464199.8053266835"/>
    <n v="0"/>
    <n v="0"/>
    <n v="-24169.011799999978"/>
    <n v="26879.630800000014"/>
    <n v="0"/>
    <n v="0"/>
    <n v="-71494.8557058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58599999999999997"/>
    <n v="-0.58599999999999997"/>
    <n v="-0.58599999999999997"/>
    <n v="-0.58599999999999997"/>
    <m/>
    <n v="897.25"/>
    <n v="207.07"/>
    <m/>
    <n v="-647.13152000000002"/>
    <n v="-647.13152000000002"/>
    <n v="-649.09461999999996"/>
    <n v="0"/>
    <n v="-46.153507763835812"/>
    <n v="0"/>
    <n v="0"/>
    <n v="0"/>
    <n v="-116.93463853840473"/>
    <n v="-336.18543876391789"/>
    <n v="-121.34593255453916"/>
    <n v="0"/>
    <n v="0"/>
    <n v="0"/>
    <n v="0"/>
    <n v="0"/>
    <n v="-5.8652327695383928"/>
    <m/>
    <n v="-1.6319809274937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015891116089382"/>
    <n v="0"/>
    <n v="-2.68"/>
    <n v="-12.38"/>
    <n v="0"/>
    <n v="0"/>
    <m/>
    <m/>
    <m/>
    <m/>
    <m/>
    <m/>
    <m/>
    <m/>
    <m/>
    <n v="-140.36182367062855"/>
    <m/>
    <m/>
    <m/>
    <m/>
    <m/>
    <m/>
    <m/>
    <m/>
    <m/>
    <m/>
    <m/>
    <m/>
    <n v="-653.52530000000002"/>
    <n v="-6.4237799999999652"/>
    <m/>
    <m/>
    <m/>
    <m/>
    <n v="17.503820000000001"/>
    <n v="-19.466919999999998"/>
    <m/>
    <n v="-43.486544115761546"/>
    <n v="0"/>
    <n v="0"/>
    <n v="0"/>
    <n v="0"/>
    <n v="0"/>
    <n v="0"/>
    <n v="0"/>
    <n v="-25.14933490846289"/>
    <n v="0"/>
    <n v="0"/>
    <n v="-18.421346684333258"/>
    <n v="0"/>
    <n v="0"/>
    <n v="0"/>
    <n v="-2.8867743268078954"/>
    <n v="0"/>
    <n v="2.5349283684224773"/>
    <m/>
    <n v="0"/>
    <n v="0"/>
    <n v="0"/>
    <n v="0"/>
    <n v="0.32397795067772783"/>
    <n v="0.11200548474224759"/>
    <n v="0"/>
    <n v="-10.25546909451406"/>
    <m/>
    <m/>
    <m/>
    <n v="-336.18543876391789"/>
    <n v="0"/>
    <n v="0"/>
    <n v="17.503820000000019"/>
    <n v="-19.466919999999988"/>
    <n v="0"/>
    <n v="0"/>
    <n v="51.7784134310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6639999999999997"/>
    <n v="4.6639999999999997"/>
    <n v="4.6639999999999997"/>
    <n v="4.6639999999999997"/>
    <m/>
    <n v="897.25"/>
    <n v="207.07"/>
    <m/>
    <n v="5150.5484799999995"/>
    <n v="5150.5484799999995"/>
    <n v="5166.1728800000001"/>
    <n v="0"/>
    <n v="367.33781605892528"/>
    <n v="0"/>
    <n v="0"/>
    <n v="0"/>
    <n v="930.68797635344652"/>
    <n v="2675.7148231995102"/>
    <n v="965.79766115080315"/>
    <n v="0"/>
    <n v="0"/>
    <n v="0"/>
    <n v="0"/>
    <n v="0"/>
    <n v="46.681647844926729"/>
    <m/>
    <n v="12.98900861063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4832110143495"/>
    <n v="0"/>
    <n v="1.36"/>
    <n v="6.5"/>
    <n v="0"/>
    <n v="54"/>
    <m/>
    <m/>
    <m/>
    <m/>
    <m/>
    <m/>
    <m/>
    <m/>
    <m/>
    <n v="1117.1459822522381"/>
    <m/>
    <m/>
    <m/>
    <m/>
    <m/>
    <m/>
    <m/>
    <m/>
    <m/>
    <m/>
    <m/>
    <m/>
    <n v="5161.7422000000006"/>
    <n v="11.163720000000467"/>
    <m/>
    <m/>
    <m/>
    <m/>
    <n v="-139.31368000000001"/>
    <n v="154.93807999999999"/>
    <m/>
    <n v="346.11133405445753"/>
    <n v="0"/>
    <n v="0"/>
    <n v="0"/>
    <n v="0"/>
    <n v="0"/>
    <n v="0"/>
    <n v="0"/>
    <n v="200.16467237725408"/>
    <n v="0"/>
    <n v="0"/>
    <n v="146.61631558998351"/>
    <n v="0"/>
    <n v="0"/>
    <n v="0"/>
    <n v="22.975964949201398"/>
    <n v="0"/>
    <n v="-20.175607355499039"/>
    <m/>
    <n v="0"/>
    <n v="0"/>
    <n v="0"/>
    <n v="0"/>
    <n v="-2.5785548838923589"/>
    <n v="-0.89145662259017655"/>
    <n v="0"/>
    <n v="81.623733544050467"/>
    <m/>
    <m/>
    <m/>
    <n v="2675.7148231995102"/>
    <n v="0"/>
    <n v="0"/>
    <n v="-139.31367999999975"/>
    <n v="154.93808000000001"/>
    <n v="0"/>
    <n v="0"/>
    <n v="-412.1066898335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5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m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.51"/>
    <n v="5.51"/>
    <n v="5.51"/>
    <n v="5.51"/>
    <m/>
    <n v="808.48"/>
    <n v="207.07"/>
    <m/>
    <n v="5595.6805000000004"/>
    <n v="5595.6805000000004"/>
    <n v="5632.4321999999993"/>
    <n v="0"/>
    <n v="0"/>
    <n v="0"/>
    <n v="0"/>
    <n v="0"/>
    <n v="1099.5048777245906"/>
    <n v="3161.0610368416169"/>
    <n v="1140.9830859650353"/>
    <n v="0"/>
    <n v="0"/>
    <n v="0"/>
    <n v="0"/>
    <n v="0"/>
    <n v="0"/>
    <m/>
    <n v="15.345076639062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80129701305887"/>
    <n v="0"/>
    <n v="8.8000000000000007"/>
    <n v="40.81"/>
    <n v="0"/>
    <n v="20"/>
    <m/>
    <m/>
    <m/>
    <m/>
    <m/>
    <m/>
    <m/>
    <n v="2252.9287999999992"/>
    <m/>
    <n v="1319.7843829780943"/>
    <m/>
    <m/>
    <m/>
    <m/>
    <m/>
    <m/>
    <m/>
    <m/>
    <m/>
    <m/>
    <m/>
    <m/>
    <n v="3379.5034000000001"/>
    <n v="22.065099999999802"/>
    <m/>
    <m/>
    <m/>
    <m/>
    <n v="-146.29050000000038"/>
    <n v="183.04219999999998"/>
    <m/>
    <n v="435.77377456670411"/>
    <n v="0"/>
    <n v="0"/>
    <n v="0"/>
    <n v="0"/>
    <n v="0"/>
    <n v="0"/>
    <n v="0"/>
    <n v="236.47241526558105"/>
    <n v="0"/>
    <n v="0"/>
    <n v="173.21095602504511"/>
    <n v="0"/>
    <n v="0"/>
    <n v="0"/>
    <n v="27.143560649678335"/>
    <n v="0"/>
    <n v="0"/>
    <m/>
    <n v="0"/>
    <n v="0"/>
    <n v="0"/>
    <n v="0"/>
    <n v="0"/>
    <n v="-1.0531573736003157"/>
    <n v="0"/>
    <n v="87.860281881418373"/>
    <m/>
    <m/>
    <m/>
    <n v="3161.0610368416169"/>
    <n v="0"/>
    <n v="0"/>
    <n v="-146.29050000000007"/>
    <n v="183.04219999999987"/>
    <n v="0"/>
    <n v="0"/>
    <n v="-486.858460759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766"/>
    <n v="3.766"/>
    <n v="3.766"/>
    <n v="3.766"/>
    <m/>
    <n v="808.48"/>
    <n v="207.07"/>
    <m/>
    <n v="3824.5613000000003"/>
    <n v="3824.5613000000003"/>
    <n v="3849.6805199999999"/>
    <n v="0"/>
    <n v="0"/>
    <n v="0"/>
    <n v="0"/>
    <n v="0"/>
    <n v="751.49462241575463"/>
    <n v="2160.5364545817661"/>
    <n v="779.84433788463218"/>
    <n v="0"/>
    <n v="0"/>
    <n v="0"/>
    <n v="0"/>
    <n v="0"/>
    <n v="0"/>
    <m/>
    <n v="10.488123162015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0792823070411"/>
    <n v="0"/>
    <n v="8.23"/>
    <n v="38.340000000000003"/>
    <n v="0"/>
    <n v="59"/>
    <m/>
    <m/>
    <m/>
    <m/>
    <m/>
    <m/>
    <m/>
    <n v="384.9605199999998"/>
    <m/>
    <n v="902.05226611533635"/>
    <m/>
    <m/>
    <m/>
    <m/>
    <m/>
    <m/>
    <m/>
    <m/>
    <m/>
    <m/>
    <m/>
    <m/>
    <n v="3468.4"/>
    <n v="26.24599999999964"/>
    <m/>
    <m/>
    <m/>
    <m/>
    <n v="-99.987300000000261"/>
    <n v="125.10652"/>
    <m/>
    <n v="297.84465245339493"/>
    <n v="0"/>
    <n v="0"/>
    <n v="0"/>
    <n v="0"/>
    <n v="0"/>
    <n v="0"/>
    <n v="0"/>
    <n v="161.62524789295435"/>
    <n v="0"/>
    <n v="0"/>
    <n v="118.38701640477666"/>
    <n v="0"/>
    <n v="0"/>
    <n v="0"/>
    <n v="18.552204973990683"/>
    <n v="0"/>
    <n v="0"/>
    <m/>
    <n v="0"/>
    <n v="0"/>
    <n v="0"/>
    <n v="0"/>
    <n v="0"/>
    <n v="-0.71981681832645705"/>
    <n v="0"/>
    <n v="60.051147289550201"/>
    <m/>
    <m/>
    <m/>
    <n v="2160.5364545817661"/>
    <n v="0"/>
    <n v="0"/>
    <n v="-99.987300000000232"/>
    <n v="125.10652000000005"/>
    <n v="0"/>
    <n v="0"/>
    <n v="-332.7602474084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6599999999999999"/>
    <n v="0.36599999999999999"/>
    <n v="0.36599999999999999"/>
    <n v="0.36599999999999999"/>
    <m/>
    <n v="808.48"/>
    <n v="207.07"/>
    <m/>
    <n v="371.69130000000001"/>
    <n v="371.69130000000001"/>
    <n v="374.13252"/>
    <n v="0"/>
    <n v="0"/>
    <n v="0"/>
    <n v="0"/>
    <n v="0"/>
    <n v="73.034262295317632"/>
    <n v="209.97247540545041"/>
    <n v="75.789439104029583"/>
    <n v="0"/>
    <n v="0"/>
    <n v="0"/>
    <n v="0"/>
    <n v="0"/>
    <n v="0"/>
    <m/>
    <n v="1.0192918420865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6819366021696"/>
    <n v="0"/>
    <n v="0.95"/>
    <n v="4.3899999999999997"/>
    <n v="0"/>
    <n v="7"/>
    <m/>
    <m/>
    <m/>
    <m/>
    <m/>
    <m/>
    <m/>
    <m/>
    <m/>
    <n v="87.666258470051275"/>
    <m/>
    <m/>
    <m/>
    <m/>
    <m/>
    <m/>
    <m/>
    <m/>
    <m/>
    <m/>
    <m/>
    <m/>
    <n v="378.22140000000002"/>
    <n v="6.5001000000000317"/>
    <m/>
    <m/>
    <m/>
    <m/>
    <n v="-9.7173000000000247"/>
    <n v="12.158519999999999"/>
    <m/>
    <n v="28.946134571944413"/>
    <n v="0"/>
    <n v="0"/>
    <n v="0"/>
    <n v="0"/>
    <n v="0"/>
    <n v="0"/>
    <n v="0"/>
    <n v="15.707605079347132"/>
    <n v="0"/>
    <n v="0"/>
    <n v="11.505482741409523"/>
    <n v="0"/>
    <n v="0"/>
    <n v="0"/>
    <n v="1.8030023952417924"/>
    <n v="0"/>
    <n v="0"/>
    <m/>
    <n v="0"/>
    <n v="0"/>
    <n v="0"/>
    <n v="0"/>
    <n v="0"/>
    <n v="-6.9955644054031874E-2"/>
    <n v="0"/>
    <n v="5.8360913191649955"/>
    <m/>
    <m/>
    <m/>
    <n v="209.97247540545041"/>
    <n v="0"/>
    <n v="0"/>
    <n v="-9.7173000000000229"/>
    <n v="12.15852000000001"/>
    <n v="0"/>
    <n v="0"/>
    <n v="-32.33941862759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6"/>
    <s v="Regular"/>
    <s v="Branca"/>
    <s v="B1"/>
    <s v="Residencial"/>
    <s v="Residencial"/>
    <s v="Não se aplica"/>
    <s v="Não se aplica"/>
    <s v="Fora ponta"/>
    <s v="CATIVO"/>
    <x v="8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m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68"/>
    <s v="Regular"/>
    <s v="Convencional"/>
    <s v="B3"/>
    <s v="Industrial"/>
    <s v="Não se aplica"/>
    <s v="Não se aplica"/>
    <s v="Não se aplica"/>
    <s v="Não se aplica"/>
    <s v="CATIVO"/>
    <x v="8"/>
    <n v="0"/>
    <n v="0"/>
    <n v="7.0010000000000003"/>
    <n v="7.0010000000000003"/>
    <n v="7.0010000000000003"/>
    <n v="7.0010000000000003"/>
    <m/>
    <n v="897.25"/>
    <n v="207.07"/>
    <m/>
    <n v="7731.3443200000002"/>
    <n v="7731.3443200000002"/>
    <n v="7754.7976699999999"/>
    <n v="0"/>
    <n v="551.40052534917163"/>
    <n v="0"/>
    <n v="0"/>
    <n v="0"/>
    <n v="1397.0297003538765"/>
    <n v="4016.440711239231"/>
    <n v="1449.7318665773528"/>
    <n v="0"/>
    <n v="0"/>
    <n v="0"/>
    <n v="0"/>
    <n v="0"/>
    <n v="70.07251641559435"/>
    <m/>
    <n v="19.49743766789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8473328283579"/>
    <n v="0"/>
    <n v="3.8"/>
    <n v="17.54"/>
    <n v="0"/>
    <n v="10"/>
    <m/>
    <m/>
    <m/>
    <m/>
    <m/>
    <m/>
    <m/>
    <m/>
    <m/>
    <n v="1676.9165998601886"/>
    <m/>
    <m/>
    <m/>
    <m/>
    <m/>
    <m/>
    <m/>
    <m/>
    <m/>
    <m/>
    <m/>
    <m/>
    <n v="7753.69"/>
    <n v="22.315679999998792"/>
    <m/>
    <m/>
    <m/>
    <m/>
    <n v="-209.11987000000005"/>
    <n v="232.57321999999999"/>
    <m/>
    <n v="519.53804667994291"/>
    <n v="0"/>
    <n v="0"/>
    <n v="0"/>
    <n v="0"/>
    <n v="0"/>
    <n v="0"/>
    <n v="0"/>
    <n v="300.46159333472474"/>
    <n v="0"/>
    <n v="0"/>
    <n v="220.08165211095093"/>
    <n v="0"/>
    <n v="0"/>
    <n v="0"/>
    <n v="34.488578604064969"/>
    <n v="0"/>
    <n v="-30.285040114890421"/>
    <m/>
    <n v="0"/>
    <n v="0"/>
    <n v="0"/>
    <n v="0"/>
    <n v="-3.8705966428238412"/>
    <n v="-1.3381406120827215"/>
    <n v="0"/>
    <n v="122.52310431858862"/>
    <m/>
    <m/>
    <m/>
    <n v="4016.440711239231"/>
    <n v="0"/>
    <n v="0"/>
    <n v="-209.11986999999954"/>
    <n v="232.57321999999999"/>
    <n v="0"/>
    <n v="0"/>
    <n v="-618.601830086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m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.27"/>
    <n v="1.27"/>
    <n v="1.27"/>
    <n v="1.27"/>
    <m/>
    <n v="4750.8599999999997"/>
    <n v="207.07"/>
    <m/>
    <n v="6296.5711000000001"/>
    <n v="6296.5711000000001"/>
    <n v="6134.0619000000006"/>
    <n v="0"/>
    <n v="87.022202607955876"/>
    <n v="0"/>
    <n v="0"/>
    <n v="0"/>
    <n v="1634.9186376095126"/>
    <n v="4279.0792988826552"/>
    <n v="262.98521219157806"/>
    <n v="0"/>
    <n v="0"/>
    <n v="0"/>
    <n v="0"/>
    <n v="0"/>
    <n v="12.711340643880135"/>
    <m/>
    <n v="2.29786072567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2080741073579"/>
    <n v="0"/>
    <n v="0"/>
    <n v="0"/>
    <n v="0"/>
    <n v="0"/>
    <m/>
    <m/>
    <m/>
    <m/>
    <m/>
    <m/>
    <m/>
    <m/>
    <m/>
    <n v="280.54729293265166"/>
    <m/>
    <m/>
    <m/>
    <m/>
    <m/>
    <m/>
    <m/>
    <m/>
    <m/>
    <m/>
    <m/>
    <m/>
    <n v="6134.0619000000006"/>
    <n v="-162.53920000000016"/>
    <m/>
    <m/>
    <m/>
    <m/>
    <n v="-204.69859999999923"/>
    <n v="42.189399999999999"/>
    <m/>
    <n v="388.57481147171029"/>
    <n v="0"/>
    <n v="0"/>
    <n v="0"/>
    <n v="0"/>
    <n v="0"/>
    <n v="0"/>
    <n v="0"/>
    <n v="351.62477841693089"/>
    <n v="0"/>
    <n v="0"/>
    <n v="39.923396397787144"/>
    <n v="0"/>
    <n v="0"/>
    <n v="0"/>
    <n v="2.6660735223586727"/>
    <n v="0"/>
    <n v="-4.7795944612115733"/>
    <m/>
    <n v="0"/>
    <n v="0"/>
    <n v="0"/>
    <n v="0"/>
    <n v="-0.70213651426743162"/>
    <n v="-0.15770588988691614"/>
    <n v="0"/>
    <n v="107.96821604172281"/>
    <m/>
    <m/>
    <m/>
    <n v="4279.0792988826552"/>
    <n v="0"/>
    <n v="0"/>
    <n v="-204.69859999999971"/>
    <n v="42.189399999999978"/>
    <n v="0"/>
    <n v="0"/>
    <n v="-659.052747366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8"/>
    <n v="0"/>
    <n v="0"/>
    <n v="122.976"/>
    <n v="122.976"/>
    <n v="122.976"/>
    <n v="122.976"/>
    <m/>
    <n v="94.17"/>
    <n v="207.07"/>
    <m/>
    <n v="37045.290240000002"/>
    <n v="37045.290240000002"/>
    <n v="41045.699519999995"/>
    <n v="0"/>
    <n v="8426.4900692251813"/>
    <n v="0"/>
    <n v="0"/>
    <n v="0"/>
    <n v="0"/>
    <n v="0"/>
    <n v="25465.251538953937"/>
    <n v="0"/>
    <n v="0"/>
    <n v="0"/>
    <n v="0"/>
    <n v="0"/>
    <n v="1230.858131513231"/>
    <m/>
    <n v="222.5052918110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0.562552137216"/>
    <n v="0"/>
    <n v="0"/>
    <n v="0"/>
    <n v="0"/>
    <n v="0"/>
    <m/>
    <m/>
    <m/>
    <m/>
    <m/>
    <m/>
    <m/>
    <m/>
    <m/>
    <n v="27165.814091091153"/>
    <m/>
    <m/>
    <m/>
    <m/>
    <m/>
    <m/>
    <m/>
    <m/>
    <m/>
    <m/>
    <m/>
    <m/>
    <n v="41047.034599999999"/>
    <n v="4001.7143599999981"/>
    <m/>
    <m/>
    <m/>
    <m/>
    <n v="-84.853439999999722"/>
    <n v="4085.2627199999997"/>
    <m/>
    <n v="3577.9269802713534"/>
    <n v="0"/>
    <n v="0"/>
    <n v="0"/>
    <n v="0"/>
    <n v="0"/>
    <n v="0"/>
    <n v="0"/>
    <n v="0"/>
    <n v="0"/>
    <n v="0"/>
    <n v="3865.8422011136026"/>
    <n v="0"/>
    <n v="0"/>
    <n v="0"/>
    <n v="258.15988778392148"/>
    <n v="0"/>
    <n v="-462.81528225350667"/>
    <m/>
    <n v="0"/>
    <n v="0"/>
    <n v="0"/>
    <n v="0"/>
    <n v="-67.988929116969757"/>
    <n v="-15.270897255695587"/>
    <n v="0"/>
    <n v="421.95819321524272"/>
    <m/>
    <m/>
    <m/>
    <n v="0"/>
    <n v="0"/>
    <n v="0"/>
    <n v="-84.853439999998955"/>
    <n v="4085.2627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Não se aplica"/>
    <s v="CATIVO"/>
    <x v="8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m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73"/>
    <s v="Regular"/>
    <s v="Convencional"/>
    <s v="B3"/>
    <s v="Comercial"/>
    <s v="Não se aplica"/>
    <s v="Não se aplica"/>
    <s v="Não se aplica"/>
    <s v="Não se aplica"/>
    <s v="CATIVO"/>
    <x v="8"/>
    <n v="0"/>
    <n v="0"/>
    <n v="108.366"/>
    <n v="108.366"/>
    <n v="108.366"/>
    <n v="108.366"/>
    <m/>
    <n v="897.25"/>
    <n v="207.07"/>
    <m/>
    <n v="119670.74112000001"/>
    <n v="119670.74112000001"/>
    <n v="120033.76722000001"/>
    <n v="0"/>
    <n v="8534.9334852147294"/>
    <n v="0"/>
    <n v="0"/>
    <n v="0"/>
    <n v="21624.128054356257"/>
    <n v="62169.06357865312"/>
    <n v="22439.886223899644"/>
    <n v="0"/>
    <n v="0"/>
    <n v="0"/>
    <n v="0"/>
    <n v="0"/>
    <n v="1084.6276694604053"/>
    <m/>
    <n v="301.793933769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6.5120421265219"/>
    <n v="0"/>
    <n v="194.73"/>
    <n v="900.03"/>
    <n v="0"/>
    <n v="237"/>
    <m/>
    <m/>
    <m/>
    <m/>
    <m/>
    <m/>
    <m/>
    <m/>
    <m/>
    <n v="25956.398266026168"/>
    <m/>
    <m/>
    <m/>
    <m/>
    <m/>
    <m/>
    <m/>
    <m/>
    <m/>
    <m/>
    <m/>
    <m/>
    <n v="120038.1979"/>
    <n v="367.42678000000888"/>
    <m/>
    <m/>
    <m/>
    <m/>
    <n v="-3236.8924200000006"/>
    <n v="3599.9185199999997"/>
    <m/>
    <n v="8041.7454601512363"/>
    <n v="0"/>
    <n v="0"/>
    <n v="0"/>
    <n v="0"/>
    <n v="0"/>
    <n v="0"/>
    <n v="0"/>
    <n v="4650.7386120998126"/>
    <n v="0"/>
    <n v="0"/>
    <n v="3406.565963813071"/>
    <n v="0"/>
    <n v="0"/>
    <n v="0"/>
    <n v="533.83649607314783"/>
    <n v="0"/>
    <n v="-468.77141223971012"/>
    <m/>
    <n v="0"/>
    <n v="0"/>
    <n v="0"/>
    <n v="0"/>
    <n v="-59.911594885908926"/>
    <n v="-20.712604709178152"/>
    <n v="0"/>
    <n v="1896.4917472629875"/>
    <m/>
    <m/>
    <m/>
    <n v="62169.06357865312"/>
    <n v="0"/>
    <n v="0"/>
    <n v="-3236.8924200000038"/>
    <n v="3599.9185199999993"/>
    <n v="0"/>
    <n v="0"/>
    <n v="-9575.118685785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165"/>
    <n v="1.165"/>
    <n v="1.165"/>
    <n v="1.165"/>
    <m/>
    <n v="897.25"/>
    <n v="207.07"/>
    <m/>
    <n v="1286.5328000000002"/>
    <n v="1286.5328000000002"/>
    <n v="1290.4355500000001"/>
    <n v="0"/>
    <n v="91.755693762574609"/>
    <n v="0"/>
    <n v="0"/>
    <n v="0"/>
    <n v="232.47244692362034"/>
    <n v="668.35501051188453"/>
    <n v="241.24234031747122"/>
    <n v="0"/>
    <n v="0"/>
    <n v="0"/>
    <n v="0"/>
    <n v="0"/>
    <n v="11.660403031590834"/>
    <m/>
    <n v="3.244467202269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629949222068"/>
    <n v="0"/>
    <n v="3.24"/>
    <n v="15"/>
    <n v="0"/>
    <n v="7"/>
    <m/>
    <m/>
    <m/>
    <m/>
    <m/>
    <m/>
    <m/>
    <m/>
    <m/>
    <n v="279.04697026669328"/>
    <m/>
    <m/>
    <m/>
    <m/>
    <m/>
    <m/>
    <m/>
    <m/>
    <m/>
    <m/>
    <m/>
    <m/>
    <n v="1295.9739"/>
    <n v="9.4110999999998057"/>
    <m/>
    <m/>
    <m/>
    <m/>
    <n v="-34.798550000000006"/>
    <n v="38.701300000000003"/>
    <m/>
    <n v="86.453624393962968"/>
    <n v="0"/>
    <n v="0"/>
    <n v="0"/>
    <n v="0"/>
    <n v="0"/>
    <n v="0"/>
    <n v="0"/>
    <n v="49.998251140544824"/>
    <n v="0"/>
    <n v="0"/>
    <n v="36.62264315230081"/>
    <n v="0"/>
    <n v="0"/>
    <n v="0"/>
    <n v="5.7390650012477806"/>
    <n v="0"/>
    <n v="-5.0395760225463846"/>
    <m/>
    <n v="0"/>
    <n v="0"/>
    <n v="0"/>
    <n v="0"/>
    <n v="-0.64408585757603021"/>
    <n v="-0.222673020008052"/>
    <n v="0"/>
    <n v="20.388432585510035"/>
    <m/>
    <m/>
    <m/>
    <n v="668.35501051188453"/>
    <n v="0"/>
    <n v="0"/>
    <n v="-34.798550000000091"/>
    <n v="38.701300000000032"/>
    <n v="0"/>
    <n v="0"/>
    <n v="-102.938313391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5"/>
    <s v="Regular"/>
    <s v="Azul"/>
    <s v="A4"/>
    <s v="Comercial"/>
    <s v="Não se aplica"/>
    <s v="Não se aplica"/>
    <s v="Não se aplica"/>
    <s v="Ponta"/>
    <s v="CATIVO"/>
    <x v="8"/>
    <n v="100"/>
    <n v="100"/>
    <n v="3.9790000000000001"/>
    <n v="3.9790000000000001"/>
    <n v="3.9790000000000001"/>
    <n v="3.9790000000000001"/>
    <n v="193.63"/>
    <n v="94.17"/>
    <n v="207.07"/>
    <n v="19363"/>
    <n v="1198.6339599999999"/>
    <n v="20561.633960000003"/>
    <n v="20023.070830000001"/>
    <n v="0"/>
    <n v="272.64672769846959"/>
    <n v="0"/>
    <n v="0"/>
    <n v="0"/>
    <n v="5352.7545792855199"/>
    <n v="14009.762805225198"/>
    <n v="823.95130654353466"/>
    <n v="0"/>
    <n v="0"/>
    <n v="0"/>
    <n v="0"/>
    <n v="0"/>
    <n v="39.825531040944142"/>
    <m/>
    <n v="7.19936049404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23243518686435"/>
    <n v="0"/>
    <n v="0"/>
    <n v="0"/>
    <n v="0"/>
    <n v="0"/>
    <m/>
    <m/>
    <m/>
    <m/>
    <m/>
    <m/>
    <m/>
    <m/>
    <m/>
    <n v="878.97455006222106"/>
    <m/>
    <m/>
    <m/>
    <m/>
    <m/>
    <m/>
    <m/>
    <m/>
    <m/>
    <m/>
    <m/>
    <m/>
    <n v="20023.404600000002"/>
    <n v="-538.25935999999638"/>
    <m/>
    <m/>
    <m/>
    <m/>
    <n v="-670.74551000000065"/>
    <n v="132.18237999999999"/>
    <m/>
    <n v="1266.9932551713046"/>
    <n v="0"/>
    <n v="0"/>
    <n v="0"/>
    <n v="0"/>
    <n v="0"/>
    <n v="0"/>
    <n v="0"/>
    <n v="1151.2261831043998"/>
    <n v="0"/>
    <n v="0"/>
    <n v="125.08283013133473"/>
    <n v="0"/>
    <n v="0"/>
    <n v="0"/>
    <n v="8.3529972798938275"/>
    <n v="0"/>
    <n v="-14.974808158394353"/>
    <m/>
    <n v="0"/>
    <n v="0"/>
    <n v="0"/>
    <n v="0"/>
    <n v="-2.1998434569055973"/>
    <n v="-0.49410372902365385"/>
    <n v="0"/>
    <n v="352.87536304322612"/>
    <m/>
    <m/>
    <n v="14009.762805225198"/>
    <n v="0"/>
    <n v="0"/>
    <n v="0"/>
    <n v="-670.74551000000065"/>
    <n v="132.1823800000000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6"/>
    <s v="Regular"/>
    <s v="Azul"/>
    <s v="A4"/>
    <s v="Comercial"/>
    <s v="Não se aplica"/>
    <s v="Não se aplica"/>
    <s v="Não se aplica"/>
    <s v="Fora ponta"/>
    <s v="CATIVO"/>
    <x v="8"/>
    <n v="100"/>
    <n v="100"/>
    <n v="36.128999999999998"/>
    <n v="36.128999999999998"/>
    <n v="36.128999999999998"/>
    <n v="36.128999999999998"/>
    <n v="73.75"/>
    <n v="94.17"/>
    <n v="207.07"/>
    <n v="7375"/>
    <n v="10883.499959999999"/>
    <n v="18258.499960000001"/>
    <n v="19499.776330000001"/>
    <n v="0"/>
    <n v="2475.6103606479032"/>
    <n v="0"/>
    <n v="0"/>
    <n v="0"/>
    <n v="2905.8255513392301"/>
    <n v="4469.1623472813199"/>
    <n v="7481.4115994248214"/>
    <n v="0"/>
    <n v="0"/>
    <n v="0"/>
    <n v="0"/>
    <n v="0"/>
    <n v="361.61261899428769"/>
    <m/>
    <n v="65.36961429743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60662605846244"/>
    <n v="0"/>
    <n v="0"/>
    <n v="0"/>
    <n v="0"/>
    <n v="0"/>
    <m/>
    <m/>
    <m/>
    <m/>
    <m/>
    <m/>
    <m/>
    <m/>
    <m/>
    <n v="7981.0182254832835"/>
    <m/>
    <m/>
    <m/>
    <m/>
    <m/>
    <m/>
    <m/>
    <m/>
    <m/>
    <m/>
    <m/>
    <m/>
    <n v="19500.110100000002"/>
    <n v="1241.5801400000055"/>
    <m/>
    <m/>
    <m/>
    <m/>
    <n v="41.070989999999739"/>
    <n v="1200.2053799999999"/>
    <m/>
    <n v="1676.1166300695932"/>
    <n v="0"/>
    <n v="0"/>
    <n v="0"/>
    <n v="0"/>
    <n v="0"/>
    <n v="0"/>
    <n v="0"/>
    <n v="624.9609259466497"/>
    <n v="0"/>
    <n v="0"/>
    <n v="1135.7420381540551"/>
    <n v="0"/>
    <n v="0"/>
    <n v="0"/>
    <n v="75.844543534879108"/>
    <n v="0"/>
    <n v="-135.97005377095456"/>
    <m/>
    <n v="0"/>
    <n v="0"/>
    <n v="0"/>
    <n v="0"/>
    <n v="-19.974401672415752"/>
    <n v="-4.4864221226176326"/>
    <n v="0"/>
    <n v="253.17313232120731"/>
    <m/>
    <m/>
    <n v="4469.1623472813199"/>
    <n v="0"/>
    <n v="0"/>
    <n v="0"/>
    <n v="41.070990000000165"/>
    <n v="1200.2053799999994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7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5.05"/>
    <n v="1407.9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0.77300000000000002"/>
    <n v="0.77300000000000002"/>
    <n v="0.77300000000000002"/>
    <n v="0.77300000000000002"/>
    <m/>
    <n v="4750.8599999999997"/>
    <n v="207.07"/>
    <m/>
    <n v="3832.4798900000001"/>
    <n v="3832.4798900000001"/>
    <n v="3733.5668100000003"/>
    <n v="0"/>
    <n v="52.967057177913297"/>
    <n v="0"/>
    <n v="0"/>
    <n v="0"/>
    <n v="995.1118951749238"/>
    <n v="2604.5104708947188"/>
    <n v="160.0689519874723"/>
    <n v="0"/>
    <n v="0"/>
    <n v="0"/>
    <n v="0"/>
    <n v="0"/>
    <n v="7.7369026123774365"/>
    <m/>
    <n v="1.3986191660970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9360954999902"/>
    <n v="0"/>
    <n v="0"/>
    <n v="0"/>
    <n v="0"/>
    <n v="0"/>
    <m/>
    <m/>
    <m/>
    <m/>
    <m/>
    <m/>
    <m/>
    <m/>
    <m/>
    <n v="170.7583129424722"/>
    <m/>
    <m/>
    <m/>
    <m/>
    <m/>
    <m/>
    <m/>
    <m/>
    <m/>
    <m/>
    <m/>
    <m/>
    <n v="3719.0769"/>
    <n v="-113.4329900000007"/>
    <m/>
    <m/>
    <m/>
    <m/>
    <n v="-124.59213999999953"/>
    <n v="25.67906"/>
    <m/>
    <n v="236.51049548632454"/>
    <n v="0"/>
    <n v="0"/>
    <n v="0"/>
    <n v="0"/>
    <n v="0"/>
    <n v="0"/>
    <n v="0"/>
    <n v="214.0204359970769"/>
    <n v="0"/>
    <n v="0"/>
    <n v="24.299831035818471"/>
    <n v="0"/>
    <n v="0"/>
    <n v="0"/>
    <n v="1.6227360888057127"/>
    <n v="0"/>
    <n v="-2.9091547389894004"/>
    <m/>
    <n v="0"/>
    <n v="0"/>
    <n v="0"/>
    <n v="0"/>
    <n v="-0.42736340592812905"/>
    <n v="-9.5989490458729287E-2"/>
    <n v="0"/>
    <n v="65.716087401773024"/>
    <m/>
    <m/>
    <m/>
    <n v="2604.5104708947188"/>
    <n v="0"/>
    <n v="0"/>
    <n v="-124.59213999999974"/>
    <n v="25.679059999999993"/>
    <n v="0"/>
    <n v="0"/>
    <n v="-401.1399793023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103.928"/>
    <n v="103.928"/>
    <n v="103.928"/>
    <n v="103.928"/>
    <m/>
    <n v="94.17"/>
    <n v="207.07"/>
    <m/>
    <n v="31307.27072"/>
    <n v="31307.27072"/>
    <n v="34688.048559999996"/>
    <n v="0"/>
    <n v="7121.2940729445963"/>
    <n v="0"/>
    <n v="0"/>
    <n v="0"/>
    <n v="0"/>
    <n v="0"/>
    <n v="21520.887506020725"/>
    <n v="0"/>
    <n v="0"/>
    <n v="0"/>
    <n v="0"/>
    <n v="0"/>
    <n v="1040.2080397143106"/>
    <m/>
    <n v="188.0409996043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1589978411771"/>
    <n v="0"/>
    <n v="0"/>
    <n v="0"/>
    <n v="0"/>
    <n v="0"/>
    <m/>
    <m/>
    <m/>
    <m/>
    <m/>
    <m/>
    <m/>
    <m/>
    <m/>
    <n v="22958.0465038619"/>
    <m/>
    <m/>
    <m/>
    <m/>
    <m/>
    <m/>
    <m/>
    <m/>
    <m/>
    <m/>
    <m/>
    <m/>
    <n v="34688.716100000005"/>
    <n v="3381.4153800000058"/>
    <m/>
    <m/>
    <m/>
    <m/>
    <n v="-71.710319999999768"/>
    <n v="3452.4881599999999"/>
    <m/>
    <n v="3023.7346734780876"/>
    <n v="0"/>
    <n v="0"/>
    <n v="0"/>
    <n v="0"/>
    <n v="0"/>
    <n v="0"/>
    <n v="0"/>
    <n v="0"/>
    <n v="0"/>
    <n v="0"/>
    <n v="3267.0541266371838"/>
    <n v="0"/>
    <n v="0"/>
    <n v="0"/>
    <n v="218.17298348952136"/>
    <n v="0"/>
    <n v="-391.12889225574509"/>
    <m/>
    <n v="0"/>
    <n v="0"/>
    <n v="0"/>
    <n v="0"/>
    <n v="-57.457987129752382"/>
    <n v="-12.905557263123967"/>
    <n v="0"/>
    <n v="356.60023992058404"/>
    <m/>
    <m/>
    <m/>
    <n v="0"/>
    <n v="0"/>
    <n v="0"/>
    <n v="-71.710320000000138"/>
    <n v="3452.48815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330"/>
    <n v="330"/>
    <n v="0"/>
    <n v="0"/>
    <n v="0"/>
    <n v="0"/>
    <n v="73.75"/>
    <m/>
    <m/>
    <n v="24337.5"/>
    <m/>
    <n v="24337.5"/>
    <n v="24555.3"/>
    <n v="0"/>
    <n v="0"/>
    <n v="0"/>
    <n v="0"/>
    <n v="0"/>
    <n v="9589.2243194194598"/>
    <n v="14748.2357460283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4555.3"/>
    <n v="217.77000000000407"/>
    <m/>
    <m/>
    <m/>
    <m/>
    <n v="217.79999999999887"/>
    <n v="0"/>
    <m/>
    <n v="2062.3710556239439"/>
    <n v="0"/>
    <n v="0"/>
    <n v="0"/>
    <n v="0"/>
    <m/>
    <m/>
    <m/>
    <n v="2062.3710556239439"/>
    <n v="0"/>
    <n v="0"/>
    <m/>
    <m/>
    <n v="0"/>
    <n v="0"/>
    <n v="0"/>
    <n v="0"/>
    <n v="0"/>
    <m/>
    <n v="0"/>
    <n v="0"/>
    <m/>
    <n v="0"/>
    <n v="0"/>
    <n v="0"/>
    <n v="0"/>
    <n v="426.38126252501013"/>
    <m/>
    <m/>
    <n v="14748.235746028355"/>
    <m/>
    <n v="0"/>
    <n v="0"/>
    <n v="217.79999999999927"/>
    <m/>
    <n v="0"/>
    <m/>
    <n v="-2271.48519770617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Ponta"/>
    <s v="CATIVO"/>
    <x v="8"/>
    <n v="0"/>
    <n v="0"/>
    <n v="3.3000000000000002E-2"/>
    <n v="3.3000000000000002E-2"/>
    <n v="3.3000000000000002E-2"/>
    <n v="3.3000000000000002E-2"/>
    <m/>
    <n v="2482.39"/>
    <n v="207.07"/>
    <m/>
    <n v="88.752179999999996"/>
    <n v="88.752179999999996"/>
    <n v="86.705190000000002"/>
    <n v="0"/>
    <n v="2.5990883211716413"/>
    <n v="0"/>
    <n v="0"/>
    <n v="0"/>
    <n v="20.084446162780793"/>
    <n v="57.742407800728863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"/>
    <n v="0"/>
    <n v="0"/>
    <n v="0"/>
    <m/>
    <m/>
    <m/>
    <m/>
    <m/>
    <m/>
    <m/>
    <m/>
    <m/>
    <n v="7.9043347800865913"/>
    <m/>
    <m/>
    <m/>
    <m/>
    <m/>
    <m/>
    <m/>
    <m/>
    <m/>
    <m/>
    <m/>
    <m/>
    <n v="78.82289999999999"/>
    <n v="-9.959280000000021"/>
    <m/>
    <m/>
    <m/>
    <m/>
    <n v="-3.1432500000000001"/>
    <n v="1.09626"/>
    <m/>
    <n v="5.3522380394625912"/>
    <n v="0"/>
    <n v="0"/>
    <n v="0"/>
    <n v="0"/>
    <n v="0"/>
    <n v="0"/>
    <n v="0"/>
    <n v="4.3195965653314303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1.4939713173507119"/>
    <m/>
    <m/>
    <m/>
    <n v="57.742407800728863"/>
    <n v="0"/>
    <n v="0"/>
    <n v="-3.1432499999999948"/>
    <n v="1.09626"/>
    <n v="0"/>
    <n v="0"/>
    <n v="-8.893336590079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2"/>
    <s v="Regular"/>
    <s v="Branca"/>
    <s v="B3"/>
    <s v="Comercial"/>
    <s v="Não se aplica"/>
    <s v="Não se aplica"/>
    <s v="Não se aplica"/>
    <s v="Fora ponta"/>
    <s v="CATIVO"/>
    <x v="8"/>
    <n v="0"/>
    <n v="0"/>
    <n v="0.21299999999999999"/>
    <n v="0.21299999999999999"/>
    <n v="0.21299999999999999"/>
    <n v="0.21299999999999999"/>
    <m/>
    <n v="595.67999999999995"/>
    <n v="207.07"/>
    <m/>
    <n v="170.98575"/>
    <n v="170.98575"/>
    <n v="174.34902"/>
    <n v="0"/>
    <n v="16.775933709380595"/>
    <n v="0"/>
    <n v="0"/>
    <n v="0"/>
    <n v="25.926945956846858"/>
    <n v="74.540220772615484"/>
    <n v="44.10696865890246"/>
    <n v="0"/>
    <n v="0"/>
    <n v="0"/>
    <n v="0"/>
    <n v="0"/>
    <n v="2.1319020135011564"/>
    <m/>
    <n v="0.5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119194671109865"/>
    <n v="0"/>
    <n v="0"/>
    <n v="0"/>
    <n v="0"/>
    <n v="0"/>
    <m/>
    <m/>
    <m/>
    <m/>
    <m/>
    <m/>
    <m/>
    <m/>
    <m/>
    <n v="51.018888126013444"/>
    <m/>
    <m/>
    <m/>
    <m/>
    <m/>
    <m/>
    <m/>
    <m/>
    <m/>
    <m/>
    <m/>
    <m/>
    <n v="171.89339999999999"/>
    <n v="0.87765000000001692"/>
    <m/>
    <m/>
    <m/>
    <m/>
    <n v="-3.7125899999999894"/>
    <n v="7.0758599999999996"/>
    <m/>
    <n v="12.241384431651866"/>
    <n v="0"/>
    <n v="0"/>
    <n v="0"/>
    <n v="0"/>
    <n v="0"/>
    <n v="0"/>
    <n v="0"/>
    <n v="5.5761530986235357"/>
    <n v="0"/>
    <n v="0"/>
    <n v="6.6958137265580007"/>
    <n v="0"/>
    <n v="0"/>
    <n v="0"/>
    <n v="1.049288279198092"/>
    <n v="0"/>
    <n v="-0.92139887794196085"/>
    <m/>
    <n v="0"/>
    <n v="0"/>
    <n v="0"/>
    <n v="0"/>
    <n v="-0.11775990357398625"/>
    <n v="-4.0711891211772655E-2"/>
    <n v="0"/>
    <n v="2.6023291446837216"/>
    <m/>
    <m/>
    <m/>
    <n v="74.540220772615484"/>
    <n v="0"/>
    <n v="0"/>
    <n v="-3.7125899999999916"/>
    <n v="7.0758600000000058"/>
    <n v="0"/>
    <n v="0"/>
    <n v="-11.48049238122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84"/>
    <s v="Regular"/>
    <s v="Branca"/>
    <s v="B3"/>
    <s v="Comercial"/>
    <s v="Não se aplica"/>
    <s v="Não se aplica"/>
    <s v="Não se aplica"/>
    <s v="Intermediário"/>
    <s v="CATIVO"/>
    <x v="8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m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5"/>
    <s v="Regular"/>
    <s v="Convencional"/>
    <s v="B2"/>
    <s v="Rural"/>
    <s v="Não se aplica"/>
    <s v="Não se aplica"/>
    <s v="Não se aplica"/>
    <s v="Não se aplica"/>
    <s v="CATIVO"/>
    <x v="8"/>
    <n v="0"/>
    <n v="0"/>
    <n v="38.148000000000003"/>
    <n v="38.148000000000003"/>
    <n v="38.148000000000003"/>
    <n v="38.148000000000003"/>
    <m/>
    <n v="897.25"/>
    <n v="207.07"/>
    <m/>
    <n v="42127.599360000007"/>
    <n v="42127.599360000007"/>
    <n v="42255.39516"/>
    <n v="0"/>
    <n v="3004.5460992744179"/>
    <n v="0"/>
    <n v="0"/>
    <n v="0"/>
    <n v="7612.325240551304"/>
    <n v="21885.327846358261"/>
    <n v="7899.495964318362"/>
    <n v="0"/>
    <n v="0"/>
    <n v="0"/>
    <n v="0"/>
    <n v="0"/>
    <n v="381.82064793916493"/>
    <m/>
    <n v="106.2402874096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50414617368"/>
    <n v="0"/>
    <n v="44.1"/>
    <n v="203.73"/>
    <n v="0"/>
    <n v="145"/>
    <m/>
    <m/>
    <m/>
    <m/>
    <m/>
    <n v="5070.632160000001"/>
    <m/>
    <m/>
    <m/>
    <n v="9137.411005780099"/>
    <m/>
    <m/>
    <m/>
    <m/>
    <m/>
    <m/>
    <m/>
    <m/>
    <m/>
    <m/>
    <m/>
    <m/>
    <n v="37186.712499999994"/>
    <n v="114.07461999999214"/>
    <m/>
    <m/>
    <m/>
    <m/>
    <n v="-1139.4807600000004"/>
    <n v="1267.27656"/>
    <m/>
    <n v="2830.9294964642904"/>
    <n v="0"/>
    <n v="0"/>
    <n v="0"/>
    <n v="0"/>
    <n v="0"/>
    <n v="0"/>
    <n v="0"/>
    <n v="1637.1959523686737"/>
    <n v="0"/>
    <n v="0"/>
    <n v="1199.2108077029798"/>
    <n v="0"/>
    <n v="0"/>
    <n v="0"/>
    <n v="187.92605293356269"/>
    <n v="0"/>
    <n v="-165.02124129450658"/>
    <m/>
    <n v="0"/>
    <n v="0"/>
    <n v="0"/>
    <n v="0"/>
    <n v="-21.09063287108188"/>
    <n v="-7.2914423753366293"/>
    <n v="0"/>
    <n v="667.62053757256388"/>
    <m/>
    <m/>
    <m/>
    <n v="21885.327846358261"/>
    <n v="0"/>
    <n v="0"/>
    <n v="-1139.4807600000058"/>
    <n v="1267.2765600000002"/>
    <n v="0"/>
    <n v="0"/>
    <n v="-3370.721698921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2010000000000001"/>
    <n v="3.2010000000000001"/>
    <n v="3.2010000000000001"/>
    <n v="3.2010000000000001"/>
    <m/>
    <n v="897.25"/>
    <n v="207.07"/>
    <m/>
    <n v="3534.92832"/>
    <n v="3534.92832"/>
    <n v="3545.6516700000002"/>
    <n v="0"/>
    <n v="252.11156715364922"/>
    <n v="0"/>
    <n v="0"/>
    <n v="0"/>
    <n v="638.75047433691736"/>
    <n v="1836.3986168657018"/>
    <n v="662.84697970491447"/>
    <n v="0"/>
    <n v="0"/>
    <n v="0"/>
    <n v="0"/>
    <n v="0"/>
    <n v="32.038583780362451"/>
    <m/>
    <n v="8.9146261926747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7349396348483"/>
    <n v="0"/>
    <n v="0"/>
    <n v="0"/>
    <n v="0"/>
    <n v="7"/>
    <m/>
    <m/>
    <m/>
    <m/>
    <m/>
    <n v="425.47692000000006"/>
    <m/>
    <m/>
    <m/>
    <n v="766.72047366839934"/>
    <m/>
    <m/>
    <m/>
    <m/>
    <m/>
    <m/>
    <m/>
    <m/>
    <m/>
    <m/>
    <m/>
    <m/>
    <n v="3119.2"/>
    <n v="8.406189999999242"/>
    <m/>
    <m/>
    <m/>
    <m/>
    <n v="-95.61387000000002"/>
    <n v="106.33722"/>
    <m/>
    <n v="237.54339200435629"/>
    <n v="0"/>
    <n v="0"/>
    <n v="0"/>
    <n v="0"/>
    <n v="0"/>
    <n v="0"/>
    <n v="0"/>
    <n v="137.37716901363433"/>
    <n v="0"/>
    <n v="0"/>
    <n v="100.62582036954063"/>
    <n v="0"/>
    <n v="0"/>
    <n v="0"/>
    <n v="15.768881604286818"/>
    <n v="0"/>
    <n v="-13.846938067099586"/>
    <m/>
    <n v="0"/>
    <n v="0"/>
    <n v="0"/>
    <n v="0"/>
    <n v="-1.7697157339921645"/>
    <n v="-0.61182518201354164"/>
    <n v="0"/>
    <n v="56.020062408770492"/>
    <m/>
    <m/>
    <m/>
    <n v="1836.3986168657018"/>
    <n v="0"/>
    <n v="0"/>
    <n v="-95.613870000000134"/>
    <n v="106.33722"/>
    <n v="0"/>
    <n v="0"/>
    <n v="-282.8373743904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2.812999999999999"/>
    <n v="22.812999999999999"/>
    <n v="22.812999999999999"/>
    <n v="22.812999999999999"/>
    <m/>
    <n v="897.25"/>
    <n v="207.07"/>
    <m/>
    <n v="25192.852159999995"/>
    <n v="25192.852159999995"/>
    <n v="25269.275709999998"/>
    <n v="0"/>
    <n v="1796.7576324511713"/>
    <n v="0"/>
    <n v="0"/>
    <n v="0"/>
    <n v="4552.2694692433906"/>
    <n v="13087.710604985083"/>
    <n v="4724.0012958476136"/>
    <n v="0"/>
    <n v="0"/>
    <n v="0"/>
    <n v="0"/>
    <n v="0"/>
    <n v="228.33371189672243"/>
    <m/>
    <n v="63.53307320633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28929015588233"/>
    <n v="0"/>
    <n v="192.17"/>
    <n v="887.6"/>
    <n v="0"/>
    <n v="31"/>
    <m/>
    <m/>
    <m/>
    <m/>
    <m/>
    <m/>
    <m/>
    <m/>
    <m/>
    <n v="5464.2905860034962"/>
    <m/>
    <m/>
    <m/>
    <m/>
    <m/>
    <m/>
    <m/>
    <m/>
    <m/>
    <m/>
    <m/>
    <m/>
    <n v="25265.952699999998"/>
    <n v="73.070540000007895"/>
    <m/>
    <m/>
    <m/>
    <m/>
    <n v="-681.4243100000001"/>
    <n v="757.84785999999997"/>
    <m/>
    <n v="1692.9326466089915"/>
    <n v="0"/>
    <n v="0"/>
    <n v="0"/>
    <n v="0"/>
    <n v="0"/>
    <n v="0"/>
    <n v="0"/>
    <n v="979.06446632553616"/>
    <n v="0"/>
    <n v="0"/>
    <n v="717.14365513599842"/>
    <n v="0"/>
    <n v="0"/>
    <n v="0"/>
    <n v="112.38222306735247"/>
    <n v="0"/>
    <n v="-98.684847899013675"/>
    <m/>
    <n v="0"/>
    <n v="0"/>
    <n v="0"/>
    <n v="0"/>
    <n v="-12.612472677151885"/>
    <n v="-4.3603773437284872"/>
    <n v="0"/>
    <n v="399.24576186544238"/>
    <m/>
    <m/>
    <m/>
    <n v="13087.710604985083"/>
    <n v="0"/>
    <n v="0"/>
    <n v="-681.42430999999851"/>
    <n v="757.84785999999986"/>
    <n v="0"/>
    <n v="0"/>
    <n v="-2015.735402052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41.02600000000001"/>
    <n v="241.02600000000001"/>
    <n v="241.02600000000001"/>
    <n v="241.02600000000001"/>
    <m/>
    <n v="493.49"/>
    <n v="113.89"/>
    <m/>
    <n v="146394.37187999999"/>
    <n v="146394.37187999999"/>
    <n v="146837.85972000001"/>
    <n v="0"/>
    <n v="10440.797694978595"/>
    <n v="0"/>
    <n v="0"/>
    <n v="0"/>
    <n v="26452.830210915839"/>
    <n v="76051.514266095037"/>
    <n v="27450.74847600632"/>
    <n v="0"/>
    <n v="0"/>
    <n v="0"/>
    <n v="0"/>
    <n v="0"/>
    <n v="1326.8267515885968"/>
    <m/>
    <n v="369.1849987483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1.7547690795318"/>
    <n v="0"/>
    <n v="1221.49"/>
    <n v="5637.68"/>
    <n v="0"/>
    <n v="3"/>
    <m/>
    <m/>
    <m/>
    <m/>
    <m/>
    <m/>
    <m/>
    <m/>
    <m/>
    <n v="31752.503245085853"/>
    <m/>
    <m/>
    <m/>
    <m/>
    <m/>
    <m/>
    <m/>
    <m/>
    <m/>
    <m/>
    <m/>
    <m/>
    <n v="146840.2966"/>
    <n v="445.89472000001115"/>
    <m/>
    <m/>
    <m/>
    <m/>
    <n v="-3960.0571800000016"/>
    <n v="4403.5450199999996"/>
    <m/>
    <n v="9837.4800002132251"/>
    <n v="0"/>
    <n v="0"/>
    <n v="0"/>
    <n v="0"/>
    <n v="0"/>
    <n v="0"/>
    <n v="0"/>
    <n v="5689.2559344810397"/>
    <n v="0"/>
    <n v="0"/>
    <n v="4167.2575567677559"/>
    <n v="0"/>
    <n v="0"/>
    <n v="0"/>
    <n v="653.0430339441391"/>
    <n v="0"/>
    <n v="-573.44881349840762"/>
    <m/>
    <n v="0"/>
    <n v="0"/>
    <n v="0"/>
    <n v="0"/>
    <n v="-73.289949227008719"/>
    <n v="-25.337762254294887"/>
    <n v="0"/>
    <n v="2319.9813680646635"/>
    <m/>
    <m/>
    <m/>
    <n v="76051.514266095037"/>
    <n v="0"/>
    <n v="0"/>
    <n v="-3960.0571799999889"/>
    <n v="4403.5450199999977"/>
    <n v="0"/>
    <n v="0"/>
    <n v="-11713.25790375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467000000000001"/>
    <n v="13.598979999999999"/>
    <n v="14.467000000000001"/>
    <n v="13.598979999999999"/>
    <m/>
    <n v="897.25"/>
    <n v="207.07"/>
    <m/>
    <n v="15976.19744"/>
    <n v="15976.19744"/>
    <n v="16024.661889999999"/>
    <n v="0"/>
    <n v="1139.4245679512162"/>
    <n v="0"/>
    <n v="0"/>
    <n v="0"/>
    <n v="2886.8488323124598"/>
    <n v="8299.6497313952223"/>
    <n v="2995.7535943114644"/>
    <n v="0"/>
    <n v="0"/>
    <n v="0"/>
    <n v="0"/>
    <n v="0"/>
    <n v="144.79918511418418"/>
    <m/>
    <n v="40.2898772662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45886821922375"/>
    <n v="0"/>
    <n v="10.51"/>
    <n v="48.52"/>
    <n v="0"/>
    <n v="2"/>
    <m/>
    <m/>
    <m/>
    <m/>
    <n v="961.47971340000151"/>
    <m/>
    <m/>
    <m/>
    <m/>
    <n v="3465.2124625306883"/>
    <m/>
    <m/>
    <m/>
    <m/>
    <m/>
    <m/>
    <m/>
    <m/>
    <m/>
    <m/>
    <m/>
    <m/>
    <n v="15064.312"/>
    <n v="46.656406400001288"/>
    <m/>
    <m/>
    <m/>
    <m/>
    <n v="-432.12929000000008"/>
    <n v="480.59374000000003"/>
    <m/>
    <n v="1073.5833339978217"/>
    <n v="0"/>
    <n v="0"/>
    <n v="0"/>
    <n v="0"/>
    <n v="0"/>
    <n v="0"/>
    <n v="0"/>
    <n v="620.87957017189865"/>
    <n v="0"/>
    <n v="0"/>
    <n v="454.78092573762706"/>
    <n v="0"/>
    <n v="0"/>
    <n v="0"/>
    <n v="71.26785697257651"/>
    <n v="0"/>
    <n v="-62.581584822470859"/>
    <m/>
    <n v="0"/>
    <n v="0"/>
    <n v="0"/>
    <n v="0"/>
    <n v="-7.9982747652810247"/>
    <n v="-2.7651592965291769"/>
    <n v="0"/>
    <n v="253.18408087087869"/>
    <m/>
    <m/>
    <m/>
    <n v="8299.6497313952223"/>
    <n v="0"/>
    <n v="0"/>
    <n v="-432.12929000000076"/>
    <n v="480.59374000000025"/>
    <n v="0"/>
    <n v="0"/>
    <n v="-1278.290626462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651"/>
    <n v="1.5519400000000001"/>
    <n v="1.651"/>
    <n v="1.5519400000000001"/>
    <m/>
    <n v="4750.8599999999997"/>
    <n v="207.07"/>
    <m/>
    <n v="8185.5424299999995"/>
    <n v="8185.5424299999995"/>
    <n v="7974.2804700000006"/>
    <n v="0"/>
    <n v="113.12886339034263"/>
    <n v="0"/>
    <n v="0"/>
    <n v="0"/>
    <n v="2125.3942288923663"/>
    <n v="5562.8030885474518"/>
    <n v="341.88077584905147"/>
    <n v="0"/>
    <n v="0"/>
    <n v="0"/>
    <n v="0"/>
    <n v="0"/>
    <n v="16.524742837044176"/>
    <m/>
    <n v="2.9872189433715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30704963395654"/>
    <n v="0"/>
    <n v="0"/>
    <n v="0"/>
    <n v="0"/>
    <n v="0"/>
    <m/>
    <m/>
    <m/>
    <m/>
    <n v="478.45682819999968"/>
    <m/>
    <m/>
    <m/>
    <m/>
    <n v="364.71148081244712"/>
    <m/>
    <m/>
    <m/>
    <m/>
    <m/>
    <m/>
    <m/>
    <m/>
    <m/>
    <m/>
    <m/>
    <m/>
    <n v="7486.4535000000005"/>
    <n v="-207.98638420000043"/>
    <m/>
    <m/>
    <m/>
    <m/>
    <n v="-266.10817999999898"/>
    <n v="54.846220000000002"/>
    <m/>
    <n v="505.14725491322451"/>
    <n v="0"/>
    <n v="0"/>
    <n v="0"/>
    <n v="0"/>
    <n v="0"/>
    <n v="0"/>
    <n v="0"/>
    <n v="457.11221194201016"/>
    <n v="0"/>
    <n v="0"/>
    <n v="51.900415317123247"/>
    <n v="0"/>
    <n v="0"/>
    <n v="0"/>
    <n v="3.4658955790662738"/>
    <n v="0"/>
    <n v="-6.2134727995750296"/>
    <m/>
    <n v="0"/>
    <n v="0"/>
    <n v="0"/>
    <n v="0"/>
    <n v="-0.91277746854766129"/>
    <n v="-0.20501765685299089"/>
    <n v="0"/>
    <n v="140.35868085423965"/>
    <m/>
    <m/>
    <m/>
    <n v="5562.8030885474518"/>
    <n v="0"/>
    <n v="0"/>
    <n v="-266.10817999999927"/>
    <n v="54.846220000000017"/>
    <n v="0"/>
    <n v="0"/>
    <n v="-856.7685715759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6.783999999999999"/>
    <n v="15.776960000000001"/>
    <n v="16.783999999999999"/>
    <n v="15.776960000000001"/>
    <m/>
    <n v="94.17"/>
    <n v="207.07"/>
    <m/>
    <n v="5056.0121599999993"/>
    <n v="5056.0121599999993"/>
    <n v="5601.99568"/>
    <n v="0"/>
    <n v="1150.0635028125444"/>
    <n v="0"/>
    <n v="0"/>
    <n v="0"/>
    <n v="0"/>
    <n v="0"/>
    <n v="3475.5463003334216"/>
    <n v="0"/>
    <n v="0"/>
    <n v="0"/>
    <n v="0"/>
    <n v="0"/>
    <n v="167.98987509203479"/>
    <m/>
    <n v="30.36794836193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09603398281806"/>
    <n v="0"/>
    <n v="0"/>
    <n v="0"/>
    <n v="0"/>
    <n v="0"/>
    <m/>
    <m/>
    <m/>
    <m/>
    <n v="336.11974079999936"/>
    <m/>
    <m/>
    <m/>
    <m/>
    <n v="3707.6423343162396"/>
    <m/>
    <m/>
    <m/>
    <m/>
    <m/>
    <m/>
    <m/>
    <m/>
    <m/>
    <m/>
    <m/>
    <m/>
    <n v="5266.8905999999997"/>
    <n v="514.20916959999977"/>
    <m/>
    <m/>
    <m/>
    <m/>
    <n v="-11.580959999999962"/>
    <n v="557.56447999999989"/>
    <m/>
    <n v="488.32232660742193"/>
    <n v="0"/>
    <n v="0"/>
    <n v="0"/>
    <n v="0"/>
    <n v="0"/>
    <n v="0"/>
    <n v="0"/>
    <n v="0"/>
    <n v="0"/>
    <n v="0"/>
    <n v="527.61754735469231"/>
    <n v="0"/>
    <n v="0"/>
    <n v="0"/>
    <n v="35.23415590493542"/>
    <n v="0"/>
    <n v="-63.165916092106272"/>
    <m/>
    <n v="0"/>
    <n v="0"/>
    <n v="0"/>
    <n v="0"/>
    <n v="-9.279259256271331"/>
    <n v="-2.0842013038283476"/>
    <n v="0"/>
    <n v="57.589662331874784"/>
    <m/>
    <m/>
    <m/>
    <n v="0"/>
    <n v="0"/>
    <n v="0"/>
    <n v="-11.580960000000005"/>
    <n v="557.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2"/>
    <s v="Regular"/>
    <s v="Verde"/>
    <s v="A4"/>
    <s v="Serviço público"/>
    <s v="Água, esgoto e saneamento"/>
    <s v="Não se aplica"/>
    <s v="Não se aplica"/>
    <s v="Não se aplica"/>
    <s v="CATIVO"/>
    <x v="8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1000000000001"/>
    <n v="605.1699999999999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m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9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m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0.373"/>
    <n v="0.373"/>
    <n v="0.373"/>
    <n v="0.373"/>
    <m/>
    <n v="897.25"/>
    <n v="207.07"/>
    <m/>
    <n v="411.91135999999995"/>
    <n v="411.91135999999995"/>
    <n v="413.16091"/>
    <n v="0"/>
    <n v="29.37757405445522"/>
    <n v="0"/>
    <n v="0"/>
    <n v="0"/>
    <n v="74.431092448506774"/>
    <n v="213.98834242140165"/>
    <n v="77.238963895636701"/>
    <n v="0"/>
    <n v="0"/>
    <n v="0"/>
    <n v="0"/>
    <n v="0"/>
    <n v="3.7333307560372364"/>
    <m/>
    <n v="1.0387864948040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3971648978394"/>
    <n v="0"/>
    <n v="0"/>
    <n v="0"/>
    <n v="0"/>
    <n v="0"/>
    <m/>
    <m/>
    <m/>
    <m/>
    <m/>
    <n v="49.579160000000009"/>
    <m/>
    <m/>
    <m/>
    <n v="89.342935544615102"/>
    <m/>
    <m/>
    <m/>
    <m/>
    <m/>
    <m/>
    <m/>
    <m/>
    <m/>
    <m/>
    <m/>
    <m/>
    <n v="360.65750000000003"/>
    <n v="-1.8576299999999719"/>
    <m/>
    <m/>
    <m/>
    <m/>
    <n v="-11.141510000000002"/>
    <n v="12.39106"/>
    <m/>
    <n v="27.680001629998401"/>
    <n v="0"/>
    <n v="0"/>
    <n v="0"/>
    <n v="0"/>
    <n v="0"/>
    <n v="0"/>
    <n v="0"/>
    <n v="16.008023755728075"/>
    <n v="0"/>
    <n v="0"/>
    <n v="11.725532957775272"/>
    <n v="0"/>
    <n v="0"/>
    <n v="0"/>
    <n v="1.8374860476098061"/>
    <n v="0"/>
    <n v="-1.61352949048052"/>
    <m/>
    <n v="0"/>
    <n v="0"/>
    <n v="0"/>
    <n v="0"/>
    <n v="-0.20621804710374159"/>
    <n v="-7.129359353047493E-2"/>
    <n v="0"/>
    <n v="6.5277985874637272"/>
    <m/>
    <m/>
    <m/>
    <n v="213.98834242140165"/>
    <n v="0"/>
    <n v="0"/>
    <n v="-11.141509999999982"/>
    <n v="12.391059999999996"/>
    <n v="0"/>
    <n v="0"/>
    <n v="-32.9579320986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621"/>
    <n v="0.24840000000000001"/>
    <n v="0.621"/>
    <n v="0.24840000000000001"/>
    <m/>
    <n v="897.25"/>
    <n v="207.07"/>
    <m/>
    <n v="685.78271999999993"/>
    <n v="685.78271999999993"/>
    <n v="687.86306999999999"/>
    <n v="0"/>
    <n v="48.910116589320886"/>
    <n v="0"/>
    <n v="0"/>
    <n v="0"/>
    <n v="123.91878930435041"/>
    <n v="356.26477384367411"/>
    <n v="128.59355651257476"/>
    <n v="0"/>
    <n v="0"/>
    <n v="0"/>
    <n v="0"/>
    <n v="0"/>
    <n v="6.2155453069681608"/>
    <m/>
    <n v="1.7294541910812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51652530872877"/>
    <n v="0"/>
    <n v="0"/>
    <n v="0"/>
    <n v="0"/>
    <n v="0"/>
    <m/>
    <m/>
    <m/>
    <m/>
    <m/>
    <m/>
    <n v="445.73516999999998"/>
    <m/>
    <m/>
    <n v="148.74520904344763"/>
    <m/>
    <m/>
    <m/>
    <m/>
    <m/>
    <m/>
    <m/>
    <m/>
    <m/>
    <m/>
    <m/>
    <m/>
    <n v="243.6875"/>
    <n v="2.2598960000000261"/>
    <m/>
    <m/>
    <m/>
    <m/>
    <n v="-18.549270000000003"/>
    <n v="20.629619999999999"/>
    <m/>
    <n v="46.083863303563078"/>
    <n v="0"/>
    <n v="0"/>
    <n v="0"/>
    <n v="0"/>
    <n v="0"/>
    <n v="0"/>
    <n v="0"/>
    <n v="26.651428290367676"/>
    <n v="0"/>
    <n v="0"/>
    <n v="19.521597766162074"/>
    <n v="0"/>
    <n v="0"/>
    <n v="0"/>
    <n v="3.0591925886479601"/>
    <n v="0"/>
    <n v="-2.6863319399152843"/>
    <m/>
    <n v="0"/>
    <n v="0"/>
    <n v="0"/>
    <n v="0"/>
    <n v="-0.34332816957486223"/>
    <n v="-0.11869523212446365"/>
    <n v="0"/>
    <n v="10.86799711210449"/>
    <m/>
    <m/>
    <m/>
    <n v="356.26477384367411"/>
    <n v="0"/>
    <n v="0"/>
    <n v="-18.549269999999979"/>
    <n v="20.629620000000017"/>
    <n v="0"/>
    <n v="0"/>
    <n v="-54.87098078615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7"/>
    <s v="Regular"/>
    <s v="Verde"/>
    <s v="A4"/>
    <s v="Rural"/>
    <s v="Agropecuária rural"/>
    <s v="Não se aplica"/>
    <s v="Não se aplica"/>
    <s v="Ponta"/>
    <s v="CATIVO"/>
    <x v="8"/>
    <n v="0"/>
    <n v="0"/>
    <n v="0.39500000000000002"/>
    <n v="0.37919999999999998"/>
    <n v="0.39500000000000002"/>
    <n v="0.37919999999999998"/>
    <m/>
    <n v="4750.8599999999997"/>
    <n v="207.07"/>
    <m/>
    <n v="1958.3823500000001"/>
    <n v="1958.3823500000001"/>
    <n v="1907.8381500000003"/>
    <n v="0"/>
    <n v="27.065960653655566"/>
    <n v="0"/>
    <n v="0"/>
    <n v="0"/>
    <n v="508.49831642185626"/>
    <n v="1330.8947425658653"/>
    <n v="81.794613240687667"/>
    <n v="0"/>
    <n v="0"/>
    <n v="0"/>
    <n v="0"/>
    <n v="0"/>
    <n v="3.9535272081359478"/>
    <m/>
    <n v="0.7146889658581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622219627748532"/>
    <n v="0"/>
    <n v="0"/>
    <n v="0"/>
    <n v="0"/>
    <n v="0"/>
    <m/>
    <m/>
    <m/>
    <m/>
    <m/>
    <n v="76.313526000000181"/>
    <m/>
    <m/>
    <m/>
    <n v="87.256835203462515"/>
    <m/>
    <m/>
    <m/>
    <m/>
    <m/>
    <m/>
    <m/>
    <m/>
    <m/>
    <m/>
    <m/>
    <m/>
    <n v="1835.3886"/>
    <n v="-44.68845599999986"/>
    <m/>
    <m/>
    <m/>
    <m/>
    <n v="-63.666099999999759"/>
    <n v="13.1219"/>
    <m/>
    <n v="120.85594530025662"/>
    <n v="0"/>
    <n v="0"/>
    <n v="0"/>
    <n v="0"/>
    <n v="0"/>
    <n v="0"/>
    <n v="0"/>
    <n v="109.36361218479357"/>
    <n v="0"/>
    <n v="0"/>
    <n v="12.417119352067644"/>
    <n v="0"/>
    <n v="0"/>
    <n v="0"/>
    <n v="0.82921184356824895"/>
    <n v="0"/>
    <n v="-1.486566781242967"/>
    <m/>
    <n v="0"/>
    <n v="0"/>
    <n v="0"/>
    <n v="0"/>
    <n v="-0.21838104183908325"/>
    <n v="-4.9050257090812566E-2"/>
    <n v="0"/>
    <n v="33.58066561927599"/>
    <m/>
    <m/>
    <m/>
    <n v="1330.8947425658653"/>
    <n v="0"/>
    <n v="0"/>
    <n v="-63.666099999999687"/>
    <n v="13.121900000000011"/>
    <n v="0"/>
    <n v="0"/>
    <n v="-204.9809726059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8"/>
    <n v="0"/>
    <n v="0"/>
    <n v="7.7220000000000004"/>
    <n v="7.4131200000000002"/>
    <n v="7.7220000000000004"/>
    <n v="7.4131200000000002"/>
    <m/>
    <n v="94.17"/>
    <n v="207.07"/>
    <m/>
    <n v="2326.1752800000004"/>
    <n v="2326.1752800000004"/>
    <n v="2577.37194"/>
    <n v="0"/>
    <n v="529.12240042412225"/>
    <n v="0"/>
    <n v="0"/>
    <n v="0"/>
    <n v="0"/>
    <n v="0"/>
    <n v="1599.0329201128864"/>
    <n v="0"/>
    <n v="0"/>
    <n v="0"/>
    <n v="0"/>
    <n v="0"/>
    <n v="77.288954686647571"/>
    <m/>
    <n v="13.9717169477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829822697403"/>
    <n v="0"/>
    <n v="0"/>
    <n v="0"/>
    <n v="0"/>
    <n v="0"/>
    <m/>
    <m/>
    <m/>
    <m/>
    <m/>
    <n v="103.09487760000009"/>
    <m/>
    <m/>
    <m/>
    <n v="1705.8159023826267"/>
    <m/>
    <m/>
    <m/>
    <m/>
    <m/>
    <m/>
    <m/>
    <m/>
    <m/>
    <m/>
    <m/>
    <m/>
    <n v="2473.2357000000002"/>
    <n v="240.07743120000032"/>
    <m/>
    <m/>
    <m/>
    <m/>
    <n v="-5.3281799999999828"/>
    <n v="256.52483999999998"/>
    <m/>
    <n v="224.66783877874786"/>
    <n v="0"/>
    <n v="0"/>
    <n v="0"/>
    <n v="0"/>
    <n v="0"/>
    <n v="0"/>
    <n v="0"/>
    <n v="0"/>
    <n v="0"/>
    <n v="0"/>
    <n v="242.74682439662388"/>
    <n v="0"/>
    <n v="0"/>
    <n v="0"/>
    <n v="16.210566724136754"/>
    <n v="0"/>
    <n v="-29.061439708248599"/>
    <m/>
    <n v="0"/>
    <n v="0"/>
    <n v="0"/>
    <n v="0"/>
    <n v="-4.2692111521048162"/>
    <n v="-0.9589014816588719"/>
    <n v="0"/>
    <n v="26.495911137198355"/>
    <m/>
    <m/>
    <m/>
    <n v="0"/>
    <n v="0"/>
    <n v="0"/>
    <n v="-5.3281799999999748"/>
    <n v="256.5248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Não se aplica"/>
    <s v="CATIVO"/>
    <x v="8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m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00"/>
    <s v="Regular"/>
    <s v="Verde"/>
    <s v="A4"/>
    <s v="Rural"/>
    <s v="Agropecuária rural"/>
    <s v="IRRIG./AQUIC. PR"/>
    <s v="Não se aplica"/>
    <s v="Fora ponta"/>
    <s v="CATIVO"/>
    <x v="8"/>
    <n v="0"/>
    <n v="0"/>
    <n v="5.0709999999999997"/>
    <n v="1.5213000000000001"/>
    <n v="5.0709999999999997"/>
    <n v="1.5213000000000001"/>
    <m/>
    <n v="94.17"/>
    <n v="207.07"/>
    <m/>
    <n v="1527.5880400000001"/>
    <n v="1527.5880400000001"/>
    <n v="1692.5476699999999"/>
    <n v="0"/>
    <n v="347.47211765743634"/>
    <n v="0"/>
    <n v="0"/>
    <n v="0"/>
    <n v="0"/>
    <n v="0"/>
    <n v="1050.0771740342459"/>
    <n v="0"/>
    <n v="0"/>
    <n v="0"/>
    <n v="0"/>
    <n v="0"/>
    <n v="50.755282208752881"/>
    <m/>
    <n v="9.1751588502949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123867274003231"/>
    <n v="0"/>
    <n v="0"/>
    <n v="0"/>
    <n v="0"/>
    <n v="0"/>
    <m/>
    <m/>
    <m/>
    <m/>
    <m/>
    <m/>
    <n v="1184.7833689999998"/>
    <m/>
    <m/>
    <n v="1120.2010413082492"/>
    <m/>
    <m/>
    <m/>
    <m/>
    <m/>
    <m/>
    <m/>
    <m/>
    <m/>
    <m/>
    <m/>
    <m/>
    <n v="507.3304"/>
    <n v="49.023987999999974"/>
    <m/>
    <m/>
    <m/>
    <m/>
    <n v="-3.4989899999999885"/>
    <n v="168.45862"/>
    <m/>
    <n v="147.53828159117234"/>
    <n v="0"/>
    <n v="0"/>
    <n v="0"/>
    <n v="0"/>
    <n v="0"/>
    <n v="0"/>
    <n v="0"/>
    <n v="0"/>
    <n v="0"/>
    <n v="0"/>
    <n v="159.41066388439253"/>
    <n v="0"/>
    <n v="0"/>
    <n v="0"/>
    <n v="10.645400655024289"/>
    <n v="0"/>
    <n v="-19.084506702995157"/>
    <m/>
    <n v="0"/>
    <n v="0"/>
    <n v="0"/>
    <n v="0"/>
    <n v="-2.8035702864961749"/>
    <n v="-0.62970595875319013"/>
    <n v="0"/>
    <n v="17.399736516023417"/>
    <m/>
    <m/>
    <m/>
    <n v="0"/>
    <n v="0"/>
    <n v="0"/>
    <n v="-3.4989899999999921"/>
    <n v="168.4586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5"/>
    <n v="10.8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0.78300000000000003"/>
    <n v="0.78300000000000003"/>
    <n v="0.78300000000000003"/>
    <n v="0.78300000000000003"/>
    <m/>
    <n v="897.25"/>
    <n v="207.07"/>
    <m/>
    <n v="864.68255999999997"/>
    <n v="864.68255999999997"/>
    <n v="867.30561"/>
    <n v="0"/>
    <n v="61.669277438708946"/>
    <n v="0"/>
    <n v="0"/>
    <n v="0"/>
    <n v="156.24542999244184"/>
    <n v="449.20341049854562"/>
    <n v="162.1397016897682"/>
    <n v="0"/>
    <n v="0"/>
    <n v="0"/>
    <n v="0"/>
    <n v="0"/>
    <n v="7.8369919087859419"/>
    <m/>
    <n v="2.1806161539719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08605365013628"/>
    <n v="0"/>
    <n v="0"/>
    <n v="0"/>
    <n v="0"/>
    <n v="0"/>
    <m/>
    <m/>
    <m/>
    <m/>
    <m/>
    <n v="104.07636000000002"/>
    <m/>
    <m/>
    <m/>
    <n v="187.54830705478184"/>
    <m/>
    <m/>
    <m/>
    <m/>
    <m/>
    <m/>
    <m/>
    <m/>
    <m/>
    <m/>
    <m/>
    <m/>
    <n v="760.30499999999995"/>
    <n v="-0.65223000000014508"/>
    <m/>
    <m/>
    <m/>
    <m/>
    <n v="-23.388210000000004"/>
    <n v="26.01126"/>
    <m/>
    <n v="58.105740687101274"/>
    <n v="0"/>
    <n v="0"/>
    <n v="0"/>
    <n v="0"/>
    <n v="0"/>
    <n v="0"/>
    <n v="0"/>
    <n v="33.603974800898357"/>
    <n v="0"/>
    <n v="0"/>
    <n v="24.614188487769553"/>
    <n v="0"/>
    <n v="0"/>
    <n v="0"/>
    <n v="3.857242829164818"/>
    <n v="0"/>
    <n v="-3.3871141851105762"/>
    <m/>
    <n v="0"/>
    <n v="0"/>
    <n v="0"/>
    <n v="0"/>
    <n v="-0.43289203989873926"/>
    <n v="-0.14965920572214975"/>
    <n v="0"/>
    <n v="13.703126793523053"/>
    <m/>
    <m/>
    <m/>
    <n v="449.20341049854562"/>
    <n v="0"/>
    <n v="0"/>
    <n v="-23.388209999999958"/>
    <n v="26.011260000000021"/>
    <n v="0"/>
    <n v="0"/>
    <n v="-69.18514968689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3"/>
    <s v="Regular"/>
    <s v="Convencional"/>
    <s v="B1"/>
    <s v="Residencial"/>
    <s v="Residencial"/>
    <s v="Não se aplica"/>
    <s v="Não se aplica"/>
    <s v="Não se aplica"/>
    <s v="CATIVO"/>
    <x v="9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4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5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9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1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4"/>
    <s v="Regular"/>
    <s v="Verde"/>
    <s v="A4"/>
    <s v="Industrial"/>
    <s v="Não se aplica"/>
    <s v="Não se aplica"/>
    <s v="Não se aplica"/>
    <s v="Ponta"/>
    <s v="CATIVO"/>
    <x v="9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Fora ponta"/>
    <s v="CATIVO"/>
    <x v="9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Não se aplica"/>
    <s v="CATIVO"/>
    <x v="9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17"/>
    <s v="Regular"/>
    <s v="Convencional"/>
    <s v="B3"/>
    <s v="Comercial"/>
    <s v="Não se aplica"/>
    <s v="Não se aplica"/>
    <s v="Não se aplica"/>
    <s v="Não se aplica"/>
    <s v="CATIVO"/>
    <x v="9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9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9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9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9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9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6"/>
    <s v="Regular"/>
    <s v="Branca"/>
    <s v="B3"/>
    <s v="Comercial"/>
    <s v="Não se aplica"/>
    <s v="Não se aplica"/>
    <s v="Não se aplica"/>
    <s v="Ponta"/>
    <s v="CATIVO"/>
    <x v="9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7"/>
    <s v="Regular"/>
    <s v="Branca"/>
    <s v="B3"/>
    <s v="Comercial"/>
    <s v="Não se aplica"/>
    <s v="Não se aplica"/>
    <s v="Não se aplica"/>
    <s v="Fora ponta"/>
    <s v="CATIVO"/>
    <x v="9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8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9"/>
    <s v="Regular"/>
    <s v="Branca"/>
    <s v="B3"/>
    <s v="Comercial"/>
    <s v="Não se aplica"/>
    <s v="Não se aplica"/>
    <s v="Não se aplica"/>
    <s v="Intermediário"/>
    <s v="CATIVO"/>
    <x v="9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0"/>
    <s v="Regular"/>
    <s v="Convencional"/>
    <s v="B2"/>
    <s v="Rural"/>
    <s v="Não se aplica"/>
    <s v="Não se aplica"/>
    <s v="Não se aplica"/>
    <s v="Não se aplica"/>
    <s v="CATIVO"/>
    <x v="9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7"/>
    <s v="Regular"/>
    <s v="Verde"/>
    <s v="A4"/>
    <s v="Serviço público"/>
    <s v="Água, esgoto e saneamento"/>
    <s v="Não se aplica"/>
    <s v="Não se aplica"/>
    <s v="Não se aplica"/>
    <s v="CATIVO"/>
    <x v="9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3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Agropecuária rural"/>
    <s v="Não se aplica"/>
    <s v="Não se aplica"/>
    <s v="Ponta"/>
    <s v="CATIVO"/>
    <x v="9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Fora ponta"/>
    <s v="CATIVO"/>
    <x v="9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Não se aplica"/>
    <s v="CATIVO"/>
    <x v="9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45"/>
    <s v="Regular"/>
    <s v="Verde"/>
    <s v="A4"/>
    <s v="Rural"/>
    <s v="Agropecuária rural"/>
    <s v="IRRIG./AQUIC. PR"/>
    <s v="Não se aplica"/>
    <s v="Fora ponta"/>
    <s v="CATIVO"/>
    <x v="9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6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7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9"/>
    <s v="PROJETADO"/>
    <s v="Convencional"/>
    <s v="B1"/>
    <s v="Residencial"/>
    <s v="Residencial"/>
    <s v="Não se aplica"/>
    <s v="Não se aplica"/>
    <s v="Não se aplica"/>
    <s v="CATIVO"/>
    <x v="10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29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0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29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1"/>
    <s v="PROJETADO"/>
    <s v="Convencional"/>
    <s v="B1"/>
    <s v="Residencial"/>
    <s v="Residencial"/>
    <s v="Não se aplica"/>
    <s v="Não se aplica"/>
    <s v="Não se aplica"/>
    <s v="CATIVO"/>
    <x v="10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29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2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29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3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29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4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29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5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29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6"/>
    <s v="PROJETADO"/>
    <s v="Branca"/>
    <s v="B1"/>
    <s v="Residencial"/>
    <s v="Residencial"/>
    <s v="Não se aplica"/>
    <s v="Não se aplica"/>
    <s v="Fora ponta"/>
    <s v="CATIVO"/>
    <x v="1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29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7"/>
    <s v="PROJETAD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58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29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9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29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0"/>
    <s v="PROJETADO"/>
    <s v="Verde"/>
    <s v="A4"/>
    <s v="Industrial"/>
    <s v="Não se aplica"/>
    <s v="Não se aplica"/>
    <s v="Não se aplica"/>
    <s v="Ponta"/>
    <s v="CATIVO"/>
    <x v="10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29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1"/>
    <s v="PROJETADO"/>
    <s v="Verde"/>
    <s v="A4"/>
    <s v="Industrial"/>
    <s v="Não se aplica"/>
    <s v="Não se aplica"/>
    <s v="Não se aplica"/>
    <s v="Fora ponta"/>
    <s v="CATIVO"/>
    <x v="10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29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2"/>
    <s v="PROJETADO"/>
    <s v="Verde"/>
    <s v="A4"/>
    <s v="Industrial"/>
    <s v="Não se aplica"/>
    <s v="Não se aplica"/>
    <s v="Não se aplica"/>
    <s v="Não se aplica"/>
    <s v="CATIVO"/>
    <x v="1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29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6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29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4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29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5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29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6"/>
    <s v="PROJETADO"/>
    <s v="Azul"/>
    <s v="A4"/>
    <s v="Comercial"/>
    <s v="Não se aplica"/>
    <s v="Não se aplica"/>
    <s v="Não se aplica"/>
    <s v="Ponta"/>
    <s v="CATIVO"/>
    <x v="10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29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7"/>
    <s v="PROJETADO"/>
    <s v="Azul"/>
    <s v="A4"/>
    <s v="Comercial"/>
    <s v="Não se aplica"/>
    <s v="Não se aplica"/>
    <s v="Não se aplica"/>
    <s v="Fora ponta"/>
    <s v="CATIVO"/>
    <x v="10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29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8"/>
    <s v="PROJETADO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69"/>
    <s v="PROJETADO"/>
    <s v="Verde"/>
    <s v="A4"/>
    <s v="Comercial"/>
    <s v="Não se aplica"/>
    <s v="Não se aplica"/>
    <s v="Não se aplica"/>
    <s v="Ponta"/>
    <s v="CATIVO"/>
    <x v="10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29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0"/>
    <s v="PROJETADO"/>
    <s v="Verde"/>
    <s v="A4"/>
    <s v="Comercial"/>
    <s v="Não se aplica"/>
    <s v="Não se aplica"/>
    <s v="Não se aplica"/>
    <s v="Fora ponta"/>
    <s v="CATIVO"/>
    <x v="10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29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1"/>
    <s v="PROJETADO"/>
    <s v="Verde"/>
    <s v="A4"/>
    <s v="Comercial"/>
    <s v="Não se aplica"/>
    <s v="Não se aplica"/>
    <s v="Não se aplica"/>
    <s v="Não se aplica"/>
    <s v="CATIVO"/>
    <x v="10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29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72"/>
    <s v="PROJETADO"/>
    <s v="Branca"/>
    <s v="B3"/>
    <s v="Comercial"/>
    <s v="Não se aplica"/>
    <s v="Não se aplica"/>
    <s v="Não se aplica"/>
    <s v="Ponta"/>
    <s v="CATIVO"/>
    <x v="10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29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3"/>
    <s v="PROJETADO"/>
    <s v="Branca"/>
    <s v="B3"/>
    <s v="Comercial"/>
    <s v="Não se aplica"/>
    <s v="Não se aplica"/>
    <s v="Não se aplica"/>
    <s v="Fora ponta"/>
    <s v="CATIVO"/>
    <x v="10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29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4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75"/>
    <s v="PROJETADO"/>
    <s v="Branca"/>
    <s v="B3"/>
    <s v="Comercial"/>
    <s v="Não se aplica"/>
    <s v="Não se aplica"/>
    <s v="Não se aplica"/>
    <s v="Intermediário"/>
    <s v="CATIVO"/>
    <x v="10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29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6"/>
    <s v="PROJETADO"/>
    <s v="Convencional"/>
    <s v="B2"/>
    <s v="Rural"/>
    <s v="Não se aplica"/>
    <s v="Não se aplica"/>
    <s v="Não se aplica"/>
    <s v="Não se aplica"/>
    <s v="CATIVO"/>
    <x v="10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29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7"/>
    <s v="PROJETADO"/>
    <s v="Convencional"/>
    <s v="B2"/>
    <s v="Rural"/>
    <s v="Não se aplica"/>
    <s v="Não se aplica"/>
    <s v="Não se aplica"/>
    <s v="Não se aplica"/>
    <s v="CATIVO"/>
    <x v="10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29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8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29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29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29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29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29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3"/>
    <s v="PROJETADO"/>
    <s v="Verde"/>
    <s v="A4"/>
    <s v="Serviço público"/>
    <s v="Água, esgoto e saneamento"/>
    <s v="Não se aplica"/>
    <s v="Não se aplica"/>
    <s v="Não se aplica"/>
    <s v="CATIVO"/>
    <x v="10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29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8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29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8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29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7"/>
    <s v="PROJETADO"/>
    <s v="Convencional"/>
    <s v="B2"/>
    <s v="Rural"/>
    <s v="Agropecuária rural"/>
    <s v="IRRIG./AQUIC. PR"/>
    <s v="Não se aplica"/>
    <s v="Não se aplica"/>
    <s v="CATIVO"/>
    <x v="10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29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8"/>
    <s v="PROJETADO"/>
    <s v="Verde"/>
    <s v="A4"/>
    <s v="Rural"/>
    <s v="Agropecuária rural"/>
    <s v="Não se aplica"/>
    <s v="Não se aplica"/>
    <s v="Ponta"/>
    <s v="CATIVO"/>
    <x v="10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29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9"/>
    <s v="PROJETADO"/>
    <s v="Verde"/>
    <s v="A4"/>
    <s v="Rural"/>
    <s v="Agropecuária rural"/>
    <s v="Não se aplica"/>
    <s v="Não se aplica"/>
    <s v="Fora ponta"/>
    <s v="CATIVO"/>
    <x v="10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29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0"/>
    <s v="PROJETADO"/>
    <s v="Verde"/>
    <s v="A4"/>
    <s v="Rural"/>
    <s v="Agropecuária rural"/>
    <s v="Não se aplica"/>
    <s v="Não se aplica"/>
    <s v="Não se aplica"/>
    <s v="CATIVO"/>
    <x v="10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29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91"/>
    <s v="PROJETADO"/>
    <s v="Verde"/>
    <s v="A4"/>
    <s v="Rural"/>
    <s v="Agropecuária rural"/>
    <s v="IRRIG./AQUIC. PR"/>
    <s v="Não se aplica"/>
    <s v="Fora ponta"/>
    <s v="CATIVO"/>
    <x v="10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29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93"/>
    <s v="PROJETADO"/>
    <s v="Convencional"/>
    <s v="B2"/>
    <s v="Rural"/>
    <s v="Aquicultura"/>
    <s v="IRRIG./AQUIC."/>
    <s v="Não se aplica"/>
    <s v="Não se aplica"/>
    <s v="CATIVO"/>
    <x v="10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29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4"/>
    <s v="PROJETADO"/>
    <s v="Convencional"/>
    <s v="B2"/>
    <s v="Rural"/>
    <s v="Aquicultura"/>
    <s v="IRRIG./AQUIC. PR"/>
    <s v="Não se aplica"/>
    <s v="Não se aplica"/>
    <s v="CATIVO"/>
    <x v="10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29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6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8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9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0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2"/>
    <s v="PROJETADO"/>
    <s v="Branca"/>
    <s v="B1"/>
    <s v="Residencial"/>
    <s v="Residencial"/>
    <s v="Não se aplica"/>
    <s v="Não se aplica"/>
    <s v="Fora ponta"/>
    <s v="CATIVO"/>
    <x v="1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3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0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6"/>
    <s v="PROJETADO"/>
    <s v="Verde"/>
    <s v="A4"/>
    <s v="Industrial"/>
    <s v="Não se aplica"/>
    <s v="Não se aplica"/>
    <s v="Não se aplica"/>
    <s v="Ponta"/>
    <s v="CATIVO"/>
    <x v="11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7"/>
    <s v="PROJETADO"/>
    <s v="Verde"/>
    <s v="A4"/>
    <s v="Industrial"/>
    <s v="Não se aplica"/>
    <s v="Não se aplica"/>
    <s v="Não se aplica"/>
    <s v="Fora ponta"/>
    <s v="CATIVO"/>
    <x v="11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8"/>
    <s v="PROJETADO"/>
    <s v="Verde"/>
    <s v="A4"/>
    <s v="Industrial"/>
    <s v="Não se aplica"/>
    <s v="Não se aplica"/>
    <s v="Não se aplica"/>
    <s v="Não se aplica"/>
    <s v="CATIVO"/>
    <x v="11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09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2"/>
    <s v="PROJETADO"/>
    <s v="Azul"/>
    <s v="A4"/>
    <s v="Comercial"/>
    <s v="Não se aplica"/>
    <s v="Não se aplica"/>
    <s v="Não se aplica"/>
    <s v="Ponta"/>
    <s v="CATIVO"/>
    <x v="11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3"/>
    <s v="PROJETADO"/>
    <s v="Azul"/>
    <s v="A4"/>
    <s v="Comercial"/>
    <s v="Não se aplica"/>
    <s v="Não se aplica"/>
    <s v="Não se aplica"/>
    <s v="Fora ponta"/>
    <s v="CATIVO"/>
    <x v="11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4"/>
    <s v="PROJETADO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15"/>
    <s v="PROJETADO"/>
    <s v="Verde"/>
    <s v="A4"/>
    <s v="Comercial"/>
    <s v="Não se aplica"/>
    <s v="Não se aplica"/>
    <s v="Não se aplica"/>
    <s v="Ponta"/>
    <s v="CATIVO"/>
    <x v="11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6"/>
    <s v="PROJETADO"/>
    <s v="Verde"/>
    <s v="A4"/>
    <s v="Comercial"/>
    <s v="Não se aplica"/>
    <s v="Não se aplica"/>
    <s v="Não se aplica"/>
    <s v="Fora ponta"/>
    <s v="CATIVO"/>
    <x v="11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7"/>
    <s v="PROJETADO"/>
    <s v="Verde"/>
    <s v="A4"/>
    <s v="Comercial"/>
    <s v="Não se aplica"/>
    <s v="Não se aplica"/>
    <s v="Não se aplica"/>
    <s v="Não se aplica"/>
    <s v="CATIVO"/>
    <x v="11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18"/>
    <s v="PROJETADO"/>
    <s v="Branca"/>
    <s v="B3"/>
    <s v="Comercial"/>
    <s v="Não se aplica"/>
    <s v="Não se aplica"/>
    <s v="Não se aplica"/>
    <s v="Ponta"/>
    <s v="CATIVO"/>
    <x v="11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9"/>
    <s v="PROJETADO"/>
    <s v="Branca"/>
    <s v="B3"/>
    <s v="Comercial"/>
    <s v="Não se aplica"/>
    <s v="Não se aplica"/>
    <s v="Não se aplica"/>
    <s v="Fora ponta"/>
    <s v="CATIVO"/>
    <x v="11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1"/>
    <s v="PROJETADO"/>
    <s v="Branca"/>
    <s v="B3"/>
    <s v="Comercial"/>
    <s v="Não se aplica"/>
    <s v="Não se aplica"/>
    <s v="Não se aplica"/>
    <s v="Intermediário"/>
    <s v="CATIVO"/>
    <x v="11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2"/>
    <s v="PROJETADO"/>
    <s v="Convencional"/>
    <s v="B2"/>
    <s v="Rural"/>
    <s v="Não se aplica"/>
    <s v="Não se aplica"/>
    <s v="Não se aplica"/>
    <s v="Não se aplica"/>
    <s v="CATIVO"/>
    <x v="11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3"/>
    <s v="PROJETADO"/>
    <s v="Convencional"/>
    <s v="B2"/>
    <s v="Rural"/>
    <s v="Não se aplica"/>
    <s v="Não se aplica"/>
    <s v="Não se aplica"/>
    <s v="Não se aplica"/>
    <s v="CATIVO"/>
    <x v="11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5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9"/>
    <s v="PROJETADO"/>
    <s v="Verde"/>
    <s v="A4"/>
    <s v="Serviço público"/>
    <s v="Água, esgoto e saneamento"/>
    <s v="Não se aplica"/>
    <s v="Não se aplica"/>
    <s v="Não se aplica"/>
    <s v="CATIVO"/>
    <x v="1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1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2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3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4"/>
    <s v="PROJETADO"/>
    <s v="Verde"/>
    <s v="A4"/>
    <s v="Rural"/>
    <s v="Agropecuária rural"/>
    <s v="Não se aplica"/>
    <s v="Não se aplica"/>
    <s v="Ponta"/>
    <s v="CATIVO"/>
    <x v="11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5"/>
    <s v="PROJETADO"/>
    <s v="Verde"/>
    <s v="A4"/>
    <s v="Rural"/>
    <s v="Agropecuária rural"/>
    <s v="Não se aplica"/>
    <s v="Não se aplica"/>
    <s v="Fora ponta"/>
    <s v="CATIVO"/>
    <x v="11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6"/>
    <s v="PROJETADO"/>
    <s v="Verde"/>
    <s v="A4"/>
    <s v="Rural"/>
    <s v="Agropecuária rural"/>
    <s v="Não se aplica"/>
    <s v="Não se aplica"/>
    <s v="Não se aplica"/>
    <s v="CATIVO"/>
    <x v="11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7"/>
    <s v="PROJETADO"/>
    <s v="Verde"/>
    <s v="A4"/>
    <s v="Rural"/>
    <s v="Agropecuária rural"/>
    <s v="IRRIG./AQUIC. PR"/>
    <s v="Não se aplica"/>
    <s v="Fora ponta"/>
    <s v="CATIVO"/>
    <x v="11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8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9"/>
    <s v="PROJETADO"/>
    <s v="Convencional"/>
    <s v="B2"/>
    <s v="Rural"/>
    <s v="Aquicultura"/>
    <s v="IRRIG./AQUIC."/>
    <s v="Não se aplica"/>
    <s v="Não se aplica"/>
    <s v="CATIVO"/>
    <x v="11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Aquicultura"/>
    <s v="IRRIG./AQUIC. PR"/>
    <s v="Não se aplica"/>
    <s v="Não se aplica"/>
    <s v="CATIVO"/>
    <x v="11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57">
        <item m="1" x="12"/>
        <item m="1" x="52"/>
        <item m="1" x="48"/>
        <item m="1" x="40"/>
        <item m="1" x="32"/>
        <item m="1" x="41"/>
        <item m="1" x="33"/>
        <item m="1" x="28"/>
        <item m="1" x="25"/>
        <item m="1" x="22"/>
        <item m="1" x="19"/>
        <item m="1" x="16"/>
        <item m="1" x="13"/>
        <item m="1" x="53"/>
        <item m="1" x="49"/>
        <item m="1" x="42"/>
        <item m="1" x="34"/>
        <item m="1" x="43"/>
        <item m="1" x="35"/>
        <item m="1" x="29"/>
        <item m="1" x="26"/>
        <item m="1" x="23"/>
        <item m="1" x="20"/>
        <item m="1" x="17"/>
        <item m="1" x="14"/>
        <item m="1" x="54"/>
        <item m="1" x="50"/>
        <item m="1" x="44"/>
        <item m="1" x="36"/>
        <item m="1" x="45"/>
        <item m="1" x="37"/>
        <item m="1" x="30"/>
        <item m="1" x="27"/>
        <item m="1" x="24"/>
        <item m="1" x="21"/>
        <item m="1" x="18"/>
        <item m="1" x="15"/>
        <item m="1" x="55"/>
        <item m="1" x="51"/>
        <item m="1" x="46"/>
        <item m="1" x="38"/>
        <item m="1" x="47"/>
        <item m="1" x="39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57" dataDxfId="556">
  <autoFilter ref="AA5:AE7" xr:uid="{B3DE7FE8-5926-4E44-9EDC-9655DE4A4B67}"/>
  <tableColumns count="5">
    <tableColumn id="1" xr3:uid="{1315B14B-5316-4DE2-9050-0B99168CC239}" name="Cotas" dataDxfId="555"/>
    <tableColumn id="2" xr3:uid="{00C64702-8D8C-4EE8-B854-0E39030818B6}" name="Valor da &quot;Cota&quot;" dataDxfId="554"/>
    <tableColumn id="3" xr3:uid="{63BFFE80-8EC9-4566-842F-9FD193C67815}" name="Ano" dataDxfId="553"/>
    <tableColumn id="4" xr3:uid="{7B5A7EF8-5CB6-4557-B7D2-1C4857462594}" name="Custo Médio da Cota" dataDxfId="552"/>
    <tableColumn id="5" xr3:uid="{D3F4B71D-C886-4718-A85E-FA54E9F8D838}" name="Energia MWh" dataDxfId="55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50" dataDxfId="549" headerRowCellStyle="Normal 5" dataCellStyle="Normal 5">
  <autoFilter ref="AA21:AG23" xr:uid="{8109BFC4-5B84-4531-A319-ED0D5E86A4C5}"/>
  <tableColumns count="7">
    <tableColumn id="1" xr3:uid="{59A03A63-2F04-4649-A4AF-9B891D5BEBED}" name="Leilão" dataDxfId="548" dataCellStyle="Normal 5"/>
    <tableColumn id="2" xr3:uid="{1B8E1FA7-1B1E-42CD-98A0-C36F374D9818}" name="Produto" dataDxfId="547" dataCellStyle="Normal 5"/>
    <tableColumn id="3" xr3:uid="{3C5EB2AC-0FA8-44FB-8B3B-4F205233DD96}" name="Modalidade" dataDxfId="546" dataCellStyle="Normal 5"/>
    <tableColumn id="4" xr3:uid="{C358BA83-832A-4936-8DD9-2979DA133039}" name="Fonte" dataDxfId="545" dataCellStyle="Normal 5"/>
    <tableColumn id="5" xr3:uid="{9CA52279-BDEC-44E2-A60F-C256B4A0590B}" name="Montante" dataDxfId="544" dataCellStyle="Normal 5"/>
    <tableColumn id="6" xr3:uid="{4C1D6705-AC4A-482B-AC5B-B0F755A722F2}" name="Data Base" dataDxfId="543" dataCellStyle="Vírgula"/>
    <tableColumn id="7" xr3:uid="{3DEA0CF9-631C-4B3F-B4AC-928E92F0AB84}" name="Custo Base" dataDxfId="54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41" dataDxfId="540">
  <autoFilter ref="AA10:AD11" xr:uid="{3C49DBE7-062C-4416-B6BA-09DB0F685AD5}"/>
  <tableColumns count="4">
    <tableColumn id="1" xr3:uid="{6F9C1B42-695A-4B8B-B63F-DA108D710421}" name="GSF previsto" dataDxfId="539" dataCellStyle="Normal 5"/>
    <tableColumn id="2" xr3:uid="{4D1DBAC9-9D60-4D51-A973-81AD2081E4F6}" name="PLD" dataDxfId="538" dataCellStyle="Normal 5"/>
    <tableColumn id="3" xr3:uid="{0DCF2C66-C111-4FF7-BEB4-BFD00E93A10A}" name="MWm repactuado" dataDxfId="537" dataCellStyle="Normal 5"/>
    <tableColumn id="4" xr3:uid="{030AED12-E9C5-474F-937C-742184A44EF8}" name="Fator de rateio" dataDxfId="53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35" dataDxfId="534">
  <autoFilter ref="AI5:AJ20" xr:uid="{C3573309-01D4-4FAA-88C4-46F0CAA1CC27}"/>
  <tableColumns count="2">
    <tableColumn id="1" xr3:uid="{56AC757E-E114-458B-A041-461374D0BA5F}" name="Data" dataDxfId="533"/>
    <tableColumn id="2" xr3:uid="{578DAC09-D952-4F72-9444-614F5761412A}" name="Valor Pis/Cofins Transmissora" dataDxfId="53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31"/>
    <tableColumn id="2" xr3:uid="{AAB31625-7790-4B9A-AC2F-62007C1AB8C0}" name="Valor" dataDxfId="53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6" totalsRowShown="0" headerRowDxfId="529">
  <autoFilter ref="B70:D76" xr:uid="{2E07311B-F74E-449E-81FD-B2BBBED3E4B3}"/>
  <tableColumns count="3">
    <tableColumn id="1" xr3:uid="{34D06310-1B0F-4D68-8C00-ED68EED3BDEB}" name="Encargo" dataDxfId="528"/>
    <tableColumn id="2" xr3:uid="{9D37526B-68DA-4918-8BA1-31EFC93C676E}" name="Valor" dataDxfId="527" dataCellStyle="Vírgula"/>
    <tableColumn id="3" xr3:uid="{62B99FEA-2637-4880-B5A6-705D0DFDF64C}" name="DSP" dataDxfId="52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25">
  <autoFilter ref="AA15:AB16" xr:uid="{1246E986-5AFA-4E40-BCC4-649D094A68F9}"/>
  <tableColumns count="2">
    <tableColumn id="1" xr3:uid="{D4D96454-0BF2-4CE9-B9F7-0CF391A2F556}" name="Proinfa" dataDxfId="524"/>
    <tableColumn id="2" xr3:uid="{62B09719-28BC-4F30-8705-5FB3C24A0D07}" name="MWh" dataDxfId="52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/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82" totalsRowShown="0" headerRowDxfId="414" dataDxfId="413" headerRowCellStyle="Normal 54 2" dataCellStyle="Normal 54 2">
  <autoFilter ref="AO164:AP182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193:AY238" totalsRowShown="0" headerRowDxfId="410" dataDxfId="409" headerRowCellStyle="Normal 54 2" dataCellStyle="Normal 54 2">
  <autoFilter ref="AY193:AY238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IF(AW194=0,0,1)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61:BS268" totalsRowShown="0" headerRowDxfId="407" dataDxfId="406" tableBorderDxfId="405" headerRowCellStyle="Normal 54 2" dataCellStyle="Year 2 6">
  <autoFilter ref="BS261:BS268" xr:uid="{00000000-0009-0000-0100-000013000000}"/>
  <tableColumns count="1">
    <tableColumn id="1" xr3:uid="{00000000-0010-0000-0D00-000001000000}" name="Colunas1" dataDxfId="404" dataCellStyle="Year 2 6">
      <calculatedColumnFormula>IF(BR262=0,0,1)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41:BJ248" totalsRowShown="0" headerRowDxfId="403" dataDxfId="401" headerRowBorderDxfId="402" tableBorderDxfId="400" totalsRowBorderDxfId="399" headerRowCellStyle="Normal 54 2" dataCellStyle="Normal 54 2">
  <autoFilter ref="BJ241:BJ248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IF(BH242=0,0,1)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70:BZ277" totalsRowShown="0" headerRowDxfId="397" dataDxfId="396" headerRowCellStyle="Normal 54 2" dataCellStyle="Normal 54 2">
  <autoFilter ref="BY270:BZ277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IF(BU271=0,0,1)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50:BN258" totalsRowShown="0" headerRowDxfId="393" dataDxfId="391" headerRowBorderDxfId="392" tableBorderDxfId="390" totalsRowBorderDxfId="389" headerRowCellStyle="Normal 54 2" dataCellStyle="Normal 54 2">
  <autoFilter ref="BN250:BN258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IF(BM251=0,0,1)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400" totalsRowShown="0" headerRowDxfId="383" dataDxfId="382" totalsRowDxfId="381">
  <autoFilter ref="A2:FI400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77" headerRowDxfId="42" dataDxfId="40" totalsRowDxfId="38" headerRowBorderDxfId="41" tableBorderDxfId="39">
  <autoFilter ref="C8:L77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66" totalsRowShown="0">
  <autoFilter ref="A1:Q26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30" dT="2022-05-02T20:36:05.38" personId="{5D574A71-D655-4786-B45F-11408C602995}" id="{21FE724B-6C8D-47EF-9E2D-129E0FFDEA25}">
    <text>DSP SGT nº 521/2022, base dezembro/2021, atualizado paro o mês anterior ao reajuste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3" dT="2022-04-28T14:13:41.60" personId="{5D574A71-D655-4786-B45F-11408C602995}" id="{6A5830D5-958A-4680-883E-CBF05E661428}">
    <text>REH 3.034/2022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13" Type="http://schemas.openxmlformats.org/officeDocument/2006/relationships/table" Target="../tables/table23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12" Type="http://schemas.openxmlformats.org/officeDocument/2006/relationships/table" Target="../tables/table2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5" Type="http://schemas.openxmlformats.org/officeDocument/2006/relationships/table" Target="../tables/table2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Relationship Id="rId14" Type="http://schemas.openxmlformats.org/officeDocument/2006/relationships/table" Target="../tables/table2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G30" sqref="G3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2221</v>
      </c>
    </row>
    <row r="2" spans="1:15">
      <c r="A2">
        <v>252</v>
      </c>
      <c r="B2" s="1028">
        <v>43922</v>
      </c>
      <c r="C2" s="234"/>
      <c r="D2" s="234"/>
      <c r="E2" s="234"/>
      <c r="F2" s="234"/>
      <c r="G2" s="234"/>
      <c r="H2" s="234"/>
      <c r="I2" s="1029"/>
    </row>
    <row r="3" spans="1:15">
      <c r="A3">
        <v>255</v>
      </c>
      <c r="B3" s="1028">
        <v>43922</v>
      </c>
      <c r="C3" s="234"/>
      <c r="D3" s="234"/>
      <c r="E3" s="234"/>
      <c r="F3" s="234"/>
      <c r="G3" s="234"/>
      <c r="H3" s="234"/>
      <c r="I3" s="1029"/>
    </row>
    <row r="4" spans="1:15">
      <c r="A4">
        <v>206</v>
      </c>
      <c r="B4" s="1028">
        <v>43922</v>
      </c>
      <c r="C4" s="234"/>
      <c r="D4" s="234"/>
      <c r="E4" s="234"/>
      <c r="F4" s="234"/>
      <c r="G4" s="234"/>
      <c r="H4" s="234"/>
      <c r="I4" s="1029"/>
    </row>
    <row r="5" spans="1:15">
      <c r="A5">
        <v>256</v>
      </c>
      <c r="B5" s="1028">
        <v>43922</v>
      </c>
      <c r="C5" s="234"/>
      <c r="D5" s="234"/>
      <c r="E5" s="234"/>
      <c r="F5" s="234"/>
      <c r="G5" s="234"/>
      <c r="H5" s="234"/>
      <c r="I5" s="1029"/>
      <c r="J5" s="234">
        <v>4154376.2782662762</v>
      </c>
    </row>
    <row r="6" spans="1:15">
      <c r="A6">
        <v>203</v>
      </c>
      <c r="B6" s="1028">
        <v>43952</v>
      </c>
      <c r="C6" s="234"/>
      <c r="D6" s="234"/>
      <c r="E6" s="234"/>
      <c r="F6" s="234"/>
      <c r="G6" s="234"/>
      <c r="H6" s="234"/>
      <c r="I6" s="1029"/>
      <c r="J6" s="234"/>
    </row>
    <row r="7" spans="1:15">
      <c r="A7">
        <v>211</v>
      </c>
      <c r="B7" s="1028">
        <v>43952</v>
      </c>
      <c r="C7" s="234"/>
      <c r="D7" s="234"/>
      <c r="E7" s="234"/>
      <c r="F7" s="234"/>
      <c r="G7" s="234"/>
      <c r="H7" s="234"/>
      <c r="I7" s="1029"/>
      <c r="J7" s="234">
        <v>18046086.986190885</v>
      </c>
      <c r="N7" s="234"/>
      <c r="O7" s="1029"/>
    </row>
    <row r="8" spans="1:15">
      <c r="A8">
        <v>254</v>
      </c>
      <c r="B8" s="1028">
        <v>43952</v>
      </c>
      <c r="C8" s="234"/>
      <c r="D8" s="234"/>
      <c r="E8" s="234"/>
      <c r="F8" s="234"/>
      <c r="G8" s="234"/>
      <c r="H8" s="234"/>
      <c r="I8" s="1029"/>
      <c r="N8" s="234"/>
      <c r="O8" s="1029"/>
    </row>
    <row r="9" spans="1:15">
      <c r="A9">
        <v>210</v>
      </c>
      <c r="B9" s="1028">
        <v>43952</v>
      </c>
      <c r="C9" s="234"/>
      <c r="D9" s="234"/>
      <c r="E9" s="234"/>
      <c r="F9" s="234"/>
      <c r="G9" s="234"/>
      <c r="H9" s="234"/>
      <c r="I9" s="1029"/>
      <c r="N9" s="234"/>
      <c r="O9" s="1029"/>
    </row>
    <row r="10" spans="1:15">
      <c r="A10">
        <v>258</v>
      </c>
      <c r="B10" s="1028">
        <v>44013</v>
      </c>
      <c r="C10" s="234"/>
      <c r="D10" s="234"/>
      <c r="E10" s="234"/>
      <c r="F10" s="234"/>
      <c r="G10" s="234"/>
      <c r="H10" s="234"/>
      <c r="I10" s="1029"/>
    </row>
    <row r="11" spans="1:15">
      <c r="A11">
        <v>247</v>
      </c>
      <c r="B11" s="1028">
        <v>44013</v>
      </c>
      <c r="C11" s="234"/>
      <c r="D11" s="234"/>
      <c r="E11" s="234"/>
      <c r="F11" s="234"/>
      <c r="G11" s="234"/>
      <c r="H11" s="234"/>
      <c r="I11" s="1029"/>
    </row>
    <row r="12" spans="1:15">
      <c r="A12">
        <v>248</v>
      </c>
      <c r="B12" s="1028">
        <v>44013</v>
      </c>
      <c r="C12" s="234"/>
      <c r="D12" s="234"/>
      <c r="E12" s="234"/>
      <c r="F12" s="234"/>
      <c r="G12" s="234"/>
      <c r="H12" s="234"/>
      <c r="I12" s="1030"/>
    </row>
    <row r="13" spans="1:15">
      <c r="A13">
        <v>209</v>
      </c>
      <c r="B13" s="1028">
        <v>44013</v>
      </c>
      <c r="C13" s="234"/>
      <c r="D13" s="234"/>
      <c r="E13" s="234"/>
      <c r="F13" s="234"/>
      <c r="G13" s="234"/>
      <c r="H13" s="234"/>
      <c r="I13" s="1029"/>
    </row>
    <row r="14" spans="1:15">
      <c r="A14">
        <v>207</v>
      </c>
      <c r="B14" s="1028">
        <v>44013</v>
      </c>
      <c r="C14" s="234"/>
      <c r="D14" s="234"/>
      <c r="E14" s="234"/>
      <c r="F14" s="234"/>
      <c r="G14" s="234"/>
      <c r="H14" s="234"/>
      <c r="I14" s="1029"/>
    </row>
    <row r="15" spans="1:15">
      <c r="A15">
        <v>249</v>
      </c>
      <c r="B15" s="1028">
        <v>44013</v>
      </c>
      <c r="C15" s="234"/>
      <c r="D15" s="234"/>
      <c r="E15" s="234"/>
      <c r="F15" s="234"/>
      <c r="G15" s="234"/>
      <c r="H15" s="234"/>
      <c r="I15" s="1029"/>
    </row>
    <row r="16" spans="1:15">
      <c r="A16">
        <v>237</v>
      </c>
      <c r="B16" s="1028">
        <v>44013</v>
      </c>
      <c r="C16" s="234"/>
      <c r="D16" s="234"/>
      <c r="E16" s="234"/>
      <c r="F16" s="234"/>
      <c r="G16" s="234"/>
      <c r="H16" s="234"/>
      <c r="I16" s="1030"/>
    </row>
    <row r="17" spans="1:10">
      <c r="A17">
        <v>246</v>
      </c>
      <c r="B17" s="1028">
        <v>44013</v>
      </c>
      <c r="C17" s="234"/>
      <c r="D17" s="234"/>
      <c r="E17" s="234"/>
      <c r="F17" s="234"/>
      <c r="G17" s="234"/>
      <c r="H17" s="234"/>
      <c r="I17" s="1029"/>
    </row>
    <row r="18" spans="1:10">
      <c r="A18">
        <v>238</v>
      </c>
      <c r="B18" s="1028">
        <v>44013</v>
      </c>
      <c r="C18" s="234"/>
      <c r="D18" s="234"/>
      <c r="E18" s="234"/>
      <c r="F18" s="234"/>
      <c r="G18" s="234"/>
      <c r="H18" s="234"/>
      <c r="I18" s="1029"/>
    </row>
    <row r="19" spans="1:10">
      <c r="A19">
        <v>240</v>
      </c>
      <c r="B19" s="1028">
        <v>44013</v>
      </c>
      <c r="C19" s="234"/>
      <c r="D19" s="234"/>
      <c r="E19" s="234"/>
      <c r="F19" s="234"/>
      <c r="G19" s="234"/>
      <c r="H19" s="234"/>
      <c r="I19" s="1029"/>
      <c r="J19" s="234">
        <v>81721407.839354143</v>
      </c>
    </row>
    <row r="20" spans="1:10">
      <c r="A20">
        <v>242</v>
      </c>
      <c r="B20" s="1028">
        <v>44013</v>
      </c>
      <c r="C20" s="234"/>
      <c r="D20" s="234"/>
      <c r="E20" s="234"/>
      <c r="F20" s="234"/>
      <c r="G20" s="234"/>
      <c r="H20" s="234"/>
      <c r="I20" s="1029"/>
    </row>
    <row r="21" spans="1:10">
      <c r="A21">
        <v>245</v>
      </c>
      <c r="B21" s="1028">
        <v>44013</v>
      </c>
      <c r="C21" s="234"/>
      <c r="D21" s="234"/>
      <c r="E21" s="234"/>
      <c r="F21" s="234"/>
      <c r="G21" s="234"/>
      <c r="H21" s="234"/>
      <c r="I21" s="1029"/>
    </row>
    <row r="22" spans="1:10">
      <c r="A22">
        <v>257</v>
      </c>
      <c r="B22" s="1028">
        <v>44013</v>
      </c>
      <c r="C22" s="234"/>
      <c r="D22" s="234"/>
      <c r="E22" s="234"/>
      <c r="F22" s="234"/>
      <c r="G22" s="234"/>
      <c r="H22" s="234"/>
      <c r="I22" s="1029"/>
    </row>
    <row r="23" spans="1:10">
      <c r="A23">
        <v>239</v>
      </c>
      <c r="B23" s="1028">
        <v>44013</v>
      </c>
      <c r="C23" s="234"/>
      <c r="D23" s="234"/>
      <c r="E23" s="234"/>
      <c r="F23" s="234"/>
      <c r="G23" s="234"/>
      <c r="H23" s="234"/>
      <c r="I23" s="1029"/>
    </row>
    <row r="24" spans="1:10">
      <c r="A24">
        <v>232</v>
      </c>
      <c r="B24" s="1028">
        <v>44075</v>
      </c>
      <c r="C24" s="234"/>
      <c r="D24" s="234"/>
      <c r="E24" s="234"/>
      <c r="F24" s="234"/>
      <c r="G24" s="234"/>
      <c r="H24" s="234"/>
      <c r="I24" s="1029"/>
    </row>
    <row r="25" spans="1:10">
      <c r="A25">
        <v>222</v>
      </c>
      <c r="B25" s="1028">
        <v>44075</v>
      </c>
      <c r="C25" s="234"/>
      <c r="D25" s="234"/>
      <c r="E25" s="234"/>
      <c r="F25" s="234"/>
      <c r="G25" s="234"/>
      <c r="H25" s="234"/>
      <c r="I25" s="1029"/>
    </row>
    <row r="26" spans="1:10">
      <c r="A26">
        <v>202</v>
      </c>
      <c r="B26" s="1028">
        <v>44075</v>
      </c>
      <c r="C26" s="234"/>
      <c r="D26" s="234"/>
      <c r="E26" s="234"/>
      <c r="F26" s="234"/>
      <c r="G26" s="234"/>
      <c r="H26" s="234"/>
      <c r="I26" s="1029"/>
    </row>
    <row r="27" spans="1:10">
      <c r="A27">
        <v>260</v>
      </c>
      <c r="B27" s="1028">
        <v>44075</v>
      </c>
      <c r="C27" s="234"/>
      <c r="D27" s="234"/>
      <c r="E27" s="234"/>
      <c r="F27" s="234"/>
      <c r="G27" s="234"/>
      <c r="H27" s="234"/>
      <c r="I27" s="1029"/>
    </row>
    <row r="28" spans="1:10">
      <c r="A28">
        <v>230</v>
      </c>
      <c r="B28" s="1028">
        <v>44075</v>
      </c>
      <c r="C28" s="234"/>
      <c r="D28" s="234"/>
      <c r="E28" s="234"/>
      <c r="F28" s="234"/>
      <c r="G28" s="234"/>
      <c r="H28" s="234"/>
      <c r="I28" s="1029"/>
    </row>
    <row r="29" spans="1:10">
      <c r="A29">
        <v>221</v>
      </c>
      <c r="B29" s="1028">
        <v>44075</v>
      </c>
      <c r="C29" s="234"/>
      <c r="D29" s="234"/>
      <c r="E29" s="234"/>
      <c r="F29" s="234"/>
      <c r="G29" s="234"/>
      <c r="H29" s="234"/>
      <c r="I29" s="1029"/>
    </row>
    <row r="30" spans="1:10">
      <c r="A30">
        <v>218</v>
      </c>
      <c r="B30" s="1028">
        <v>44075</v>
      </c>
      <c r="C30" s="234"/>
      <c r="D30" s="234"/>
      <c r="E30" s="234"/>
      <c r="F30" s="234"/>
      <c r="G30" s="234"/>
      <c r="H30" s="234"/>
      <c r="I30" s="1029"/>
    </row>
    <row r="31" spans="1:10">
      <c r="A31">
        <v>261</v>
      </c>
      <c r="B31" s="1028">
        <v>44075</v>
      </c>
      <c r="C31" s="234"/>
      <c r="D31" s="234"/>
      <c r="E31" s="234"/>
      <c r="F31" s="234"/>
      <c r="G31" s="234"/>
      <c r="H31" s="234"/>
      <c r="I31" s="1029"/>
    </row>
    <row r="32" spans="1:10">
      <c r="A32">
        <v>262</v>
      </c>
      <c r="B32" s="1028">
        <v>44075</v>
      </c>
      <c r="C32" s="234"/>
      <c r="D32" s="234"/>
      <c r="E32" s="234"/>
      <c r="F32" s="234"/>
      <c r="G32" s="234"/>
      <c r="H32" s="234"/>
      <c r="I32" s="1029"/>
    </row>
    <row r="33" spans="1:9">
      <c r="A33">
        <v>227</v>
      </c>
      <c r="B33" s="1028">
        <v>44075</v>
      </c>
      <c r="C33" s="234"/>
      <c r="D33" s="234"/>
      <c r="E33" s="234"/>
      <c r="F33" s="234"/>
      <c r="G33" s="234"/>
      <c r="H33" s="234"/>
      <c r="I33" s="1029"/>
    </row>
    <row r="34" spans="1:9">
      <c r="A34">
        <v>231</v>
      </c>
      <c r="B34" s="1028">
        <v>44075</v>
      </c>
      <c r="C34" s="234"/>
      <c r="D34" s="234"/>
      <c r="E34" s="234"/>
      <c r="F34" s="234"/>
      <c r="G34" s="234"/>
      <c r="H34" s="234"/>
      <c r="I34" s="1029"/>
    </row>
    <row r="35" spans="1:9">
      <c r="A35">
        <v>216</v>
      </c>
      <c r="B35" s="1028">
        <v>44075</v>
      </c>
      <c r="C35" s="234"/>
      <c r="D35" s="234"/>
      <c r="E35" s="234"/>
      <c r="F35" s="234"/>
      <c r="G35" s="234"/>
      <c r="H35" s="234"/>
      <c r="I35" s="1029"/>
    </row>
    <row r="36" spans="1:9">
      <c r="A36">
        <v>229</v>
      </c>
      <c r="B36" s="1028">
        <v>44075</v>
      </c>
      <c r="C36" s="234"/>
      <c r="D36" s="234"/>
      <c r="E36" s="234"/>
      <c r="F36" s="234"/>
      <c r="G36" s="234"/>
      <c r="H36" s="234"/>
      <c r="I36" s="1029"/>
    </row>
    <row r="37" spans="1:9">
      <c r="A37">
        <v>215</v>
      </c>
      <c r="B37" s="1028">
        <v>44075</v>
      </c>
      <c r="C37" s="234"/>
      <c r="D37" s="234"/>
      <c r="E37" s="234"/>
      <c r="F37" s="234"/>
      <c r="G37" s="234"/>
      <c r="H37" s="234"/>
      <c r="I37" s="1029"/>
    </row>
    <row r="38" spans="1:9">
      <c r="A38">
        <v>224</v>
      </c>
      <c r="B38" s="1028">
        <v>44075</v>
      </c>
      <c r="C38" s="234"/>
      <c r="D38" s="234"/>
      <c r="E38" s="234"/>
      <c r="F38" s="234"/>
      <c r="G38" s="234"/>
      <c r="H38" s="234"/>
      <c r="I38" s="1029"/>
    </row>
    <row r="39" spans="1:9">
      <c r="A39">
        <v>226</v>
      </c>
      <c r="B39" s="1028">
        <v>44075</v>
      </c>
      <c r="C39" s="234"/>
      <c r="D39" s="234"/>
      <c r="E39" s="234"/>
      <c r="F39" s="234"/>
      <c r="G39" s="234"/>
      <c r="H39" s="234"/>
      <c r="I39" s="1029"/>
    </row>
    <row r="40" spans="1:9">
      <c r="A40">
        <v>234</v>
      </c>
      <c r="B40" s="1028">
        <v>44075</v>
      </c>
      <c r="C40" s="234"/>
      <c r="D40" s="234"/>
      <c r="E40" s="234"/>
      <c r="F40" s="234"/>
      <c r="G40" s="234"/>
      <c r="H40" s="234"/>
      <c r="I40" s="1029"/>
    </row>
    <row r="41" spans="1:9">
      <c r="A41">
        <v>223</v>
      </c>
      <c r="B41" s="1028">
        <v>44075</v>
      </c>
      <c r="C41" s="234"/>
      <c r="D41" s="234"/>
      <c r="E41" s="234"/>
      <c r="F41" s="234"/>
      <c r="G41" s="234"/>
      <c r="H41" s="234"/>
      <c r="I41" s="1029"/>
    </row>
    <row r="42" spans="1:9">
      <c r="A42">
        <v>225</v>
      </c>
      <c r="B42" s="1028">
        <v>44075</v>
      </c>
      <c r="C42" s="234"/>
      <c r="D42" s="234"/>
      <c r="E42" s="234"/>
      <c r="F42" s="234"/>
      <c r="G42" s="234"/>
      <c r="H42" s="234"/>
      <c r="I42" s="1029"/>
    </row>
    <row r="43" spans="1:9">
      <c r="A43">
        <v>228</v>
      </c>
      <c r="B43" s="1028">
        <v>44075</v>
      </c>
      <c r="C43" s="234"/>
      <c r="D43" s="234"/>
      <c r="E43" s="234"/>
      <c r="F43" s="234"/>
      <c r="G43" s="234"/>
      <c r="H43" s="234"/>
      <c r="I43" s="1029"/>
    </row>
    <row r="44" spans="1:9">
      <c r="A44">
        <v>220</v>
      </c>
      <c r="B44" s="1028">
        <v>44075</v>
      </c>
      <c r="C44" s="234"/>
      <c r="D44" s="234"/>
      <c r="E44" s="234"/>
      <c r="F44" s="234"/>
      <c r="G44" s="234"/>
      <c r="H44" s="234"/>
      <c r="I44" s="1029"/>
    </row>
    <row r="45" spans="1:9">
      <c r="A45">
        <v>201</v>
      </c>
      <c r="B45" s="1028">
        <v>44136</v>
      </c>
      <c r="C45" s="234"/>
      <c r="D45" s="234"/>
      <c r="E45" s="234"/>
      <c r="F45" s="234"/>
      <c r="G45" s="234"/>
      <c r="H45" s="234"/>
      <c r="I45" s="1029"/>
    </row>
    <row r="46" spans="1:9">
      <c r="A46">
        <v>213</v>
      </c>
      <c r="B46" s="1028">
        <v>44136</v>
      </c>
      <c r="C46" s="234"/>
      <c r="D46" s="234"/>
      <c r="E46" s="234"/>
      <c r="F46" s="234"/>
      <c r="G46" s="234"/>
      <c r="H46" s="234"/>
      <c r="I46" s="1029"/>
    </row>
    <row r="47" spans="1:9">
      <c r="A47">
        <v>219</v>
      </c>
      <c r="B47" s="1028">
        <v>44136</v>
      </c>
      <c r="C47" s="234"/>
      <c r="D47" s="234"/>
      <c r="E47" s="234"/>
      <c r="F47" s="234"/>
      <c r="G47" s="234"/>
      <c r="H47" s="234"/>
      <c r="I47" s="1029"/>
    </row>
    <row r="48" spans="1:9">
      <c r="A48">
        <v>205</v>
      </c>
      <c r="B48" s="1028">
        <v>44136</v>
      </c>
      <c r="C48" s="234"/>
      <c r="D48" s="234"/>
      <c r="E48" s="234"/>
      <c r="F48" s="234"/>
      <c r="G48" s="234"/>
      <c r="H48" s="234"/>
      <c r="I48" s="1029"/>
    </row>
    <row r="49" spans="1:10">
      <c r="A49">
        <v>208</v>
      </c>
      <c r="B49" s="1028">
        <v>44136</v>
      </c>
      <c r="C49" s="234"/>
      <c r="D49" s="234"/>
      <c r="E49" s="234"/>
      <c r="F49" s="234"/>
      <c r="G49" s="234"/>
      <c r="H49" s="234"/>
      <c r="I49" s="1029"/>
    </row>
    <row r="50" spans="1:10">
      <c r="A50">
        <v>263</v>
      </c>
      <c r="B50" s="1028">
        <v>44166</v>
      </c>
      <c r="C50" s="234"/>
      <c r="D50" s="234"/>
      <c r="F50" s="234"/>
      <c r="G50" s="234"/>
      <c r="H50" s="234"/>
      <c r="I50" s="1029"/>
      <c r="J50" s="234">
        <v>5389974.3136365721</v>
      </c>
    </row>
    <row r="51" spans="1:10">
      <c r="A51">
        <v>217</v>
      </c>
      <c r="B51" s="1028">
        <v>44166</v>
      </c>
      <c r="C51" s="234"/>
      <c r="D51" s="234"/>
      <c r="E51" s="234"/>
      <c r="F51" s="234"/>
      <c r="G51" s="234"/>
      <c r="H51" s="234"/>
      <c r="I51" s="1029"/>
      <c r="J51" s="234"/>
    </row>
    <row r="52" spans="1:10">
      <c r="A52">
        <v>264</v>
      </c>
      <c r="B52" s="1028">
        <v>44166</v>
      </c>
      <c r="C52" s="234"/>
      <c r="D52" s="234"/>
      <c r="F52" s="234"/>
      <c r="G52" s="234"/>
      <c r="H52" s="234"/>
      <c r="I52" s="1029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M76"/>
  <sheetViews>
    <sheetView showGridLines="0" topLeftCell="U1" zoomScale="106" zoomScaleNormal="106" workbookViewId="0">
      <selection activeCell="AB17" sqref="AB17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5.5703125" style="68" customWidth="1"/>
    <col min="36" max="36" width="36.140625" style="68" customWidth="1"/>
    <col min="37" max="37" width="9.140625" style="68"/>
    <col min="38" max="38" width="23.42578125" style="74" customWidth="1"/>
    <col min="39" max="39" width="30" style="68" customWidth="1"/>
    <col min="40" max="16384" width="9.140625" style="68"/>
  </cols>
  <sheetData>
    <row r="1" spans="2:39" ht="24.75" customHeight="1">
      <c r="B1" s="1065" t="s">
        <v>12</v>
      </c>
      <c r="C1" s="1066"/>
      <c r="D1" s="1066"/>
      <c r="E1" s="1067" t="s">
        <v>13</v>
      </c>
      <c r="F1" s="1068">
        <f ca="1">LnkTXTIRTEco</f>
        <v>0.25069999999999998</v>
      </c>
    </row>
    <row r="2" spans="2:39" ht="28.5" customHeight="1">
      <c r="B2" s="138" t="str">
        <f>CAPA!C9</f>
        <v>Cerpro</v>
      </c>
      <c r="C2" s="70"/>
      <c r="D2" s="70"/>
      <c r="E2" s="84" t="s">
        <v>14</v>
      </c>
      <c r="F2" s="85">
        <f ca="1">LnkTXTIRTTotal</f>
        <v>0.19489999999999999</v>
      </c>
      <c r="M2" s="86"/>
      <c r="N2" s="87"/>
      <c r="AA2" s="925"/>
      <c r="AB2" s="1027"/>
      <c r="AC2" s="925"/>
      <c r="AD2" s="925"/>
    </row>
    <row r="3" spans="2:39" ht="21" customHeight="1">
      <c r="B3" s="1069" t="s">
        <v>15</v>
      </c>
      <c r="C3" s="834"/>
      <c r="I3" s="1069" t="s">
        <v>16</v>
      </c>
    </row>
    <row r="4" spans="2:39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39" ht="16.5" customHeight="1">
      <c r="B5" s="1070" t="s">
        <v>17</v>
      </c>
      <c r="C5" s="1071">
        <v>54321.771000000001</v>
      </c>
      <c r="D5" s="1683" t="s">
        <v>18</v>
      </c>
      <c r="E5" s="91"/>
      <c r="F5" s="72"/>
      <c r="G5" s="72"/>
      <c r="H5" s="72" t="s">
        <v>19</v>
      </c>
      <c r="I5" s="495" t="s">
        <v>20</v>
      </c>
      <c r="J5" s="495" t="s">
        <v>21</v>
      </c>
      <c r="K5" s="495"/>
      <c r="L5" s="495" t="s">
        <v>22</v>
      </c>
      <c r="M5" s="495" t="s">
        <v>23</v>
      </c>
      <c r="N5" s="495" t="s">
        <v>24</v>
      </c>
      <c r="O5" s="495"/>
      <c r="P5" s="495"/>
      <c r="Q5" s="495" t="s">
        <v>25</v>
      </c>
      <c r="R5" s="495" t="s">
        <v>26</v>
      </c>
      <c r="S5" s="833" t="s">
        <v>27</v>
      </c>
      <c r="T5" s="495" t="s">
        <v>28</v>
      </c>
      <c r="U5" s="71" t="s">
        <v>29</v>
      </c>
      <c r="V5" s="833" t="s">
        <v>30</v>
      </c>
      <c r="AA5" s="68" t="s">
        <v>31</v>
      </c>
      <c r="AB5" s="68" t="s">
        <v>32</v>
      </c>
      <c r="AC5" s="68" t="s">
        <v>20</v>
      </c>
      <c r="AD5" s="925" t="s">
        <v>33</v>
      </c>
      <c r="AE5" s="925" t="s">
        <v>2211</v>
      </c>
      <c r="AI5" s="990" t="s">
        <v>34</v>
      </c>
      <c r="AJ5" s="990" t="s">
        <v>35</v>
      </c>
      <c r="AL5" s="1008" t="s">
        <v>36</v>
      </c>
      <c r="AM5" s="1008" t="s">
        <v>37</v>
      </c>
    </row>
    <row r="6" spans="2:39" ht="16.5">
      <c r="B6" s="94"/>
      <c r="C6" s="89"/>
      <c r="D6" s="1684"/>
      <c r="E6" s="91"/>
      <c r="F6" s="72"/>
      <c r="G6" s="72"/>
      <c r="H6" s="68" t="str">
        <f>CONCATENATE(W6,J6,L6,O6)</f>
        <v>63A4Não se aplicaEnergia</v>
      </c>
      <c r="I6" s="1072">
        <v>2022</v>
      </c>
      <c r="J6" s="1073" t="s">
        <v>595</v>
      </c>
      <c r="K6" s="1073" t="s">
        <v>828</v>
      </c>
      <c r="L6" s="1073" t="s">
        <v>1323</v>
      </c>
      <c r="M6" s="1073" t="s">
        <v>328</v>
      </c>
      <c r="N6" s="1073">
        <v>5384</v>
      </c>
      <c r="O6" s="1073" t="s">
        <v>120</v>
      </c>
      <c r="P6" s="1073" t="s">
        <v>829</v>
      </c>
      <c r="Q6" s="1074">
        <v>44659</v>
      </c>
      <c r="R6" s="1074">
        <v>44651</v>
      </c>
      <c r="S6" s="523" t="s">
        <v>535</v>
      </c>
      <c r="T6" s="1074" t="s">
        <v>2233</v>
      </c>
      <c r="U6" s="1073">
        <v>13.69</v>
      </c>
      <c r="V6" s="1073">
        <v>136</v>
      </c>
      <c r="W6" s="68">
        <f>VLOOKUP(V6,DescontosTE[[#All],[idsreag supridora]:[codsariSUP]],2,FALSE)</f>
        <v>63</v>
      </c>
      <c r="AA6" s="926"/>
      <c r="AB6" s="927"/>
      <c r="AC6" s="926"/>
      <c r="AD6" s="926"/>
      <c r="AE6" s="926"/>
      <c r="AI6" s="1006"/>
      <c r="AJ6" s="1007"/>
      <c r="AL6" s="1009"/>
      <c r="AM6" s="1010"/>
    </row>
    <row r="7" spans="2:39" ht="16.5">
      <c r="B7" s="1075" t="s">
        <v>38</v>
      </c>
      <c r="C7" s="1076">
        <v>0</v>
      </c>
      <c r="D7" s="1684"/>
      <c r="E7" s="72"/>
      <c r="F7" s="72"/>
      <c r="G7" s="72"/>
      <c r="H7" s="68" t="str">
        <f t="shared" ref="H7:H30" si="0">CONCATENATE(W7,J7,L7,O7)</f>
        <v>63A4PontaPotência</v>
      </c>
      <c r="I7" s="521">
        <v>2022</v>
      </c>
      <c r="J7" s="522" t="s">
        <v>595</v>
      </c>
      <c r="K7" s="522" t="s">
        <v>828</v>
      </c>
      <c r="L7" s="522" t="s">
        <v>972</v>
      </c>
      <c r="M7" s="522" t="s">
        <v>328</v>
      </c>
      <c r="N7" s="522">
        <v>5384</v>
      </c>
      <c r="O7" s="522" t="s">
        <v>1322</v>
      </c>
      <c r="P7" s="522" t="s">
        <v>829</v>
      </c>
      <c r="Q7" s="523">
        <v>44659</v>
      </c>
      <c r="R7" s="523">
        <v>44651</v>
      </c>
      <c r="S7" s="523" t="s">
        <v>535</v>
      </c>
      <c r="T7" s="523" t="s">
        <v>2233</v>
      </c>
      <c r="U7" s="522">
        <v>28.58</v>
      </c>
      <c r="V7" s="522">
        <v>136</v>
      </c>
      <c r="W7" s="68">
        <f>VLOOKUP(V7,DescontosTE[[#All],[idsreag supridora]:[codsariSUP]],2,FALSE)</f>
        <v>63</v>
      </c>
      <c r="AA7" s="926"/>
      <c r="AB7" s="927"/>
      <c r="AC7" s="926"/>
      <c r="AD7" s="926"/>
      <c r="AE7" s="926"/>
      <c r="AI7" s="1006"/>
      <c r="AJ7" s="1007"/>
      <c r="AL7" s="1009"/>
      <c r="AM7" s="1010"/>
    </row>
    <row r="8" spans="2:39" ht="16.5">
      <c r="B8" s="94" t="s">
        <v>39</v>
      </c>
      <c r="C8" s="120">
        <v>0</v>
      </c>
      <c r="D8" s="1684"/>
      <c r="E8" s="72"/>
      <c r="F8" s="72"/>
      <c r="G8" s="72"/>
      <c r="H8" s="68" t="str">
        <f t="shared" si="0"/>
        <v>63A4Fora pontaPotência</v>
      </c>
      <c r="I8" s="521">
        <v>2022</v>
      </c>
      <c r="J8" s="522" t="s">
        <v>595</v>
      </c>
      <c r="K8" s="522" t="s">
        <v>828</v>
      </c>
      <c r="L8" s="522" t="s">
        <v>2234</v>
      </c>
      <c r="M8" s="522" t="s">
        <v>328</v>
      </c>
      <c r="N8" s="522">
        <v>5384</v>
      </c>
      <c r="O8" s="522" t="s">
        <v>1322</v>
      </c>
      <c r="P8" s="522" t="s">
        <v>829</v>
      </c>
      <c r="Q8" s="523">
        <v>44659</v>
      </c>
      <c r="R8" s="523">
        <v>44651</v>
      </c>
      <c r="S8" s="523" t="s">
        <v>535</v>
      </c>
      <c r="T8" s="523" t="s">
        <v>2233</v>
      </c>
      <c r="U8" s="522">
        <v>12.84</v>
      </c>
      <c r="V8" s="522">
        <v>136</v>
      </c>
      <c r="W8" s="68">
        <f>VLOOKUP(V8,DescontosTE[[#All],[idsreag supridora]:[codsariSUP]],2,FALSE)</f>
        <v>63</v>
      </c>
      <c r="AI8" s="1006"/>
      <c r="AJ8" s="1007"/>
      <c r="AL8" s="1009"/>
      <c r="AM8" s="1010"/>
    </row>
    <row r="9" spans="2:39" ht="16.5">
      <c r="B9" s="94" t="s">
        <v>40</v>
      </c>
      <c r="C9" s="120">
        <v>48628.475618986442</v>
      </c>
      <c r="D9" s="1684"/>
      <c r="E9" s="72"/>
      <c r="F9" s="72"/>
      <c r="G9" s="72"/>
      <c r="H9" s="68" t="e">
        <f t="shared" si="0"/>
        <v>#N/A</v>
      </c>
      <c r="I9" s="521"/>
      <c r="J9" s="522"/>
      <c r="K9" s="522"/>
      <c r="L9" s="522"/>
      <c r="M9" s="522"/>
      <c r="N9" s="522"/>
      <c r="O9" s="522"/>
      <c r="P9" s="522"/>
      <c r="Q9" s="523"/>
      <c r="R9" s="523"/>
      <c r="S9" s="523"/>
      <c r="T9" s="523"/>
      <c r="U9" s="522"/>
      <c r="V9" s="522"/>
      <c r="W9" s="68" t="e">
        <f>VLOOKUP(V9,DescontosTE[[#All],[idsreag supridora]:[codsariSUP]],2,FALSE)</f>
        <v>#N/A</v>
      </c>
      <c r="AI9" s="1006"/>
      <c r="AJ9" s="1007"/>
      <c r="AL9" s="1009"/>
      <c r="AM9" s="1010"/>
    </row>
    <row r="10" spans="2:39" ht="16.5">
      <c r="B10" s="94" t="s">
        <v>41</v>
      </c>
      <c r="C10" s="120">
        <v>2909045.8783199997</v>
      </c>
      <c r="D10" s="1684"/>
      <c r="H10" s="68" t="e">
        <f t="shared" si="0"/>
        <v>#N/A</v>
      </c>
      <c r="I10" s="521"/>
      <c r="J10" s="522"/>
      <c r="K10" s="522"/>
      <c r="L10" s="522"/>
      <c r="M10" s="522"/>
      <c r="N10" s="522"/>
      <c r="O10" s="522"/>
      <c r="P10" s="522"/>
      <c r="Q10" s="523"/>
      <c r="R10" s="523"/>
      <c r="S10" s="523"/>
      <c r="T10" s="523"/>
      <c r="U10" s="522"/>
      <c r="V10" s="522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931" t="s">
        <v>45</v>
      </c>
      <c r="AI10" s="1006"/>
      <c r="AJ10" s="1007"/>
      <c r="AL10" s="1009"/>
      <c r="AM10" s="1010"/>
    </row>
    <row r="11" spans="2:39" ht="16.5">
      <c r="B11" s="94" t="s">
        <v>46</v>
      </c>
      <c r="C11" s="120">
        <v>0</v>
      </c>
      <c r="D11" s="1684"/>
      <c r="H11" s="68" t="e">
        <f t="shared" si="0"/>
        <v>#N/A</v>
      </c>
      <c r="I11" s="521"/>
      <c r="J11" s="522"/>
      <c r="K11" s="522"/>
      <c r="L11" s="522"/>
      <c r="M11" s="522"/>
      <c r="N11" s="522"/>
      <c r="O11" s="522"/>
      <c r="P11" s="522"/>
      <c r="Q11" s="523"/>
      <c r="R11" s="523"/>
      <c r="S11" s="523"/>
      <c r="T11" s="523"/>
      <c r="U11" s="522"/>
      <c r="V11" s="522"/>
      <c r="W11" s="68" t="e">
        <f>VLOOKUP(V11,DescontosTE[[#All],[idsreag supridora]:[codsariSUP]],2,FALSE)</f>
        <v>#N/A</v>
      </c>
      <c r="AA11" s="926">
        <v>0.88508330000000002</v>
      </c>
      <c r="AB11" s="927">
        <v>169.95</v>
      </c>
      <c r="AC11" s="926">
        <v>14739.74</v>
      </c>
      <c r="AD11" s="926"/>
      <c r="AI11" s="1006"/>
      <c r="AJ11" s="1007"/>
      <c r="AL11" s="1009"/>
      <c r="AM11" s="1010"/>
    </row>
    <row r="12" spans="2:39" ht="16.5">
      <c r="B12" s="94" t="s">
        <v>47</v>
      </c>
      <c r="C12" s="120">
        <v>506096.83951999998</v>
      </c>
      <c r="D12" s="1684"/>
      <c r="H12" s="68" t="e">
        <f t="shared" si="0"/>
        <v>#N/A</v>
      </c>
      <c r="I12" s="521"/>
      <c r="J12" s="522"/>
      <c r="K12" s="522"/>
      <c r="L12" s="522"/>
      <c r="M12" s="522"/>
      <c r="N12" s="522"/>
      <c r="O12" s="522"/>
      <c r="P12" s="522"/>
      <c r="Q12" s="523"/>
      <c r="R12" s="523"/>
      <c r="S12" s="523"/>
      <c r="T12" s="523"/>
      <c r="U12" s="522"/>
      <c r="V12" s="522"/>
      <c r="W12" s="68" t="e">
        <f>VLOOKUP(V12,DescontosTE[[#All],[idsreag supridora]:[codsariSUP]],2,FALSE)</f>
        <v>#N/A</v>
      </c>
      <c r="AI12" s="1006"/>
      <c r="AJ12" s="1007"/>
      <c r="AL12" s="1009"/>
      <c r="AM12" s="1010"/>
    </row>
    <row r="13" spans="2:39" ht="16.5">
      <c r="B13" s="94" t="s">
        <v>48</v>
      </c>
      <c r="C13" s="120">
        <v>0</v>
      </c>
      <c r="D13" s="1684"/>
      <c r="H13" s="68" t="e">
        <f t="shared" si="0"/>
        <v>#N/A</v>
      </c>
      <c r="I13" s="521"/>
      <c r="J13" s="522"/>
      <c r="K13" s="522"/>
      <c r="L13" s="522"/>
      <c r="M13" s="522"/>
      <c r="N13" s="522"/>
      <c r="O13" s="522"/>
      <c r="P13" s="522"/>
      <c r="Q13" s="523"/>
      <c r="R13" s="523"/>
      <c r="S13" s="523"/>
      <c r="T13" s="523"/>
      <c r="U13" s="522"/>
      <c r="V13" s="522"/>
      <c r="W13" s="68" t="e">
        <f>VLOOKUP(V13,DescontosTE[[#All],[idsreag supridora]:[codsariSUP]],2,FALSE)</f>
        <v>#N/A</v>
      </c>
      <c r="AI13" s="1006"/>
      <c r="AJ13" s="1007"/>
      <c r="AL13" s="1009"/>
      <c r="AM13" s="1010"/>
    </row>
    <row r="14" spans="2:39" ht="16.5">
      <c r="B14" s="94" t="s">
        <v>49</v>
      </c>
      <c r="C14" s="120">
        <v>0</v>
      </c>
      <c r="D14" s="1684"/>
      <c r="H14" s="68" t="e">
        <f t="shared" si="0"/>
        <v>#N/A</v>
      </c>
      <c r="I14" s="521"/>
      <c r="J14" s="522"/>
      <c r="K14" s="522"/>
      <c r="L14" s="522"/>
      <c r="M14" s="522"/>
      <c r="N14" s="522"/>
      <c r="O14" s="522"/>
      <c r="P14" s="522"/>
      <c r="Q14" s="523"/>
      <c r="R14" s="523"/>
      <c r="S14" s="523"/>
      <c r="T14" s="523"/>
      <c r="U14" s="522"/>
      <c r="V14" s="522"/>
      <c r="W14" s="68" t="e">
        <f>VLOOKUP(V14,DescontosTE[[#All],[idsreag supridora]:[codsariSUP]],2,FALSE)</f>
        <v>#N/A</v>
      </c>
      <c r="AA14" s="849"/>
      <c r="AB14" s="849"/>
      <c r="AC14" s="849"/>
      <c r="AI14" s="1006"/>
      <c r="AJ14" s="1007"/>
      <c r="AL14" s="1009"/>
      <c r="AM14" s="1010"/>
    </row>
    <row r="15" spans="2:39" ht="16.5">
      <c r="B15" s="1077" t="s">
        <v>2212</v>
      </c>
      <c r="C15" s="1078"/>
      <c r="D15" s="1684"/>
      <c r="F15" s="93"/>
      <c r="H15" s="68" t="e">
        <f t="shared" si="0"/>
        <v>#N/A</v>
      </c>
      <c r="I15" s="521"/>
      <c r="J15" s="522"/>
      <c r="K15" s="522"/>
      <c r="L15" s="522"/>
      <c r="M15" s="522"/>
      <c r="N15" s="522"/>
      <c r="O15" s="522"/>
      <c r="P15" s="522"/>
      <c r="Q15" s="523"/>
      <c r="R15" s="523"/>
      <c r="S15" s="523"/>
      <c r="T15" s="523"/>
      <c r="U15" s="522"/>
      <c r="V15" s="522"/>
      <c r="W15" s="68" t="e">
        <f>VLOOKUP(V15,DescontosTE[[#All],[idsreag supridora]:[codsariSUP]],2,FALSE)</f>
        <v>#N/A</v>
      </c>
      <c r="AA15" s="1012" t="s">
        <v>122</v>
      </c>
      <c r="AB15" s="1012" t="s">
        <v>977</v>
      </c>
      <c r="AC15" s="849"/>
      <c r="AI15" s="1006"/>
      <c r="AJ15" s="1007"/>
      <c r="AL15" s="1009"/>
      <c r="AM15" s="1010"/>
    </row>
    <row r="16" spans="2:39" ht="16.5">
      <c r="D16" s="1684"/>
      <c r="F16" s="93"/>
      <c r="H16" s="68" t="e">
        <f t="shared" si="0"/>
        <v>#N/A</v>
      </c>
      <c r="I16" s="521"/>
      <c r="J16" s="522"/>
      <c r="K16" s="522"/>
      <c r="L16" s="522"/>
      <c r="M16" s="522"/>
      <c r="N16" s="522"/>
      <c r="O16" s="522"/>
      <c r="P16" s="522"/>
      <c r="Q16" s="523"/>
      <c r="R16" s="523"/>
      <c r="S16" s="523"/>
      <c r="T16" s="523"/>
      <c r="U16" s="522"/>
      <c r="V16" s="522"/>
      <c r="W16" s="68" t="e">
        <f>VLOOKUP(V16,DescontosTE[[#All],[idsreag supridora]:[codsariSUP]],2,FALSE)</f>
        <v>#N/A</v>
      </c>
      <c r="AA16" s="926">
        <v>2022</v>
      </c>
      <c r="AB16" s="927">
        <v>215.08</v>
      </c>
      <c r="AC16" s="925"/>
      <c r="AD16" s="925"/>
      <c r="AI16" s="1006"/>
      <c r="AJ16" s="1007"/>
      <c r="AL16" s="1009"/>
      <c r="AM16" s="1010"/>
    </row>
    <row r="17" spans="2:39" ht="16.5">
      <c r="B17" s="1070" t="s">
        <v>50</v>
      </c>
      <c r="C17" s="1079"/>
      <c r="D17" s="1684"/>
      <c r="F17" s="93"/>
      <c r="H17" s="68" t="e">
        <f t="shared" si="0"/>
        <v>#N/A</v>
      </c>
      <c r="I17" s="521"/>
      <c r="J17" s="522"/>
      <c r="K17" s="522"/>
      <c r="L17" s="522"/>
      <c r="M17" s="522"/>
      <c r="N17" s="522"/>
      <c r="O17" s="522"/>
      <c r="P17" s="522"/>
      <c r="Q17" s="523"/>
      <c r="R17" s="523"/>
      <c r="S17" s="523"/>
      <c r="T17" s="523"/>
      <c r="U17" s="522"/>
      <c r="V17" s="522"/>
      <c r="W17" s="68" t="e">
        <f>VLOOKUP(V17,DescontosTE[[#All],[idsreag supridora]:[codsariSUP]],2,FALSE)</f>
        <v>#N/A</v>
      </c>
      <c r="AI17" s="1006"/>
      <c r="AJ17" s="1007"/>
      <c r="AL17" s="932"/>
      <c r="AM17" s="927"/>
    </row>
    <row r="18" spans="2:39" ht="16.5">
      <c r="B18" s="94" t="s">
        <v>51</v>
      </c>
      <c r="C18" s="120">
        <v>0</v>
      </c>
      <c r="D18" s="1684"/>
      <c r="F18" s="93"/>
      <c r="H18" s="68" t="e">
        <f t="shared" si="0"/>
        <v>#N/A</v>
      </c>
      <c r="I18" s="521"/>
      <c r="J18" s="522"/>
      <c r="K18" s="522"/>
      <c r="L18" s="522"/>
      <c r="M18" s="522"/>
      <c r="N18" s="522"/>
      <c r="O18" s="522"/>
      <c r="P18" s="522"/>
      <c r="Q18" s="523"/>
      <c r="R18" s="523"/>
      <c r="S18" s="523"/>
      <c r="T18" s="523"/>
      <c r="U18" s="522"/>
      <c r="V18" s="522"/>
      <c r="W18" s="68" t="e">
        <f>VLOOKUP(V18,DescontosTE[[#All],[idsreag supridora]:[codsariSUP]],2,FALSE)</f>
        <v>#N/A</v>
      </c>
      <c r="AI18" s="1006"/>
      <c r="AJ18" s="1007"/>
      <c r="AL18" s="932"/>
      <c r="AM18" s="927"/>
    </row>
    <row r="19" spans="2:39" ht="16.5">
      <c r="B19" s="94" t="s">
        <v>52</v>
      </c>
      <c r="C19" s="120">
        <v>0</v>
      </c>
      <c r="D19" s="1684"/>
      <c r="F19" s="93"/>
      <c r="H19" s="68" t="e">
        <f t="shared" si="0"/>
        <v>#N/A</v>
      </c>
      <c r="I19" s="521"/>
      <c r="J19" s="522"/>
      <c r="K19" s="522"/>
      <c r="L19" s="522"/>
      <c r="M19" s="522"/>
      <c r="N19" s="522"/>
      <c r="O19" s="522"/>
      <c r="P19" s="522"/>
      <c r="Q19" s="523"/>
      <c r="R19" s="523"/>
      <c r="S19" s="523"/>
      <c r="T19" s="523"/>
      <c r="U19" s="522"/>
      <c r="V19" s="522"/>
      <c r="W19" s="68" t="e">
        <f>VLOOKUP(V19,DescontosTE[[#All],[idsreag supridora]:[codsariSUP]],2,FALSE)</f>
        <v>#N/A</v>
      </c>
      <c r="AI19" s="1006"/>
      <c r="AJ19" s="1007"/>
    </row>
    <row r="20" spans="2:39" ht="16.5">
      <c r="B20" s="94" t="s">
        <v>53</v>
      </c>
      <c r="C20" s="120"/>
      <c r="D20" s="1684"/>
      <c r="F20" s="93"/>
      <c r="H20" s="68" t="e">
        <f t="shared" si="0"/>
        <v>#N/A</v>
      </c>
      <c r="I20" s="521"/>
      <c r="J20" s="522"/>
      <c r="K20" s="522"/>
      <c r="L20" s="522"/>
      <c r="M20" s="522"/>
      <c r="N20" s="522"/>
      <c r="O20" s="522"/>
      <c r="P20" s="522"/>
      <c r="Q20" s="523"/>
      <c r="R20" s="523"/>
      <c r="S20" s="523"/>
      <c r="T20" s="523"/>
      <c r="U20" s="522"/>
      <c r="V20" s="522"/>
      <c r="W20" s="68" t="e">
        <f>VLOOKUP(V20,DescontosTE[[#All],[idsreag supridora]:[codsariSUP]],2,FALSE)</f>
        <v>#N/A</v>
      </c>
      <c r="AA20" s="928" t="s">
        <v>54</v>
      </c>
      <c r="AB20" s="928"/>
      <c r="AC20" s="929"/>
      <c r="AD20" s="929"/>
      <c r="AE20" s="929"/>
      <c r="AF20" s="929"/>
      <c r="AG20" s="930"/>
      <c r="AI20" s="932"/>
      <c r="AJ20" s="927"/>
    </row>
    <row r="21" spans="2:39" ht="16.5">
      <c r="B21" s="94" t="s">
        <v>55</v>
      </c>
      <c r="C21" s="120"/>
      <c r="D21" s="1684"/>
      <c r="F21" s="93"/>
      <c r="H21" s="68" t="e">
        <f t="shared" si="0"/>
        <v>#N/A</v>
      </c>
      <c r="I21" s="521"/>
      <c r="J21" s="522"/>
      <c r="K21" s="522"/>
      <c r="L21" s="522"/>
      <c r="M21" s="522"/>
      <c r="N21" s="522"/>
      <c r="O21" s="522"/>
      <c r="P21" s="522"/>
      <c r="Q21" s="523"/>
      <c r="R21" s="523"/>
      <c r="S21" s="523"/>
      <c r="T21" s="523"/>
      <c r="U21" s="522"/>
      <c r="V21" s="522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39" ht="16.5">
      <c r="B22" s="94" t="s">
        <v>63</v>
      </c>
      <c r="C22" s="120"/>
      <c r="D22" s="1684"/>
      <c r="H22" s="68" t="e">
        <f t="shared" si="0"/>
        <v>#N/A</v>
      </c>
      <c r="I22" s="521"/>
      <c r="J22" s="522"/>
      <c r="K22" s="522"/>
      <c r="L22" s="522"/>
      <c r="M22" s="522"/>
      <c r="N22" s="522"/>
      <c r="O22" s="522"/>
      <c r="P22" s="522"/>
      <c r="Q22" s="523"/>
      <c r="R22" s="523"/>
      <c r="S22" s="523"/>
      <c r="T22" s="523"/>
      <c r="U22" s="522"/>
      <c r="V22" s="522"/>
      <c r="W22" s="68" t="e">
        <f>VLOOKUP(V22,DescontosTE[[#All],[idsreag supridora]:[codsariSUP]],2,FALSE)</f>
        <v>#N/A</v>
      </c>
      <c r="AA22" s="926"/>
      <c r="AB22" s="927"/>
      <c r="AC22" s="926"/>
      <c r="AD22" s="926"/>
      <c r="AE22" s="927"/>
      <c r="AF22" s="932"/>
      <c r="AG22" s="926"/>
    </row>
    <row r="23" spans="2:39" ht="16.5">
      <c r="B23" s="94" t="s">
        <v>64</v>
      </c>
      <c r="C23" s="120"/>
      <c r="D23" s="1684"/>
      <c r="F23" s="93"/>
      <c r="H23" s="68" t="e">
        <f t="shared" si="0"/>
        <v>#N/A</v>
      </c>
      <c r="I23" s="521"/>
      <c r="J23" s="522"/>
      <c r="K23" s="522"/>
      <c r="L23" s="522"/>
      <c r="M23" s="522"/>
      <c r="N23" s="522"/>
      <c r="O23" s="522"/>
      <c r="P23" s="522"/>
      <c r="Q23" s="523"/>
      <c r="R23" s="523"/>
      <c r="S23" s="523"/>
      <c r="T23" s="523"/>
      <c r="U23" s="522"/>
      <c r="V23" s="522"/>
      <c r="W23" s="68" t="e">
        <f>VLOOKUP(V23,DescontosTE[[#All],[idsreag supridora]:[codsariSUP]],2,FALSE)</f>
        <v>#N/A</v>
      </c>
      <c r="AA23" s="926"/>
      <c r="AB23" s="927"/>
      <c r="AC23" s="926"/>
      <c r="AD23" s="926"/>
      <c r="AE23" s="927"/>
      <c r="AF23" s="926"/>
      <c r="AG23" s="926"/>
    </row>
    <row r="24" spans="2:39" ht="16.5">
      <c r="B24" s="94" t="s">
        <v>65</v>
      </c>
      <c r="C24" s="120">
        <v>0</v>
      </c>
      <c r="D24" s="1684"/>
      <c r="F24" s="93"/>
      <c r="H24" s="68" t="e">
        <f t="shared" si="0"/>
        <v>#N/A</v>
      </c>
      <c r="I24" s="521"/>
      <c r="J24" s="522"/>
      <c r="K24" s="522"/>
      <c r="L24" s="522"/>
      <c r="M24" s="522"/>
      <c r="N24" s="522"/>
      <c r="O24" s="522"/>
      <c r="P24" s="522"/>
      <c r="Q24" s="523"/>
      <c r="R24" s="523"/>
      <c r="S24" s="523"/>
      <c r="T24" s="523"/>
      <c r="U24" s="522"/>
      <c r="V24" s="522"/>
      <c r="W24" s="68" t="e">
        <f>VLOOKUP(V24,DescontosTE[[#All],[idsreag supridora]:[codsariSUP]],2,FALSE)</f>
        <v>#N/A</v>
      </c>
    </row>
    <row r="25" spans="2:39" ht="16.5">
      <c r="B25" s="94" t="s">
        <v>66</v>
      </c>
      <c r="C25" s="120">
        <v>4921262.5337096006</v>
      </c>
      <c r="D25" s="1684"/>
      <c r="H25" s="68" t="e">
        <f t="shared" si="0"/>
        <v>#N/A</v>
      </c>
      <c r="I25" s="521"/>
      <c r="J25" s="522"/>
      <c r="K25" s="522"/>
      <c r="L25" s="522"/>
      <c r="M25" s="522"/>
      <c r="N25" s="522"/>
      <c r="O25" s="522"/>
      <c r="P25" s="522"/>
      <c r="Q25" s="523"/>
      <c r="R25" s="523"/>
      <c r="S25" s="523"/>
      <c r="T25" s="523"/>
      <c r="U25" s="522"/>
      <c r="V25" s="522"/>
      <c r="W25" s="68" t="e">
        <f>VLOOKUP(V25,DescontosTE[[#All],[idsreag supridora]:[codsariSUP]],2,FALSE)</f>
        <v>#N/A</v>
      </c>
      <c r="AD25" s="925"/>
      <c r="AE25" s="1027"/>
      <c r="AF25" s="925"/>
      <c r="AG25" s="925"/>
    </row>
    <row r="26" spans="2:39" ht="16.5">
      <c r="B26" s="1070" t="s">
        <v>67</v>
      </c>
      <c r="C26" s="1080">
        <v>9043346.1600000001</v>
      </c>
      <c r="D26" s="1684"/>
      <c r="H26" s="68" t="e">
        <f t="shared" si="0"/>
        <v>#N/A</v>
      </c>
      <c r="I26" s="521"/>
      <c r="J26" s="522"/>
      <c r="K26" s="522"/>
      <c r="L26" s="522"/>
      <c r="M26" s="522"/>
      <c r="N26" s="522"/>
      <c r="O26" s="522"/>
      <c r="P26" s="522"/>
      <c r="Q26" s="523"/>
      <c r="R26" s="523"/>
      <c r="S26" s="523"/>
      <c r="T26" s="523"/>
      <c r="U26" s="522"/>
      <c r="V26" s="522"/>
      <c r="W26" s="68" t="e">
        <f>VLOOKUP(V26,DescontosTE[[#All],[idsreag supridora]:[codsariSUP]],2,FALSE)</f>
        <v>#N/A</v>
      </c>
      <c r="AD26" s="925"/>
      <c r="AE26" s="1027"/>
      <c r="AF26" s="925"/>
      <c r="AG26" s="925"/>
    </row>
    <row r="27" spans="2:39" ht="16.5">
      <c r="C27" s="69"/>
      <c r="D27" s="1684"/>
      <c r="H27" s="68" t="e">
        <f t="shared" si="0"/>
        <v>#N/A</v>
      </c>
      <c r="I27" s="521"/>
      <c r="J27" s="522"/>
      <c r="K27" s="522"/>
      <c r="L27" s="522"/>
      <c r="M27" s="522"/>
      <c r="N27" s="522"/>
      <c r="O27" s="522"/>
      <c r="P27" s="522"/>
      <c r="Q27" s="523"/>
      <c r="R27" s="523"/>
      <c r="S27" s="523"/>
      <c r="T27" s="523"/>
      <c r="U27" s="522"/>
      <c r="V27" s="522"/>
      <c r="W27" s="68" t="e">
        <f>VLOOKUP(V27,DescontosTE[[#All],[idsreag supridora]:[codsariSUP]],2,FALSE)</f>
        <v>#N/A</v>
      </c>
    </row>
    <row r="28" spans="2:39" ht="16.5">
      <c r="B28" s="1069" t="s">
        <v>68</v>
      </c>
      <c r="C28" s="1081"/>
      <c r="D28" s="1684"/>
      <c r="H28" s="68" t="e">
        <f t="shared" si="0"/>
        <v>#N/A</v>
      </c>
      <c r="I28" s="521"/>
      <c r="J28" s="522"/>
      <c r="K28" s="522"/>
      <c r="L28" s="522"/>
      <c r="M28" s="522"/>
      <c r="N28" s="522"/>
      <c r="O28" s="522"/>
      <c r="P28" s="522"/>
      <c r="Q28" s="523"/>
      <c r="R28" s="523"/>
      <c r="S28" s="523"/>
      <c r="T28" s="523"/>
      <c r="U28" s="522"/>
      <c r="V28" s="522"/>
      <c r="W28" s="68" t="e">
        <f>VLOOKUP(V28,DescontosTE[[#All],[idsreag supridora]:[codsariSUP]],2,FALSE)</f>
        <v>#N/A</v>
      </c>
    </row>
    <row r="29" spans="2:39" ht="7.5" customHeight="1">
      <c r="D29" s="1684"/>
      <c r="H29" s="68" t="e">
        <f t="shared" si="0"/>
        <v>#N/A</v>
      </c>
      <c r="I29" s="521"/>
      <c r="J29" s="522"/>
      <c r="K29" s="522"/>
      <c r="L29" s="522"/>
      <c r="M29" s="522"/>
      <c r="N29" s="522"/>
      <c r="O29" s="522"/>
      <c r="P29" s="522"/>
      <c r="Q29" s="523"/>
      <c r="R29" s="523"/>
      <c r="S29" s="523"/>
      <c r="T29" s="523"/>
      <c r="U29" s="522"/>
      <c r="V29" s="522"/>
      <c r="W29" s="68" t="e">
        <f>VLOOKUP(V29,DescontosTE[[#All],[idsreag supridora]:[codsariSUP]],2,FALSE)</f>
        <v>#N/A</v>
      </c>
    </row>
    <row r="30" spans="2:39" ht="16.5">
      <c r="B30" s="1082"/>
      <c r="C30" s="1083"/>
      <c r="D30" s="1684"/>
      <c r="H30" s="68" t="e">
        <f t="shared" si="0"/>
        <v>#N/A</v>
      </c>
      <c r="I30" s="521"/>
      <c r="J30" s="522"/>
      <c r="K30" s="522"/>
      <c r="L30" s="522"/>
      <c r="M30" s="522"/>
      <c r="N30" s="522"/>
      <c r="O30" s="522"/>
      <c r="P30" s="522"/>
      <c r="Q30" s="523"/>
      <c r="R30" s="523"/>
      <c r="S30" s="523"/>
      <c r="T30" s="523"/>
      <c r="U30" s="522"/>
      <c r="V30" s="522"/>
      <c r="W30" s="68" t="e">
        <f>VLOOKUP(V30,DescontosTE[[#All],[idsreag supridora]:[codsariSUP]],2,FALSE)</f>
        <v>#N/A</v>
      </c>
    </row>
    <row r="31" spans="2:39">
      <c r="B31" s="685" t="s">
        <v>69</v>
      </c>
      <c r="C31" s="686">
        <v>3.4799999999999998E-2</v>
      </c>
      <c r="D31" s="1685"/>
    </row>
    <row r="32" spans="2:39">
      <c r="B32" s="1084" t="s">
        <v>70</v>
      </c>
      <c r="C32" s="1085">
        <v>0.73853222822962039</v>
      </c>
      <c r="D32" s="90" t="s">
        <v>71</v>
      </c>
    </row>
    <row r="33" spans="1:21">
      <c r="D33" s="90"/>
    </row>
    <row r="34" spans="1:21">
      <c r="B34" s="1069"/>
      <c r="C34" s="1081"/>
    </row>
    <row r="35" spans="1:21">
      <c r="B35" s="1082" t="s">
        <v>41</v>
      </c>
      <c r="C35" s="1086">
        <v>2640013.6424999996</v>
      </c>
    </row>
    <row r="36" spans="1:21">
      <c r="B36" s="685" t="s">
        <v>47</v>
      </c>
      <c r="C36" s="88">
        <v>377752.96168999997</v>
      </c>
    </row>
    <row r="37" spans="1:21">
      <c r="B37" s="1084" t="s">
        <v>40</v>
      </c>
      <c r="C37" s="1087">
        <v>45721.016314766101</v>
      </c>
    </row>
    <row r="39" spans="1:21">
      <c r="D39" s="90"/>
    </row>
    <row r="40" spans="1:21" ht="16.5">
      <c r="B40" s="1084"/>
      <c r="C40" s="72"/>
      <c r="D40" s="9"/>
      <c r="E40" s="9" t="s">
        <v>74</v>
      </c>
      <c r="F40" s="9"/>
    </row>
    <row r="41" spans="1:21" ht="16.5">
      <c r="A41" s="1088">
        <f>DATE(YEAR(B41),MONTH(B41),1)</f>
        <v>44348</v>
      </c>
      <c r="B41" s="1074">
        <v>44355</v>
      </c>
      <c r="C41" s="547">
        <v>0</v>
      </c>
      <c r="D41" s="9" t="b">
        <f ca="1">BD!E41&gt;=CAPA!$L$73</f>
        <v>0</v>
      </c>
      <c r="E41" s="235">
        <f>Indexador!L34</f>
        <v>0</v>
      </c>
      <c r="F41" s="494">
        <f>CAPA!B63</f>
        <v>44228</v>
      </c>
    </row>
    <row r="42" spans="1:21" ht="16.5">
      <c r="A42" s="1088">
        <f t="shared" ref="A42:A57" si="1">DATE(YEAR(B42),MONTH(B42),1)</f>
        <v>44378</v>
      </c>
      <c r="B42" s="523">
        <v>44384</v>
      </c>
      <c r="C42" s="547">
        <v>0</v>
      </c>
      <c r="D42" s="9" t="b">
        <f ca="1">BD!E42&gt;=CAPA!$L$73</f>
        <v>0</v>
      </c>
      <c r="E42" s="235">
        <f>Indexador!L35</f>
        <v>0</v>
      </c>
      <c r="F42" s="494">
        <f>CAPA!B64</f>
        <v>44256</v>
      </c>
      <c r="I42" s="833" t="s">
        <v>20</v>
      </c>
      <c r="J42" s="833" t="s">
        <v>21</v>
      </c>
      <c r="K42" s="833"/>
      <c r="L42" s="833" t="s">
        <v>22</v>
      </c>
      <c r="M42" s="833" t="s">
        <v>23</v>
      </c>
      <c r="N42" s="833" t="s">
        <v>24</v>
      </c>
      <c r="O42" s="833" t="s">
        <v>25</v>
      </c>
      <c r="P42" s="833" t="s">
        <v>26</v>
      </c>
      <c r="Q42" s="833" t="s">
        <v>27</v>
      </c>
      <c r="R42" s="833" t="s">
        <v>28</v>
      </c>
      <c r="S42" s="834" t="s">
        <v>29</v>
      </c>
      <c r="T42" s="833" t="s">
        <v>30</v>
      </c>
    </row>
    <row r="43" spans="1:21" ht="16.5">
      <c r="A43" s="1088">
        <f t="shared" si="1"/>
        <v>44409</v>
      </c>
      <c r="B43" s="523">
        <v>44413</v>
      </c>
      <c r="C43" s="547">
        <v>0</v>
      </c>
      <c r="D43" s="9" t="b">
        <f ca="1">BD!E43&gt;=CAPA!$L$73</f>
        <v>0</v>
      </c>
      <c r="E43" s="235">
        <f>Indexador!L36</f>
        <v>0</v>
      </c>
      <c r="F43" s="494">
        <f>CAPA!B65</f>
        <v>44287</v>
      </c>
      <c r="H43" s="68" t="str">
        <f>CONCATENATE(U43,J43)</f>
        <v>63A4</v>
      </c>
      <c r="I43" s="521">
        <v>2022</v>
      </c>
      <c r="J43" s="522" t="s">
        <v>595</v>
      </c>
      <c r="K43" s="522" t="s">
        <v>2235</v>
      </c>
      <c r="L43" s="522" t="s">
        <v>1323</v>
      </c>
      <c r="M43" s="522" t="s">
        <v>328</v>
      </c>
      <c r="N43" s="522">
        <v>5384</v>
      </c>
      <c r="O43" s="523">
        <v>44659</v>
      </c>
      <c r="P43" s="523">
        <v>44651</v>
      </c>
      <c r="Q43" s="523" t="s">
        <v>535</v>
      </c>
      <c r="R43" s="523" t="s">
        <v>2233</v>
      </c>
      <c r="S43" s="522">
        <v>310.31</v>
      </c>
      <c r="T43" s="522">
        <v>136</v>
      </c>
      <c r="U43" s="68">
        <f>VLOOKUP(T43,DescontosTE[[#All],[idsreag supridora]:[codsariSUP]],2,FALSE)</f>
        <v>63</v>
      </c>
    </row>
    <row r="44" spans="1:21" ht="16.5">
      <c r="A44" s="1088">
        <f t="shared" si="1"/>
        <v>44440</v>
      </c>
      <c r="B44" s="523">
        <v>44447</v>
      </c>
      <c r="C44" s="547">
        <v>0</v>
      </c>
      <c r="D44" s="9" t="b">
        <f ca="1">BD!E44&gt;=CAPA!$L$73</f>
        <v>0</v>
      </c>
      <c r="E44" s="235">
        <f>Indexador!L37</f>
        <v>0</v>
      </c>
      <c r="F44" s="494">
        <f>CAPA!B66</f>
        <v>44317</v>
      </c>
      <c r="H44" s="68" t="e">
        <f t="shared" ref="H44:H59" si="2">CONCATENATE(U44,J44)</f>
        <v>#N/A</v>
      </c>
      <c r="I44" s="521"/>
      <c r="J44" s="522"/>
      <c r="K44" s="522"/>
      <c r="L44" s="522"/>
      <c r="M44" s="522"/>
      <c r="N44" s="522"/>
      <c r="O44" s="523"/>
      <c r="P44" s="523"/>
      <c r="Q44" s="523"/>
      <c r="R44" s="523"/>
      <c r="S44" s="522"/>
      <c r="T44" s="522"/>
      <c r="U44" s="68" t="e">
        <f>VLOOKUP(T44,DescontosTE[[#All],[idsreag supridora]:[codsariSUP]],2,FALSE)</f>
        <v>#N/A</v>
      </c>
    </row>
    <row r="45" spans="1:21" ht="16.5">
      <c r="A45" s="1088">
        <f t="shared" si="1"/>
        <v>44470</v>
      </c>
      <c r="B45" s="523">
        <v>44476</v>
      </c>
      <c r="C45" s="547">
        <v>0</v>
      </c>
      <c r="D45" s="9" t="b">
        <f ca="1">BD!E45&gt;=CAPA!$L$73</f>
        <v>0</v>
      </c>
      <c r="E45" s="235">
        <f>Indexador!L38</f>
        <v>0</v>
      </c>
      <c r="F45" s="494">
        <f>CAPA!B67</f>
        <v>44348</v>
      </c>
      <c r="H45" s="68" t="e">
        <f t="shared" si="2"/>
        <v>#N/A</v>
      </c>
      <c r="I45" s="521"/>
      <c r="J45" s="522"/>
      <c r="K45" s="522"/>
      <c r="L45" s="522"/>
      <c r="M45" s="522"/>
      <c r="N45" s="522"/>
      <c r="O45" s="523"/>
      <c r="P45" s="523"/>
      <c r="Q45" s="523"/>
      <c r="R45" s="523"/>
      <c r="S45" s="522"/>
      <c r="T45" s="522"/>
      <c r="U45" s="68" t="e">
        <f>VLOOKUP(T45,DescontosTE[[#All],[idsreag supridora]:[codsariSUP]],2,FALSE)</f>
        <v>#N/A</v>
      </c>
    </row>
    <row r="46" spans="1:21" ht="16.5">
      <c r="A46" s="1088">
        <f t="shared" si="1"/>
        <v>44501</v>
      </c>
      <c r="B46" s="523">
        <v>44509</v>
      </c>
      <c r="C46" s="547">
        <v>0</v>
      </c>
      <c r="D46" s="9" t="b">
        <f ca="1">BD!E46&gt;=CAPA!$L$73</f>
        <v>0</v>
      </c>
      <c r="E46" s="235">
        <f>Indexador!L39</f>
        <v>0</v>
      </c>
      <c r="F46" s="494">
        <f>CAPA!B68</f>
        <v>44378</v>
      </c>
      <c r="H46" s="68" t="e">
        <f t="shared" si="2"/>
        <v>#N/A</v>
      </c>
      <c r="I46" s="521"/>
      <c r="J46" s="522"/>
      <c r="K46" s="522"/>
      <c r="L46" s="522"/>
      <c r="M46" s="522"/>
      <c r="N46" s="522"/>
      <c r="O46" s="523"/>
      <c r="P46" s="523"/>
      <c r="Q46" s="523"/>
      <c r="R46" s="523"/>
      <c r="S46" s="522"/>
      <c r="T46" s="522"/>
      <c r="U46" s="68" t="e">
        <f>VLOOKUP(T46,DescontosTE[[#All],[idsreag supridora]:[codsariSUP]],2,FALSE)</f>
        <v>#N/A</v>
      </c>
    </row>
    <row r="47" spans="1:21" ht="16.5">
      <c r="A47" s="1088">
        <f t="shared" si="1"/>
        <v>44531</v>
      </c>
      <c r="B47" s="523">
        <v>44538</v>
      </c>
      <c r="C47" s="547">
        <v>0</v>
      </c>
      <c r="D47" s="9" t="b">
        <f ca="1">BD!E47&gt;=CAPA!$L$73</f>
        <v>0</v>
      </c>
      <c r="E47" s="235">
        <f>Indexador!L40</f>
        <v>0</v>
      </c>
      <c r="F47" s="494">
        <f>CAPA!B69</f>
        <v>44409</v>
      </c>
      <c r="H47" s="68" t="e">
        <f t="shared" si="2"/>
        <v>#N/A</v>
      </c>
      <c r="I47" s="521"/>
      <c r="J47" s="522"/>
      <c r="K47" s="522"/>
      <c r="L47" s="522"/>
      <c r="M47" s="522"/>
      <c r="N47" s="522"/>
      <c r="O47" s="523"/>
      <c r="P47" s="523"/>
      <c r="Q47" s="523"/>
      <c r="R47" s="523"/>
      <c r="S47" s="522"/>
      <c r="T47" s="522"/>
      <c r="U47" s="68" t="e">
        <f>VLOOKUP(T47,DescontosTE[[#All],[idsreag supridora]:[codsariSUP]],2,FALSE)</f>
        <v>#N/A</v>
      </c>
    </row>
    <row r="48" spans="1:21" ht="16.5">
      <c r="A48" s="1088">
        <f t="shared" si="1"/>
        <v>44562</v>
      </c>
      <c r="B48" s="523">
        <v>44566</v>
      </c>
      <c r="C48" s="547">
        <v>0</v>
      </c>
      <c r="D48" s="9" t="b">
        <f ca="1">BD!E48&gt;=CAPA!$L$73</f>
        <v>0</v>
      </c>
      <c r="E48" s="235">
        <f>Indexador!L41</f>
        <v>0</v>
      </c>
      <c r="F48" s="494">
        <f>CAPA!B70</f>
        <v>44440</v>
      </c>
      <c r="H48" s="68" t="e">
        <f t="shared" si="2"/>
        <v>#N/A</v>
      </c>
      <c r="I48" s="521"/>
      <c r="J48" s="522"/>
      <c r="K48" s="522"/>
      <c r="L48" s="522"/>
      <c r="M48" s="522"/>
      <c r="N48" s="522"/>
      <c r="O48" s="523"/>
      <c r="P48" s="523"/>
      <c r="Q48" s="523"/>
      <c r="R48" s="523"/>
      <c r="S48" s="522"/>
      <c r="T48" s="522"/>
      <c r="U48" s="68" t="e">
        <f>VLOOKUP(T48,DescontosTE[[#All],[idsreag supridora]:[codsariSUP]],2,FALSE)</f>
        <v>#N/A</v>
      </c>
    </row>
    <row r="49" spans="1:21" ht="16.5">
      <c r="A49" s="1088">
        <f t="shared" si="1"/>
        <v>44593</v>
      </c>
      <c r="B49" s="523">
        <v>44599</v>
      </c>
      <c r="C49" s="547">
        <v>0</v>
      </c>
      <c r="D49" s="9" t="b">
        <f ca="1">BD!E49&gt;=CAPA!$L$73</f>
        <v>0</v>
      </c>
      <c r="E49" s="235">
        <f>Indexador!L42</f>
        <v>0</v>
      </c>
      <c r="F49" s="494">
        <f>CAPA!B71</f>
        <v>44470</v>
      </c>
      <c r="H49" s="68" t="e">
        <f t="shared" si="2"/>
        <v>#N/A</v>
      </c>
      <c r="I49" s="521"/>
      <c r="J49" s="522"/>
      <c r="K49" s="522"/>
      <c r="L49" s="522"/>
      <c r="M49" s="522"/>
      <c r="N49" s="522"/>
      <c r="O49" s="522"/>
      <c r="P49" s="522"/>
      <c r="Q49" s="523"/>
      <c r="R49" s="523"/>
      <c r="S49" s="523"/>
      <c r="T49" s="522"/>
      <c r="U49" s="68" t="e">
        <f>VLOOKUP(T49,DescontosTE[[#All],[idsreag supridora]:[codsariSUP]],2,FALSE)</f>
        <v>#N/A</v>
      </c>
    </row>
    <row r="50" spans="1:21" ht="16.5">
      <c r="A50" s="1088">
        <f t="shared" si="1"/>
        <v>44621</v>
      </c>
      <c r="B50" s="523">
        <v>44629</v>
      </c>
      <c r="C50" s="547">
        <v>0</v>
      </c>
      <c r="D50" s="9" t="b">
        <f ca="1">BD!E50&gt;=CAPA!$L$73</f>
        <v>0</v>
      </c>
      <c r="E50" s="235">
        <f>Indexador!L43</f>
        <v>0</v>
      </c>
      <c r="F50" s="494">
        <f>CAPA!B72</f>
        <v>44501</v>
      </c>
      <c r="H50" s="68" t="e">
        <f t="shared" si="2"/>
        <v>#N/A</v>
      </c>
      <c r="I50" s="521"/>
      <c r="J50" s="522"/>
      <c r="K50" s="522"/>
      <c r="L50" s="522"/>
      <c r="M50" s="522"/>
      <c r="N50" s="522"/>
      <c r="O50" s="522"/>
      <c r="P50" s="522"/>
      <c r="Q50" s="523"/>
      <c r="R50" s="523"/>
      <c r="S50" s="523"/>
      <c r="T50" s="522"/>
      <c r="U50" s="68" t="e">
        <f>VLOOKUP(T50,DescontosTE[[#All],[idsreag supridora]:[codsariSUP]],2,FALSE)</f>
        <v>#N/A</v>
      </c>
    </row>
    <row r="51" spans="1:21" ht="16.5">
      <c r="A51" s="1088">
        <f t="shared" si="1"/>
        <v>44652</v>
      </c>
      <c r="B51" s="523">
        <v>44657</v>
      </c>
      <c r="C51" s="547">
        <v>0</v>
      </c>
      <c r="D51" s="9" t="b">
        <f ca="1">BD!E51&gt;=CAPA!$L$73</f>
        <v>0</v>
      </c>
      <c r="E51" s="235">
        <f>Indexador!L44</f>
        <v>0</v>
      </c>
      <c r="F51" s="494">
        <f>CAPA!B73</f>
        <v>44531</v>
      </c>
      <c r="H51" s="68" t="e">
        <f t="shared" si="2"/>
        <v>#N/A</v>
      </c>
      <c r="I51" s="521"/>
      <c r="J51" s="522"/>
      <c r="K51" s="522"/>
      <c r="L51" s="522"/>
      <c r="M51" s="522"/>
      <c r="N51" s="522"/>
      <c r="O51" s="522"/>
      <c r="P51" s="522"/>
      <c r="Q51" s="523"/>
      <c r="R51" s="523"/>
      <c r="S51" s="523"/>
      <c r="T51" s="522"/>
      <c r="U51" s="68" t="e">
        <f>VLOOKUP(T51,DescontosTE[[#All],[idsreag supridora]:[codsariSUP]],2,FALSE)</f>
        <v>#N/A</v>
      </c>
    </row>
    <row r="52" spans="1:21" ht="16.5">
      <c r="A52" s="1088">
        <f t="shared" si="1"/>
        <v>1</v>
      </c>
      <c r="B52" s="523"/>
      <c r="C52" s="547"/>
      <c r="D52" s="9" t="b">
        <f ca="1">BD!E52&gt;=CAPA!$L$73</f>
        <v>0</v>
      </c>
      <c r="E52" s="235">
        <f>Indexador!L45</f>
        <v>0</v>
      </c>
      <c r="F52" s="494">
        <f>CAPA!B74</f>
        <v>44562</v>
      </c>
      <c r="H52" s="68" t="e">
        <f t="shared" si="2"/>
        <v>#N/A</v>
      </c>
      <c r="I52" s="521"/>
      <c r="J52" s="522"/>
      <c r="K52" s="522"/>
      <c r="L52" s="522"/>
      <c r="M52" s="522"/>
      <c r="N52" s="522"/>
      <c r="O52" s="522"/>
      <c r="P52" s="522"/>
      <c r="Q52" s="523"/>
      <c r="R52" s="523"/>
      <c r="S52" s="523"/>
      <c r="T52" s="522"/>
      <c r="U52" s="68" t="e">
        <f>VLOOKUP(T52,DescontosTE[[#All],[idsreag supridora]:[codsariSUP]],2,FALSE)</f>
        <v>#N/A</v>
      </c>
    </row>
    <row r="53" spans="1:21" ht="16.5">
      <c r="A53" s="1088">
        <f t="shared" si="1"/>
        <v>1</v>
      </c>
      <c r="B53" s="523"/>
      <c r="C53" s="547"/>
      <c r="D53" s="9" t="b">
        <f ca="1">BD!E53&gt;=CAPA!$L$73</f>
        <v>0</v>
      </c>
      <c r="E53" s="235">
        <f>Indexador!L46</f>
        <v>0</v>
      </c>
      <c r="F53" s="494">
        <f>CAPA!B75</f>
        <v>44593</v>
      </c>
      <c r="H53" s="68" t="e">
        <f t="shared" si="2"/>
        <v>#N/A</v>
      </c>
      <c r="I53" s="521"/>
      <c r="J53" s="522"/>
      <c r="K53" s="522"/>
      <c r="L53" s="522"/>
      <c r="M53" s="522"/>
      <c r="N53" s="522"/>
      <c r="O53" s="522"/>
      <c r="P53" s="522"/>
      <c r="Q53" s="523"/>
      <c r="R53" s="523"/>
      <c r="S53" s="523"/>
      <c r="T53" s="522"/>
      <c r="U53" s="68" t="e">
        <f>VLOOKUP(T53,DescontosTE[[#All],[idsreag supridora]:[codsariSUP]],2,FALSE)</f>
        <v>#N/A</v>
      </c>
    </row>
    <row r="54" spans="1:21" ht="16.5">
      <c r="A54" s="1088">
        <f t="shared" si="1"/>
        <v>1</v>
      </c>
      <c r="B54" s="523"/>
      <c r="C54" s="547"/>
      <c r="D54" s="9" t="b">
        <f ca="1">BD!E54&gt;=CAPA!$L$73</f>
        <v>0</v>
      </c>
      <c r="E54" s="235">
        <f>Indexador!L47</f>
        <v>0</v>
      </c>
      <c r="F54" s="494">
        <f>CAPA!B76</f>
        <v>44621</v>
      </c>
      <c r="H54" s="68" t="e">
        <f t="shared" si="2"/>
        <v>#N/A</v>
      </c>
      <c r="I54" s="521"/>
      <c r="J54" s="522"/>
      <c r="K54" s="522"/>
      <c r="L54" s="522"/>
      <c r="M54" s="522"/>
      <c r="N54" s="522"/>
      <c r="O54" s="522"/>
      <c r="P54" s="522"/>
      <c r="Q54" s="523"/>
      <c r="R54" s="523"/>
      <c r="S54" s="523"/>
      <c r="T54" s="522"/>
      <c r="U54" s="68" t="e">
        <f>VLOOKUP(T54,DescontosTE[[#All],[idsreag supridora]:[codsariSUP]],2,FALSE)</f>
        <v>#N/A</v>
      </c>
    </row>
    <row r="55" spans="1:21" ht="16.5">
      <c r="A55" s="1088">
        <f t="shared" si="1"/>
        <v>1</v>
      </c>
      <c r="B55" s="523"/>
      <c r="C55" s="547"/>
      <c r="D55" s="9" t="b">
        <f ca="1">BD!E55&gt;=CAPA!$L$73</f>
        <v>0</v>
      </c>
      <c r="E55" s="235">
        <f>Indexador!L48</f>
        <v>0</v>
      </c>
      <c r="F55" s="494">
        <f>CAPA!B77</f>
        <v>44652</v>
      </c>
      <c r="H55" s="68" t="e">
        <f t="shared" si="2"/>
        <v>#N/A</v>
      </c>
      <c r="I55" s="521"/>
      <c r="J55" s="522"/>
      <c r="K55" s="522"/>
      <c r="L55" s="522"/>
      <c r="M55" s="522"/>
      <c r="N55" s="522"/>
      <c r="O55" s="522"/>
      <c r="P55" s="522"/>
      <c r="Q55" s="523"/>
      <c r="R55" s="523"/>
      <c r="S55" s="523"/>
      <c r="T55" s="522"/>
      <c r="U55" s="68" t="e">
        <f>VLOOKUP(T55,DescontosTE[[#All],[idsreag supridora]:[codsariSUP]],2,FALSE)</f>
        <v>#N/A</v>
      </c>
    </row>
    <row r="56" spans="1:21" ht="16.5">
      <c r="A56" s="1088">
        <f t="shared" si="1"/>
        <v>1</v>
      </c>
      <c r="B56" s="523"/>
      <c r="C56" s="547"/>
      <c r="D56" s="9"/>
      <c r="E56" s="235"/>
      <c r="F56" s="494"/>
      <c r="H56" s="68" t="e">
        <f t="shared" si="2"/>
        <v>#N/A</v>
      </c>
      <c r="I56" s="521"/>
      <c r="J56" s="522"/>
      <c r="K56" s="522"/>
      <c r="L56" s="522"/>
      <c r="M56" s="522"/>
      <c r="N56" s="522"/>
      <c r="O56" s="522"/>
      <c r="P56" s="522"/>
      <c r="Q56" s="523"/>
      <c r="R56" s="523"/>
      <c r="S56" s="523"/>
      <c r="T56" s="522"/>
      <c r="U56" s="68" t="e">
        <f>VLOOKUP(T56,DescontosTE[[#All],[idsreag supridora]:[codsariSUP]],2,FALSE)</f>
        <v>#N/A</v>
      </c>
    </row>
    <row r="57" spans="1:21" ht="16.5">
      <c r="A57" s="1088">
        <f t="shared" si="1"/>
        <v>1</v>
      </c>
      <c r="B57" s="1089"/>
      <c r="C57" s="878"/>
      <c r="D57" s="17"/>
      <c r="H57" s="68" t="e">
        <f t="shared" si="2"/>
        <v>#N/A</v>
      </c>
      <c r="I57" s="521"/>
      <c r="J57" s="522"/>
      <c r="K57" s="522"/>
      <c r="L57" s="522"/>
      <c r="M57" s="522"/>
      <c r="N57" s="522"/>
      <c r="O57" s="522"/>
      <c r="P57" s="522"/>
      <c r="Q57" s="523"/>
      <c r="R57" s="523"/>
      <c r="S57" s="523"/>
      <c r="T57" s="522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21"/>
      <c r="J58" s="522"/>
      <c r="K58" s="522"/>
      <c r="L58" s="522"/>
      <c r="M58" s="522"/>
      <c r="N58" s="522"/>
      <c r="O58" s="522"/>
      <c r="P58" s="522"/>
      <c r="Q58" s="523"/>
      <c r="R58" s="523"/>
      <c r="S58" s="523"/>
      <c r="T58" s="522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90"/>
      <c r="J59" s="1091"/>
      <c r="K59" s="1091"/>
      <c r="L59" s="1091"/>
      <c r="M59" s="1091"/>
      <c r="N59" s="1091"/>
      <c r="O59" s="1091"/>
      <c r="P59" s="1091"/>
      <c r="Q59" s="1089"/>
      <c r="R59" s="1089"/>
      <c r="S59" s="1089"/>
      <c r="T59" s="1091"/>
      <c r="U59" s="68" t="e">
        <f>VLOOKUP(T59,DescontosTE[[#All],[idsreag supridora]:[codsariSUP]],2,FALSE)</f>
        <v>#N/A</v>
      </c>
    </row>
    <row r="60" spans="1:21">
      <c r="B60" s="1084" t="s">
        <v>75</v>
      </c>
      <c r="C60" s="72"/>
    </row>
    <row r="61" spans="1:21" ht="16.5">
      <c r="B61" s="1092" t="s">
        <v>772</v>
      </c>
      <c r="C61" s="879">
        <v>456125.12</v>
      </c>
      <c r="D61" s="68">
        <v>0</v>
      </c>
    </row>
    <row r="62" spans="1:21" ht="16.5">
      <c r="B62" s="722" t="s">
        <v>774</v>
      </c>
      <c r="C62" s="547">
        <v>0</v>
      </c>
      <c r="D62" s="69">
        <v>0</v>
      </c>
    </row>
    <row r="63" spans="1:21" ht="16.5">
      <c r="B63" s="722" t="s">
        <v>776</v>
      </c>
      <c r="C63" s="547">
        <v>0</v>
      </c>
      <c r="D63" s="69">
        <v>0</v>
      </c>
    </row>
    <row r="64" spans="1:21" ht="16.5">
      <c r="B64" s="722" t="s">
        <v>777</v>
      </c>
      <c r="C64" s="547">
        <v>2135.04</v>
      </c>
      <c r="D64" s="69">
        <v>0</v>
      </c>
    </row>
    <row r="65" spans="2:4" ht="16.5">
      <c r="B65" s="722" t="s">
        <v>780</v>
      </c>
      <c r="C65" s="547">
        <v>37542.78</v>
      </c>
      <c r="D65" s="69">
        <v>0</v>
      </c>
    </row>
    <row r="66" spans="2:4" ht="16.5">
      <c r="B66" s="1093" t="s">
        <v>782</v>
      </c>
      <c r="C66" s="878">
        <v>7934.13</v>
      </c>
      <c r="D66" s="69">
        <v>0</v>
      </c>
    </row>
    <row r="70" spans="2:4">
      <c r="B70" s="1012" t="s">
        <v>72</v>
      </c>
      <c r="C70" s="1012" t="s">
        <v>37</v>
      </c>
      <c r="D70" s="1012" t="s">
        <v>73</v>
      </c>
    </row>
    <row r="71" spans="2:4">
      <c r="B71" s="926" t="s">
        <v>49</v>
      </c>
      <c r="C71" s="1032"/>
      <c r="D71" s="927"/>
    </row>
    <row r="72" spans="2:4">
      <c r="B72" s="926" t="s">
        <v>844</v>
      </c>
      <c r="C72" s="1032"/>
      <c r="D72" s="927"/>
    </row>
    <row r="73" spans="2:4">
      <c r="B73" s="926" t="s">
        <v>2214</v>
      </c>
      <c r="C73" s="1032"/>
      <c r="D73" s="927"/>
    </row>
    <row r="74" spans="2:4">
      <c r="B74" s="926" t="s">
        <v>2215</v>
      </c>
      <c r="C74" s="1032"/>
      <c r="D74" s="927"/>
    </row>
    <row r="75" spans="2:4">
      <c r="B75" s="926" t="s">
        <v>2216</v>
      </c>
      <c r="C75" s="1032"/>
      <c r="D75" s="927"/>
    </row>
    <row r="76" spans="2:4">
      <c r="B76" s="926" t="s">
        <v>2217</v>
      </c>
      <c r="C76" s="1032"/>
      <c r="D76" s="927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905" bestFit="1" customWidth="1"/>
    <col min="2" max="2" width="71.42578125" style="905" bestFit="1" customWidth="1"/>
    <col min="3" max="3" width="9.5703125" style="905" customWidth="1"/>
    <col min="4" max="4" width="15.42578125" style="905" customWidth="1"/>
    <col min="5" max="5" width="8.85546875" style="905" customWidth="1"/>
    <col min="6" max="6" width="19.42578125" style="905" customWidth="1"/>
    <col min="7" max="7" width="17.7109375" style="905" customWidth="1"/>
    <col min="8" max="8" width="16.5703125" style="905" customWidth="1"/>
    <col min="9" max="10" width="12.7109375" style="905" customWidth="1"/>
    <col min="11" max="11" width="13.28515625" style="905" customWidth="1"/>
    <col min="12" max="13" width="12.7109375" style="905" customWidth="1"/>
    <col min="14" max="14" width="15.85546875" style="905" customWidth="1"/>
    <col min="15" max="16" width="12.7109375" style="905" customWidth="1"/>
    <col min="17" max="17" width="12" style="905" customWidth="1"/>
    <col min="18" max="18" width="12.7109375" style="905" customWidth="1"/>
    <col min="19" max="19" width="14.28515625" style="905" customWidth="1"/>
    <col min="20" max="20" width="12.7109375" style="905" customWidth="1"/>
    <col min="21" max="21" width="12" style="905" customWidth="1"/>
    <col min="22" max="22" width="16.85546875" style="905" customWidth="1"/>
    <col min="23" max="24" width="12.7109375" style="905" customWidth="1"/>
    <col min="25" max="25" width="12" style="905" customWidth="1"/>
    <col min="26" max="26" width="10.5703125" style="905" customWidth="1"/>
    <col min="27" max="27" width="10.5703125" style="905" bestFit="1" customWidth="1"/>
    <col min="28" max="28" width="9.85546875" style="905" bestFit="1" customWidth="1"/>
    <col min="29" max="29" width="12" style="905" bestFit="1" customWidth="1"/>
    <col min="30" max="30" width="13.28515625" style="906" bestFit="1" customWidth="1"/>
    <col min="31" max="31" width="11.7109375" style="905" bestFit="1" customWidth="1"/>
    <col min="32" max="32" width="12.7109375" style="905" bestFit="1" customWidth="1"/>
    <col min="33" max="34" width="10.5703125" style="905" bestFit="1" customWidth="1"/>
    <col min="35" max="16384" width="9.140625" style="905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905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912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912">
        <v>44043</v>
      </c>
      <c r="AH2" s="907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912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912">
        <v>44055</v>
      </c>
      <c r="AH3" s="907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912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912">
        <v>44088</v>
      </c>
      <c r="AH4" s="907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912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912">
        <v>44117</v>
      </c>
      <c r="AH5" s="907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912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912">
        <v>44147</v>
      </c>
      <c r="AH6" s="907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912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912">
        <v>44179</v>
      </c>
      <c r="AH7" s="907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912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912">
        <v>44193</v>
      </c>
      <c r="AH8" s="907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912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912">
        <v>44208</v>
      </c>
      <c r="AH9" s="907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912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912">
        <v>44043</v>
      </c>
      <c r="AH10" s="907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912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912">
        <v>44055</v>
      </c>
      <c r="AH11" s="907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912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912">
        <v>44088</v>
      </c>
      <c r="AH12" s="907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912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912">
        <v>44117</v>
      </c>
      <c r="AH13" s="907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912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912">
        <v>44147</v>
      </c>
      <c r="AH14" s="907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912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912">
        <v>44179</v>
      </c>
      <c r="AH15" s="907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912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912">
        <v>44193</v>
      </c>
      <c r="AH16" s="907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912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912">
        <v>44208</v>
      </c>
      <c r="AH17" s="907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912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912">
        <v>44043</v>
      </c>
      <c r="AH18" s="907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912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912">
        <v>44055</v>
      </c>
      <c r="AH19" s="907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912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912">
        <v>44088</v>
      </c>
      <c r="AH20" s="907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912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912">
        <v>44117</v>
      </c>
      <c r="AH21" s="907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912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912">
        <v>44147</v>
      </c>
      <c r="AH22" s="907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912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912">
        <v>44179</v>
      </c>
      <c r="AH23" s="907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912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912">
        <v>44193</v>
      </c>
      <c r="AH24" s="907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912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912">
        <v>44208</v>
      </c>
      <c r="AH25" s="907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912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912">
        <v>44043</v>
      </c>
      <c r="AH26" s="907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912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912">
        <v>44055</v>
      </c>
      <c r="AH27" s="907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912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912">
        <v>44088</v>
      </c>
      <c r="AH28" s="907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912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912">
        <v>44117</v>
      </c>
      <c r="AH29" s="907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912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912">
        <v>44147</v>
      </c>
      <c r="AH30" s="907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912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912">
        <v>44179</v>
      </c>
      <c r="AH31" s="907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912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912">
        <v>44193</v>
      </c>
      <c r="AH32" s="907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912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912">
        <v>44208</v>
      </c>
      <c r="AH33" s="907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912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912">
        <v>44043</v>
      </c>
      <c r="AH34" s="907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912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912">
        <v>44055</v>
      </c>
      <c r="AH35" s="907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912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912">
        <v>44088</v>
      </c>
      <c r="AH36" s="907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912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912">
        <v>44117</v>
      </c>
      <c r="AH37" s="907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912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912">
        <v>44147</v>
      </c>
      <c r="AH38" s="907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912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912">
        <v>44179</v>
      </c>
      <c r="AH39" s="907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912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912">
        <v>44193</v>
      </c>
      <c r="AH40" s="907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912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912">
        <v>44208</v>
      </c>
      <c r="AH41" s="907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912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912">
        <v>44043</v>
      </c>
      <c r="AH42" s="907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912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912">
        <v>44055</v>
      </c>
      <c r="AH43" s="907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912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912">
        <v>44088</v>
      </c>
      <c r="AH44" s="907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912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912">
        <v>44117</v>
      </c>
      <c r="AH45" s="907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912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912">
        <v>44147</v>
      </c>
      <c r="AH46" s="907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912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912">
        <v>44179</v>
      </c>
      <c r="AH47" s="907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912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912">
        <v>44193</v>
      </c>
      <c r="AH48" s="907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912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912">
        <v>44208</v>
      </c>
      <c r="AH49" s="907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912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912">
        <v>44043</v>
      </c>
      <c r="AH50" s="907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912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912">
        <v>44055</v>
      </c>
      <c r="AH51" s="907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912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912">
        <v>44088</v>
      </c>
      <c r="AH52" s="907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912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912">
        <v>44117</v>
      </c>
      <c r="AH53" s="907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912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912">
        <v>44147</v>
      </c>
      <c r="AH54" s="907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912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912">
        <v>44179</v>
      </c>
      <c r="AH55" s="907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912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912">
        <v>44193</v>
      </c>
      <c r="AH56" s="907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912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912">
        <v>44208</v>
      </c>
      <c r="AH57" s="907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912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912">
        <v>44043</v>
      </c>
      <c r="AH58" s="907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912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912">
        <v>44055</v>
      </c>
      <c r="AH59" s="907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912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912">
        <v>44088</v>
      </c>
      <c r="AH60" s="907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912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912">
        <v>44117</v>
      </c>
      <c r="AH61" s="907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912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912">
        <v>44147</v>
      </c>
      <c r="AH62" s="907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912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912">
        <v>44179</v>
      </c>
      <c r="AH63" s="907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912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912">
        <v>44193</v>
      </c>
      <c r="AH64" s="907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912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912">
        <v>44208</v>
      </c>
      <c r="AH65" s="907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912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912">
        <v>44043</v>
      </c>
      <c r="AH66" s="907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912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912">
        <v>44055</v>
      </c>
      <c r="AH67" s="907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912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912">
        <v>44088</v>
      </c>
      <c r="AH68" s="907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912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912">
        <v>44117</v>
      </c>
      <c r="AH69" s="907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912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912">
        <v>44147</v>
      </c>
      <c r="AH70" s="907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912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912">
        <v>44179</v>
      </c>
      <c r="AH71" s="907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912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912">
        <v>44193</v>
      </c>
      <c r="AH72" s="907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912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912">
        <v>44208</v>
      </c>
      <c r="AH73" s="907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912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912">
        <v>44043</v>
      </c>
      <c r="AH74" s="907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912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912">
        <v>44055</v>
      </c>
      <c r="AH75" s="907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912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912">
        <v>44088</v>
      </c>
      <c r="AH76" s="907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912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912">
        <v>44117</v>
      </c>
      <c r="AH77" s="907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912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912">
        <v>44147</v>
      </c>
      <c r="AH78" s="907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912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912">
        <v>44179</v>
      </c>
      <c r="AH79" s="907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912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912">
        <v>44193</v>
      </c>
      <c r="AH80" s="907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912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912">
        <v>44208</v>
      </c>
      <c r="AH81" s="907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912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912">
        <v>44043</v>
      </c>
      <c r="AH82" s="907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912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912">
        <v>44055</v>
      </c>
      <c r="AH83" s="907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912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912">
        <v>44088</v>
      </c>
      <c r="AH84" s="907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912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912">
        <v>44117</v>
      </c>
      <c r="AH85" s="907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912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912">
        <v>44147</v>
      </c>
      <c r="AH86" s="907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912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912">
        <v>44179</v>
      </c>
      <c r="AH87" s="907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912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912">
        <v>44193</v>
      </c>
      <c r="AH88" s="907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912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912">
        <v>44208</v>
      </c>
      <c r="AH89" s="907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912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912">
        <v>44043</v>
      </c>
      <c r="AH90" s="907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912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912">
        <v>44055</v>
      </c>
      <c r="AH91" s="907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912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912">
        <v>44088</v>
      </c>
      <c r="AH92" s="907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912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912">
        <v>44117</v>
      </c>
      <c r="AH93" s="907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912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912">
        <v>44147</v>
      </c>
      <c r="AH94" s="907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912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912">
        <v>44179</v>
      </c>
      <c r="AH95" s="907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912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912">
        <v>44193</v>
      </c>
      <c r="AH96" s="907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912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912">
        <v>44208</v>
      </c>
      <c r="AH97" s="907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912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912">
        <v>44043</v>
      </c>
      <c r="AH98" s="907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912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912">
        <v>44055</v>
      </c>
      <c r="AH99" s="907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912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912">
        <v>44088</v>
      </c>
      <c r="AH100" s="907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912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912">
        <v>44117</v>
      </c>
      <c r="AH101" s="907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912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912">
        <v>44147</v>
      </c>
      <c r="AH102" s="907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912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912">
        <v>44179</v>
      </c>
      <c r="AH103" s="907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912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912">
        <v>44193</v>
      </c>
      <c r="AH104" s="907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912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912">
        <v>44208</v>
      </c>
      <c r="AH105" s="907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912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912">
        <v>44043</v>
      </c>
      <c r="AH106" s="907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912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912">
        <v>44055</v>
      </c>
      <c r="AH107" s="907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912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912">
        <v>44088</v>
      </c>
      <c r="AH108" s="907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912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912">
        <v>44117</v>
      </c>
      <c r="AH109" s="907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912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912">
        <v>44147</v>
      </c>
      <c r="AH110" s="907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912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912">
        <v>44179</v>
      </c>
      <c r="AH111" s="907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912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912">
        <v>44193</v>
      </c>
      <c r="AH112" s="907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912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912">
        <v>44208</v>
      </c>
      <c r="AH113" s="907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912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912">
        <v>44043</v>
      </c>
      <c r="AH114" s="907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912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912">
        <v>44055</v>
      </c>
      <c r="AH115" s="907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912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912">
        <v>44088</v>
      </c>
      <c r="AH116" s="907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912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912">
        <v>44117</v>
      </c>
      <c r="AH117" s="907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912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912">
        <v>44147</v>
      </c>
      <c r="AH118" s="907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912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912">
        <v>44179</v>
      </c>
      <c r="AH119" s="907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912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912">
        <v>44193</v>
      </c>
      <c r="AH120" s="907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912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912">
        <v>44208</v>
      </c>
      <c r="AH121" s="907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912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912">
        <v>44043</v>
      </c>
      <c r="AH122" s="907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912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912">
        <v>44055</v>
      </c>
      <c r="AH123" s="907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912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912">
        <v>44088</v>
      </c>
      <c r="AH124" s="907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912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912">
        <v>44117</v>
      </c>
      <c r="AH125" s="907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912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912">
        <v>44147</v>
      </c>
      <c r="AH126" s="907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912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912">
        <v>44179</v>
      </c>
      <c r="AH127" s="907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912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912">
        <v>44193</v>
      </c>
      <c r="AH128" s="907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912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912">
        <v>44208</v>
      </c>
      <c r="AH129" s="907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912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912">
        <v>44043</v>
      </c>
      <c r="AH130" s="907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912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912">
        <v>44055</v>
      </c>
      <c r="AH131" s="907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912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912">
        <v>44088</v>
      </c>
      <c r="AH132" s="907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912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912">
        <v>44117</v>
      </c>
      <c r="AH133" s="907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912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912">
        <v>44147</v>
      </c>
      <c r="AH134" s="907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912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912">
        <v>44179</v>
      </c>
      <c r="AH135" s="907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912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912">
        <v>44193</v>
      </c>
      <c r="AH136" s="907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912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912">
        <v>44208</v>
      </c>
      <c r="AH137" s="907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912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912">
        <v>44043</v>
      </c>
      <c r="AH138" s="907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912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912">
        <v>44055</v>
      </c>
      <c r="AH139" s="907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912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912">
        <v>44088</v>
      </c>
      <c r="AH140" s="907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912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912">
        <v>44117</v>
      </c>
      <c r="AH141" s="907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912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912">
        <v>44147</v>
      </c>
      <c r="AH142" s="907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912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912">
        <v>44179</v>
      </c>
      <c r="AH143" s="907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912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912">
        <v>44193</v>
      </c>
      <c r="AH144" s="907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912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912">
        <v>44208</v>
      </c>
      <c r="AH145" s="907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912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912">
        <v>44043</v>
      </c>
      <c r="AH146" s="907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912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912">
        <v>44055</v>
      </c>
      <c r="AH147" s="907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912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912">
        <v>44088</v>
      </c>
      <c r="AH148" s="907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912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912">
        <v>44117</v>
      </c>
      <c r="AH149" s="907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912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912">
        <v>44147</v>
      </c>
      <c r="AH150" s="907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912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912">
        <v>44179</v>
      </c>
      <c r="AH151" s="907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912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912">
        <v>44193</v>
      </c>
      <c r="AH152" s="907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912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912">
        <v>44208</v>
      </c>
      <c r="AH153" s="907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912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912">
        <v>44043</v>
      </c>
      <c r="AH154" s="907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912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912">
        <v>44055</v>
      </c>
      <c r="AH155" s="907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912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912">
        <v>44088</v>
      </c>
      <c r="AH156" s="907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912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912">
        <v>44117</v>
      </c>
      <c r="AH157" s="907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912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912">
        <v>44147</v>
      </c>
      <c r="AH158" s="907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912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912">
        <v>44179</v>
      </c>
      <c r="AH159" s="907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912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912">
        <v>44193</v>
      </c>
      <c r="AH160" s="907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912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912">
        <v>44208</v>
      </c>
      <c r="AH161" s="907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912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912">
        <v>44043</v>
      </c>
      <c r="AH162" s="907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912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912">
        <v>44055</v>
      </c>
      <c r="AH163" s="907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912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912">
        <v>44088</v>
      </c>
      <c r="AH164" s="907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912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912">
        <v>44117</v>
      </c>
      <c r="AH165" s="907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912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912">
        <v>44147</v>
      </c>
      <c r="AH166" s="907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912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912">
        <v>44179</v>
      </c>
      <c r="AH167" s="907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912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912">
        <v>44193</v>
      </c>
      <c r="AH168" s="907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912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912">
        <v>44208</v>
      </c>
      <c r="AH169" s="907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912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912">
        <v>44043</v>
      </c>
      <c r="AH170" s="907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912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912">
        <v>44055</v>
      </c>
      <c r="AH171" s="907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912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912">
        <v>44088</v>
      </c>
      <c r="AH172" s="907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912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912">
        <v>44117</v>
      </c>
      <c r="AH173" s="907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912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912">
        <v>44147</v>
      </c>
      <c r="AH174" s="907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912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912">
        <v>44179</v>
      </c>
      <c r="AH175" s="907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912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912">
        <v>44193</v>
      </c>
      <c r="AH176" s="907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912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912">
        <v>44208</v>
      </c>
      <c r="AH177" s="907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912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912">
        <v>44043</v>
      </c>
      <c r="AH178" s="907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912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912">
        <v>44055</v>
      </c>
      <c r="AH179" s="907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912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912">
        <v>44088</v>
      </c>
      <c r="AH180" s="907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912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912">
        <v>44117</v>
      </c>
      <c r="AH181" s="907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912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912">
        <v>44147</v>
      </c>
      <c r="AH182" s="907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912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912">
        <v>44179</v>
      </c>
      <c r="AH183" s="907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912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912">
        <v>44193</v>
      </c>
      <c r="AH184" s="907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912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912">
        <v>44208</v>
      </c>
      <c r="AH185" s="907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912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912">
        <v>44043</v>
      </c>
      <c r="AH186" s="907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912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912">
        <v>44055</v>
      </c>
      <c r="AH187" s="907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912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912">
        <v>44088</v>
      </c>
      <c r="AH188" s="907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912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912">
        <v>44117</v>
      </c>
      <c r="AH189" s="907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912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912">
        <v>44147</v>
      </c>
      <c r="AH190" s="907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912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912">
        <v>44179</v>
      </c>
      <c r="AH191" s="907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912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912">
        <v>44193</v>
      </c>
      <c r="AH192" s="907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912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912">
        <v>44208</v>
      </c>
      <c r="AH193" s="907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912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912">
        <v>44043</v>
      </c>
      <c r="AH194" s="907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912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912">
        <v>44055</v>
      </c>
      <c r="AH195" s="907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912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912">
        <v>44088</v>
      </c>
      <c r="AH196" s="907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912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912">
        <v>44117</v>
      </c>
      <c r="AH197" s="907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912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912">
        <v>44147</v>
      </c>
      <c r="AH198" s="907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912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912">
        <v>44179</v>
      </c>
      <c r="AH199" s="907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912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912">
        <v>44193</v>
      </c>
      <c r="AH200" s="907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912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912">
        <v>44208</v>
      </c>
      <c r="AH201" s="907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912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912">
        <v>44043</v>
      </c>
      <c r="AH202" s="907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912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912">
        <v>44055</v>
      </c>
      <c r="AH203" s="907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912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912">
        <v>44088</v>
      </c>
      <c r="AH204" s="907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912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912">
        <v>44117</v>
      </c>
      <c r="AH205" s="907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912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912">
        <v>44147</v>
      </c>
      <c r="AH206" s="907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912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912">
        <v>44179</v>
      </c>
      <c r="AH207" s="907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912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912">
        <v>44193</v>
      </c>
      <c r="AH208" s="907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912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912">
        <v>44208</v>
      </c>
      <c r="AH209" s="907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912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912">
        <v>44043</v>
      </c>
      <c r="AH210" s="907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912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912">
        <v>44055</v>
      </c>
      <c r="AH211" s="907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912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912">
        <v>44088</v>
      </c>
      <c r="AH212" s="907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912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912">
        <v>44117</v>
      </c>
      <c r="AH213" s="907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912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912">
        <v>44147</v>
      </c>
      <c r="AH214" s="907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912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912">
        <v>44179</v>
      </c>
      <c r="AH215" s="907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912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912">
        <v>44193</v>
      </c>
      <c r="AH216" s="907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912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912">
        <v>44208</v>
      </c>
      <c r="AH217" s="907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912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912">
        <v>44043</v>
      </c>
      <c r="AH218" s="907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912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912">
        <v>44055</v>
      </c>
      <c r="AH219" s="907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912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912">
        <v>44088</v>
      </c>
      <c r="AH220" s="907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912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912">
        <v>44117</v>
      </c>
      <c r="AH221" s="907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912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912">
        <v>44147</v>
      </c>
      <c r="AH222" s="907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912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912">
        <v>44179</v>
      </c>
      <c r="AH223" s="907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912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912">
        <v>44193</v>
      </c>
      <c r="AH224" s="907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912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912">
        <v>44208</v>
      </c>
      <c r="AH225" s="907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912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912">
        <v>44043</v>
      </c>
      <c r="AH226" s="907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912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912">
        <v>44055</v>
      </c>
      <c r="AH227" s="907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912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912">
        <v>44088</v>
      </c>
      <c r="AH228" s="907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912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912">
        <v>44117</v>
      </c>
      <c r="AH229" s="907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912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912">
        <v>44147</v>
      </c>
      <c r="AH230" s="907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912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912">
        <v>44179</v>
      </c>
      <c r="AH231" s="907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912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912">
        <v>44193</v>
      </c>
      <c r="AH232" s="907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912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912">
        <v>44208</v>
      </c>
      <c r="AH233" s="907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912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912">
        <v>44043</v>
      </c>
      <c r="AH234" s="907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912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912">
        <v>44055</v>
      </c>
      <c r="AH235" s="907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912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912">
        <v>44088</v>
      </c>
      <c r="AH236" s="907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912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912">
        <v>44117</v>
      </c>
      <c r="AH237" s="907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912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912">
        <v>44147</v>
      </c>
      <c r="AH238" s="907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912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912">
        <v>44179</v>
      </c>
      <c r="AH239" s="907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912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912">
        <v>44193</v>
      </c>
      <c r="AH240" s="907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912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912">
        <v>44208</v>
      </c>
      <c r="AH241" s="907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912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912">
        <v>44043</v>
      </c>
      <c r="AH242" s="907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912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912">
        <v>44055</v>
      </c>
      <c r="AH243" s="907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912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912">
        <v>44088</v>
      </c>
      <c r="AH244" s="907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912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912">
        <v>44117</v>
      </c>
      <c r="AH245" s="907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912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912">
        <v>44147</v>
      </c>
      <c r="AH246" s="907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912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912">
        <v>44179</v>
      </c>
      <c r="AH247" s="907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912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912">
        <v>44193</v>
      </c>
      <c r="AH248" s="907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912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912">
        <v>44208</v>
      </c>
      <c r="AH249" s="907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912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912">
        <v>44043</v>
      </c>
      <c r="AH250" s="907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912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912">
        <v>44055</v>
      </c>
      <c r="AH251" s="907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912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912">
        <v>44088</v>
      </c>
      <c r="AH252" s="907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912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912">
        <v>44117</v>
      </c>
      <c r="AH253" s="907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912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912">
        <v>44147</v>
      </c>
      <c r="AH254" s="907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912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912">
        <v>44179</v>
      </c>
      <c r="AH255" s="907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912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912">
        <v>44193</v>
      </c>
      <c r="AH256" s="907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912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912">
        <v>44208</v>
      </c>
      <c r="AH257" s="907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912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912">
        <v>44043</v>
      </c>
      <c r="AH258" s="907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912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912">
        <v>44055</v>
      </c>
      <c r="AH259" s="907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912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912">
        <v>44088</v>
      </c>
      <c r="AH260" s="907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912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912">
        <v>44117</v>
      </c>
      <c r="AH261" s="907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912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912">
        <v>44147</v>
      </c>
      <c r="AH262" s="907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912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912">
        <v>44179</v>
      </c>
      <c r="AH263" s="907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912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912">
        <v>44193</v>
      </c>
      <c r="AH264" s="907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912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912">
        <v>44208</v>
      </c>
      <c r="AH265" s="907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912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912">
        <v>44043</v>
      </c>
      <c r="AH266" s="907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912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912">
        <v>44055</v>
      </c>
      <c r="AH267" s="907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912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912">
        <v>44088</v>
      </c>
      <c r="AH268" s="907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912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912">
        <v>44117</v>
      </c>
      <c r="AH269" s="907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912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912">
        <v>44147</v>
      </c>
      <c r="AH270" s="907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912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912">
        <v>44179</v>
      </c>
      <c r="AH271" s="907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912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912">
        <v>44193</v>
      </c>
      <c r="AH272" s="907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912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912">
        <v>44208</v>
      </c>
      <c r="AH273" s="907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912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907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912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907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912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907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912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907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912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907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912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907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912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907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912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907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912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907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912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907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912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907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912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907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912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907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912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907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912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907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912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907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912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912">
        <v>44043</v>
      </c>
      <c r="AH290" s="907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912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912">
        <v>44055</v>
      </c>
      <c r="AH291" s="907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912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912">
        <v>44088</v>
      </c>
      <c r="AH292" s="907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912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912">
        <v>44117</v>
      </c>
      <c r="AH293" s="907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912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912">
        <v>44147</v>
      </c>
      <c r="AH294" s="907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912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912">
        <v>44179</v>
      </c>
      <c r="AH295" s="907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912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912">
        <v>44193</v>
      </c>
      <c r="AH296" s="907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912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912">
        <v>44208</v>
      </c>
      <c r="AH297" s="907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912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912">
        <v>44043</v>
      </c>
      <c r="AH298" s="907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912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912">
        <v>44055</v>
      </c>
      <c r="AH299" s="907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912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912">
        <v>44088</v>
      </c>
      <c r="AH300" s="907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912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912">
        <v>44117</v>
      </c>
      <c r="AH301" s="907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912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912">
        <v>44147</v>
      </c>
      <c r="AH302" s="907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912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912">
        <v>44179</v>
      </c>
      <c r="AH303" s="907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912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912">
        <v>44193</v>
      </c>
      <c r="AH304" s="907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912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912">
        <v>44208</v>
      </c>
      <c r="AH305" s="907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912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912">
        <v>44043</v>
      </c>
      <c r="AH306" s="907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912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912">
        <v>44055</v>
      </c>
      <c r="AH307" s="907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912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912">
        <v>44088</v>
      </c>
      <c r="AH308" s="907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912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912">
        <v>44117</v>
      </c>
      <c r="AH309" s="907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912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912">
        <v>44147</v>
      </c>
      <c r="AH310" s="907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912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912">
        <v>44179</v>
      </c>
      <c r="AH311" s="907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912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912">
        <v>44193</v>
      </c>
      <c r="AH312" s="907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912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912">
        <v>44208</v>
      </c>
      <c r="AH313" s="907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912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912">
        <v>44043</v>
      </c>
      <c r="AH314" s="907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912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912">
        <v>44055</v>
      </c>
      <c r="AH315" s="907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912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912">
        <v>44088</v>
      </c>
      <c r="AH316" s="907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912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912">
        <v>44117</v>
      </c>
      <c r="AH317" s="907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912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912">
        <v>44147</v>
      </c>
      <c r="AH318" s="907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912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912">
        <v>44179</v>
      </c>
      <c r="AH319" s="907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912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912">
        <v>44193</v>
      </c>
      <c r="AH320" s="907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912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912">
        <v>44208</v>
      </c>
      <c r="AH321" s="907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912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907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912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907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912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907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912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907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912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907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912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907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912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907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912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907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912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907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912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907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912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907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912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907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912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907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912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907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912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907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912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907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912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907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912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907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912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907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912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907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912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907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912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907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912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907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912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907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912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907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912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907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33">
        <v>-3012884.08</v>
      </c>
      <c r="H348" s="234" t="s">
        <v>138</v>
      </c>
      <c r="I348" s="912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907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912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907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912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907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912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907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912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907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912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907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912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907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912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907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912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907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912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907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912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907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912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907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912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907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912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907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912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907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912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907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912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907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912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907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912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907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912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907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912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907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912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907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912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907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912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907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912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907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912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907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912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907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912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907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912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907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912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907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912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912">
        <v>44043</v>
      </c>
      <c r="AH378" s="907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912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912">
        <v>44055</v>
      </c>
      <c r="AH379" s="907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912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912">
        <v>44088</v>
      </c>
      <c r="AH380" s="907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912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912">
        <v>44117</v>
      </c>
      <c r="AH381" s="907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912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912">
        <v>44147</v>
      </c>
      <c r="AH382" s="907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912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912">
        <v>44179</v>
      </c>
      <c r="AH383" s="907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912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912">
        <v>44193</v>
      </c>
      <c r="AH384" s="907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912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912">
        <v>44208</v>
      </c>
      <c r="AH385" s="907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912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912">
        <v>44043</v>
      </c>
      <c r="AH386" s="907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912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912">
        <v>44055</v>
      </c>
      <c r="AH387" s="907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912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912">
        <v>44088</v>
      </c>
      <c r="AH388" s="907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912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912">
        <v>44117</v>
      </c>
      <c r="AH389" s="907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912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912">
        <v>44147</v>
      </c>
      <c r="AH390" s="907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912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912">
        <v>44179</v>
      </c>
      <c r="AH391" s="907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912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912">
        <v>44193</v>
      </c>
      <c r="AH392" s="907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912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912">
        <v>44208</v>
      </c>
      <c r="AH393" s="907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912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912">
        <v>44043</v>
      </c>
      <c r="AH394" s="907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912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912">
        <v>44055</v>
      </c>
      <c r="AH395" s="907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912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912">
        <v>44088</v>
      </c>
      <c r="AH396" s="907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912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912">
        <v>44117</v>
      </c>
      <c r="AH397" s="907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912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912">
        <v>44147</v>
      </c>
      <c r="AH398" s="907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912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912">
        <v>44179</v>
      </c>
      <c r="AH399" s="907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912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912">
        <v>44193</v>
      </c>
      <c r="AH400" s="907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912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912">
        <v>44208</v>
      </c>
      <c r="AH401" s="907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912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912">
        <v>44043</v>
      </c>
      <c r="AH402" s="907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912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912">
        <v>44055</v>
      </c>
      <c r="AH403" s="907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912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912">
        <v>44088</v>
      </c>
      <c r="AH404" s="907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912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912">
        <v>44117</v>
      </c>
      <c r="AH405" s="907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912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912">
        <v>44147</v>
      </c>
      <c r="AH406" s="907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912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912">
        <v>44179</v>
      </c>
      <c r="AH407" s="907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912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912">
        <v>44193</v>
      </c>
      <c r="AH408" s="907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912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912">
        <v>44208</v>
      </c>
      <c r="AH409" s="907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912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912">
        <v>44043</v>
      </c>
      <c r="AH410" s="907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912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912">
        <v>44055</v>
      </c>
      <c r="AH411" s="907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912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912">
        <v>44088</v>
      </c>
      <c r="AH412" s="907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912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912">
        <v>44117</v>
      </c>
      <c r="AH413" s="907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912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912">
        <v>44147</v>
      </c>
      <c r="AH414" s="907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912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912">
        <v>44179</v>
      </c>
      <c r="AH415" s="907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912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912">
        <v>44193</v>
      </c>
      <c r="AH416" s="907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912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912">
        <v>44208</v>
      </c>
      <c r="AH417" s="907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912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912">
        <v>44043</v>
      </c>
      <c r="AH418" s="907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912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912">
        <v>44055</v>
      </c>
      <c r="AH419" s="907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912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912">
        <v>44088</v>
      </c>
      <c r="AH420" s="907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912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912">
        <v>44117</v>
      </c>
      <c r="AH421" s="907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912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912">
        <v>44147</v>
      </c>
      <c r="AH422" s="907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912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912">
        <v>44179</v>
      </c>
      <c r="AH423" s="907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912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912">
        <v>44193</v>
      </c>
      <c r="AH424" s="907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912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912">
        <v>44208</v>
      </c>
      <c r="AH425" s="907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912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907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912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907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912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907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912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907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912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907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912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907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912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907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912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907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912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912">
        <v>44043</v>
      </c>
      <c r="AH434" s="907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912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912">
        <v>44055</v>
      </c>
      <c r="AH435" s="907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912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912">
        <v>44088</v>
      </c>
      <c r="AH436" s="907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912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912">
        <v>44117</v>
      </c>
      <c r="AH437" s="907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912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912">
        <v>44147</v>
      </c>
      <c r="AH438" s="907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912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912">
        <v>44179</v>
      </c>
      <c r="AH439" s="907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912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912">
        <v>44193</v>
      </c>
      <c r="AH440" s="907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912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912">
        <v>44208</v>
      </c>
      <c r="AH441" s="907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912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912">
        <v>44043</v>
      </c>
      <c r="AH442" s="907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912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912">
        <v>44055</v>
      </c>
      <c r="AH443" s="907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912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912">
        <v>44088</v>
      </c>
      <c r="AH444" s="907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912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912">
        <v>44117</v>
      </c>
      <c r="AH445" s="907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912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912">
        <v>44147</v>
      </c>
      <c r="AH446" s="907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912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912">
        <v>44179</v>
      </c>
      <c r="AH447" s="907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912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912">
        <v>44193</v>
      </c>
      <c r="AH448" s="907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912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912">
        <v>44208</v>
      </c>
      <c r="AH449" s="907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912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912">
        <v>44043</v>
      </c>
      <c r="AH450" s="907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912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912">
        <v>44055</v>
      </c>
      <c r="AH451" s="907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912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912">
        <v>44088</v>
      </c>
      <c r="AH452" s="907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912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912">
        <v>44117</v>
      </c>
      <c r="AH453" s="907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912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912">
        <v>44147</v>
      </c>
      <c r="AH454" s="907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912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912">
        <v>44179</v>
      </c>
      <c r="AH455" s="907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912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912">
        <v>44193</v>
      </c>
      <c r="AH456" s="907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912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912">
        <v>44208</v>
      </c>
      <c r="AH457" s="907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912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912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912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912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912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912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912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912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912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912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912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912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912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912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912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912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912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912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912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912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912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912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912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912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912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912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912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912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912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912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912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912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912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912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912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912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912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912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912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912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912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912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912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912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912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912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912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912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912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912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912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912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912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912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912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912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912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912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912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912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912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912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912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912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41"/>
  <sheetViews>
    <sheetView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5" t="s">
        <v>208</v>
      </c>
      <c r="K1" s="755" t="s">
        <v>214</v>
      </c>
      <c r="L1" s="755" t="s">
        <v>213</v>
      </c>
      <c r="M1" s="755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2236</v>
      </c>
      <c r="B2" t="s">
        <v>2237</v>
      </c>
      <c r="C2" t="s">
        <v>2238</v>
      </c>
      <c r="D2" t="s">
        <v>2239</v>
      </c>
      <c r="E2" t="s">
        <v>2218</v>
      </c>
      <c r="F2">
        <v>202102</v>
      </c>
      <c r="G2" t="s">
        <v>215</v>
      </c>
      <c r="H2">
        <v>-12721.67</v>
      </c>
      <c r="J2" s="756">
        <f>CAPA!K12</f>
        <v>5384</v>
      </c>
      <c r="K2" s="756" t="s">
        <v>216</v>
      </c>
      <c r="L2" s="756" t="str">
        <f>"&gt;="&amp;K6</f>
        <v>&gt;=202105</v>
      </c>
      <c r="M2" s="756" t="str">
        <f>"&lt;="&amp;K7</f>
        <v>&lt;=202204</v>
      </c>
      <c r="O2" t="s">
        <v>2236</v>
      </c>
      <c r="P2" t="s">
        <v>2237</v>
      </c>
      <c r="Q2" t="s">
        <v>2238</v>
      </c>
      <c r="R2" t="s">
        <v>2239</v>
      </c>
      <c r="S2" t="s">
        <v>2218</v>
      </c>
      <c r="T2">
        <v>202105</v>
      </c>
      <c r="U2" t="s">
        <v>217</v>
      </c>
      <c r="V2">
        <v>11711.53</v>
      </c>
      <c r="X2" t="s">
        <v>2238</v>
      </c>
      <c r="Y2" t="s">
        <v>2239</v>
      </c>
      <c r="Z2" t="s">
        <v>2218</v>
      </c>
      <c r="AB2" t="s">
        <v>2238</v>
      </c>
      <c r="AC2" t="s">
        <v>2239</v>
      </c>
      <c r="AD2" t="s">
        <v>2218</v>
      </c>
      <c r="AE2" t="s">
        <v>217</v>
      </c>
      <c r="AH2" t="s">
        <v>2238</v>
      </c>
      <c r="AI2">
        <f>_xlfn.MAXIFS(F:F,C:C,AH2)</f>
        <v>202203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2236</v>
      </c>
      <c r="B3" t="s">
        <v>2237</v>
      </c>
      <c r="C3" t="s">
        <v>2238</v>
      </c>
      <c r="D3" t="s">
        <v>2239</v>
      </c>
      <c r="E3" t="s">
        <v>2218</v>
      </c>
      <c r="F3">
        <v>202103</v>
      </c>
      <c r="G3" t="s">
        <v>215</v>
      </c>
      <c r="H3">
        <v>-11640.78</v>
      </c>
      <c r="J3" s="756">
        <f>J2</f>
        <v>5384</v>
      </c>
      <c r="K3" s="756" t="s">
        <v>218</v>
      </c>
      <c r="L3" s="756" t="str">
        <f>L2</f>
        <v>&gt;=202105</v>
      </c>
      <c r="M3" s="756" t="str">
        <f>M2</f>
        <v>&lt;=202204</v>
      </c>
      <c r="O3" t="s">
        <v>2236</v>
      </c>
      <c r="P3" t="s">
        <v>2237</v>
      </c>
      <c r="Q3" t="s">
        <v>2238</v>
      </c>
      <c r="R3" t="s">
        <v>2239</v>
      </c>
      <c r="S3" t="s">
        <v>2218</v>
      </c>
      <c r="T3">
        <v>202105</v>
      </c>
      <c r="U3" t="s">
        <v>219</v>
      </c>
      <c r="V3">
        <v>9905.68</v>
      </c>
      <c r="AB3" t="s">
        <v>2238</v>
      </c>
      <c r="AC3" t="s">
        <v>2239</v>
      </c>
      <c r="AD3" t="s">
        <v>2218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2236</v>
      </c>
      <c r="B4" t="s">
        <v>2237</v>
      </c>
      <c r="C4" t="s">
        <v>2238</v>
      </c>
      <c r="D4" t="s">
        <v>2239</v>
      </c>
      <c r="E4" t="s">
        <v>2218</v>
      </c>
      <c r="F4">
        <v>202104</v>
      </c>
      <c r="G4" t="s">
        <v>215</v>
      </c>
      <c r="H4">
        <v>-1705.08</v>
      </c>
      <c r="J4" s="758">
        <f>J3</f>
        <v>5384</v>
      </c>
      <c r="K4" s="756" t="s">
        <v>220</v>
      </c>
      <c r="L4" s="757" t="str">
        <f>L2</f>
        <v>&gt;=202105</v>
      </c>
      <c r="M4" s="757" t="str">
        <f>M2</f>
        <v>&lt;=202204</v>
      </c>
      <c r="O4" t="s">
        <v>2236</v>
      </c>
      <c r="P4" t="s">
        <v>2237</v>
      </c>
      <c r="Q4" t="s">
        <v>2238</v>
      </c>
      <c r="R4" t="s">
        <v>2239</v>
      </c>
      <c r="S4" t="s">
        <v>2218</v>
      </c>
      <c r="T4">
        <v>202106</v>
      </c>
      <c r="U4" t="s">
        <v>217</v>
      </c>
      <c r="V4">
        <v>11709.61</v>
      </c>
      <c r="AB4" t="s">
        <v>2238</v>
      </c>
      <c r="AC4" t="s">
        <v>2239</v>
      </c>
      <c r="AD4" t="s">
        <v>2218</v>
      </c>
      <c r="AE4" t="s">
        <v>221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2236</v>
      </c>
      <c r="B5" t="s">
        <v>2237</v>
      </c>
      <c r="C5" t="s">
        <v>2238</v>
      </c>
      <c r="D5" t="s">
        <v>2239</v>
      </c>
      <c r="E5" t="s">
        <v>2218</v>
      </c>
      <c r="F5">
        <v>202105</v>
      </c>
      <c r="G5" t="s">
        <v>215</v>
      </c>
      <c r="H5">
        <v>-1344.18</v>
      </c>
      <c r="J5" s="758">
        <f>J4</f>
        <v>5384</v>
      </c>
      <c r="K5" s="1014" t="s">
        <v>222</v>
      </c>
      <c r="L5" s="757" t="str">
        <f>L3</f>
        <v>&gt;=202105</v>
      </c>
      <c r="M5" s="757" t="str">
        <f>M3</f>
        <v>&lt;=202204</v>
      </c>
      <c r="O5" t="s">
        <v>2236</v>
      </c>
      <c r="P5" t="s">
        <v>2237</v>
      </c>
      <c r="Q5" t="s">
        <v>2238</v>
      </c>
      <c r="R5" t="s">
        <v>2239</v>
      </c>
      <c r="S5" t="s">
        <v>2218</v>
      </c>
      <c r="T5">
        <v>202106</v>
      </c>
      <c r="U5" t="s">
        <v>219</v>
      </c>
      <c r="V5">
        <v>9996.81</v>
      </c>
      <c r="AB5" t="s">
        <v>2238</v>
      </c>
      <c r="AC5" t="s">
        <v>2239</v>
      </c>
      <c r="AD5" t="s">
        <v>2218</v>
      </c>
      <c r="AE5" t="s">
        <v>223</v>
      </c>
      <c r="AI5">
        <f t="shared" si="0"/>
        <v>0</v>
      </c>
      <c r="AJ5" t="str">
        <f t="shared" si="1"/>
        <v>Nada</v>
      </c>
    </row>
    <row r="6" spans="1:36">
      <c r="A6" t="s">
        <v>2236</v>
      </c>
      <c r="B6" t="s">
        <v>2237</v>
      </c>
      <c r="C6" t="s">
        <v>2238</v>
      </c>
      <c r="D6" t="s">
        <v>2239</v>
      </c>
      <c r="E6" t="s">
        <v>2218</v>
      </c>
      <c r="F6">
        <v>202106</v>
      </c>
      <c r="G6" t="s">
        <v>215</v>
      </c>
      <c r="H6">
        <v>0</v>
      </c>
      <c r="J6" t="s">
        <v>224</v>
      </c>
      <c r="K6">
        <f>(YEAR(SAS_RA0_DataInicio)*100+MONTH(SAS_RA0_DataInicio))</f>
        <v>202105</v>
      </c>
      <c r="O6" t="s">
        <v>2236</v>
      </c>
      <c r="P6" t="s">
        <v>2237</v>
      </c>
      <c r="Q6" t="s">
        <v>2238</v>
      </c>
      <c r="R6" t="s">
        <v>2239</v>
      </c>
      <c r="S6" t="s">
        <v>2218</v>
      </c>
      <c r="T6">
        <v>202107</v>
      </c>
      <c r="U6" t="s">
        <v>217</v>
      </c>
      <c r="V6">
        <v>11663.69</v>
      </c>
      <c r="AB6" t="s">
        <v>2238</v>
      </c>
      <c r="AC6" t="s">
        <v>2239</v>
      </c>
      <c r="AD6" t="s">
        <v>2218</v>
      </c>
      <c r="AE6" t="s">
        <v>225</v>
      </c>
      <c r="AI6">
        <f t="shared" si="0"/>
        <v>0</v>
      </c>
      <c r="AJ6" t="str">
        <f t="shared" si="1"/>
        <v>Nada</v>
      </c>
    </row>
    <row r="7" spans="1:36">
      <c r="A7" t="s">
        <v>2236</v>
      </c>
      <c r="B7" t="s">
        <v>2237</v>
      </c>
      <c r="C7" t="s">
        <v>2238</v>
      </c>
      <c r="D7" t="s">
        <v>2239</v>
      </c>
      <c r="E7" t="s">
        <v>2218</v>
      </c>
      <c r="F7">
        <v>202107</v>
      </c>
      <c r="G7" t="s">
        <v>215</v>
      </c>
      <c r="H7">
        <v>-523.19000000000005</v>
      </c>
      <c r="J7" t="s">
        <v>226</v>
      </c>
      <c r="K7">
        <f>YEAR(SAS_RA0_DataFim)*100+MONTH(SAS_RA0_DataFim)</f>
        <v>202204</v>
      </c>
      <c r="O7" t="s">
        <v>2236</v>
      </c>
      <c r="P7" t="s">
        <v>2237</v>
      </c>
      <c r="Q7" t="s">
        <v>2238</v>
      </c>
      <c r="R7" t="s">
        <v>2239</v>
      </c>
      <c r="S7" t="s">
        <v>2218</v>
      </c>
      <c r="T7">
        <v>202107</v>
      </c>
      <c r="U7" t="s">
        <v>219</v>
      </c>
      <c r="V7">
        <v>10038.16</v>
      </c>
      <c r="AI7">
        <f t="shared" si="0"/>
        <v>0</v>
      </c>
      <c r="AJ7" t="str">
        <f t="shared" si="1"/>
        <v>Nada</v>
      </c>
    </row>
    <row r="8" spans="1:36">
      <c r="A8" t="s">
        <v>2236</v>
      </c>
      <c r="B8" t="s">
        <v>2237</v>
      </c>
      <c r="C8" t="s">
        <v>2238</v>
      </c>
      <c r="D8" t="s">
        <v>2239</v>
      </c>
      <c r="E8" t="s">
        <v>2218</v>
      </c>
      <c r="F8">
        <v>202108</v>
      </c>
      <c r="G8" t="s">
        <v>215</v>
      </c>
      <c r="H8">
        <v>0</v>
      </c>
      <c r="J8" t="s">
        <v>227</v>
      </c>
      <c r="K8" s="662">
        <f>MAX(AI:AI)</f>
        <v>202203</v>
      </c>
      <c r="O8" t="s">
        <v>2236</v>
      </c>
      <c r="P8" t="s">
        <v>2237</v>
      </c>
      <c r="Q8" t="s">
        <v>2238</v>
      </c>
      <c r="R8" t="s">
        <v>2239</v>
      </c>
      <c r="S8" t="s">
        <v>2218</v>
      </c>
      <c r="T8">
        <v>202108</v>
      </c>
      <c r="U8" t="s">
        <v>217</v>
      </c>
      <c r="V8">
        <v>12090.45</v>
      </c>
      <c r="AI8">
        <f t="shared" si="0"/>
        <v>0</v>
      </c>
      <c r="AJ8" t="str">
        <f t="shared" si="1"/>
        <v>Nada</v>
      </c>
    </row>
    <row r="9" spans="1:36">
      <c r="A9" t="s">
        <v>2236</v>
      </c>
      <c r="B9" t="s">
        <v>2237</v>
      </c>
      <c r="C9" t="s">
        <v>2238</v>
      </c>
      <c r="D9" t="s">
        <v>2239</v>
      </c>
      <c r="E9" t="s">
        <v>2218</v>
      </c>
      <c r="F9">
        <v>202109</v>
      </c>
      <c r="G9" t="s">
        <v>215</v>
      </c>
      <c r="H9">
        <v>-25619.22</v>
      </c>
      <c r="J9" t="s">
        <v>229</v>
      </c>
      <c r="K9" s="662">
        <f>MAX(AJ:AJ)</f>
        <v>1</v>
      </c>
      <c r="O9" t="s">
        <v>2236</v>
      </c>
      <c r="P9" t="s">
        <v>2237</v>
      </c>
      <c r="Q9" t="s">
        <v>2238</v>
      </c>
      <c r="R9" t="s">
        <v>2239</v>
      </c>
      <c r="S9" t="s">
        <v>2218</v>
      </c>
      <c r="T9">
        <v>202108</v>
      </c>
      <c r="U9" t="s">
        <v>219</v>
      </c>
      <c r="V9">
        <v>10449.370000000001</v>
      </c>
    </row>
    <row r="10" spans="1:36">
      <c r="A10" t="s">
        <v>2236</v>
      </c>
      <c r="B10" t="s">
        <v>2237</v>
      </c>
      <c r="C10" t="s">
        <v>2238</v>
      </c>
      <c r="D10" t="s">
        <v>2239</v>
      </c>
      <c r="E10" t="s">
        <v>2218</v>
      </c>
      <c r="F10">
        <v>202110</v>
      </c>
      <c r="G10" t="s">
        <v>215</v>
      </c>
      <c r="H10">
        <v>-22757.63</v>
      </c>
      <c r="O10" t="s">
        <v>2236</v>
      </c>
      <c r="P10" t="s">
        <v>2237</v>
      </c>
      <c r="Q10" t="s">
        <v>2238</v>
      </c>
      <c r="R10" t="s">
        <v>2239</v>
      </c>
      <c r="S10" t="s">
        <v>2218</v>
      </c>
      <c r="T10">
        <v>202109</v>
      </c>
      <c r="U10" t="s">
        <v>217</v>
      </c>
      <c r="V10">
        <v>11843.24</v>
      </c>
    </row>
    <row r="11" spans="1:36">
      <c r="A11" t="s">
        <v>2236</v>
      </c>
      <c r="B11" t="s">
        <v>2237</v>
      </c>
      <c r="C11" t="s">
        <v>2238</v>
      </c>
      <c r="D11" t="s">
        <v>2239</v>
      </c>
      <c r="E11" t="s">
        <v>2218</v>
      </c>
      <c r="F11">
        <v>202111</v>
      </c>
      <c r="G11" t="s">
        <v>215</v>
      </c>
      <c r="H11">
        <v>-4222.92</v>
      </c>
      <c r="J11" s="829">
        <f>VALUE(A2)</f>
        <v>5384</v>
      </c>
      <c r="O11" t="s">
        <v>2236</v>
      </c>
      <c r="P11" t="s">
        <v>2237</v>
      </c>
      <c r="Q11" t="s">
        <v>2238</v>
      </c>
      <c r="R11" t="s">
        <v>2239</v>
      </c>
      <c r="S11" t="s">
        <v>2218</v>
      </c>
      <c r="T11">
        <v>202109</v>
      </c>
      <c r="U11" t="s">
        <v>219</v>
      </c>
      <c r="V11">
        <v>10425.9</v>
      </c>
    </row>
    <row r="12" spans="1:36">
      <c r="A12" t="s">
        <v>2236</v>
      </c>
      <c r="B12" t="s">
        <v>2237</v>
      </c>
      <c r="C12" t="s">
        <v>2238</v>
      </c>
      <c r="D12" t="s">
        <v>2239</v>
      </c>
      <c r="E12" t="s">
        <v>2218</v>
      </c>
      <c r="F12">
        <v>202112</v>
      </c>
      <c r="G12" t="s">
        <v>215</v>
      </c>
      <c r="H12">
        <v>-5965.04</v>
      </c>
      <c r="K12" s="8"/>
      <c r="O12" t="s">
        <v>2236</v>
      </c>
      <c r="P12" t="s">
        <v>2237</v>
      </c>
      <c r="Q12" t="s">
        <v>2238</v>
      </c>
      <c r="R12" t="s">
        <v>2239</v>
      </c>
      <c r="S12" t="s">
        <v>2218</v>
      </c>
      <c r="T12">
        <v>202110</v>
      </c>
      <c r="U12" t="s">
        <v>217</v>
      </c>
      <c r="V12">
        <v>11579.6</v>
      </c>
    </row>
    <row r="13" spans="1:36">
      <c r="A13" t="s">
        <v>2236</v>
      </c>
      <c r="B13" t="s">
        <v>2237</v>
      </c>
      <c r="C13" t="s">
        <v>2238</v>
      </c>
      <c r="D13" t="s">
        <v>2239</v>
      </c>
      <c r="E13" t="s">
        <v>2218</v>
      </c>
      <c r="F13">
        <v>202201</v>
      </c>
      <c r="G13" t="s">
        <v>215</v>
      </c>
      <c r="H13">
        <v>-30583.439999999999</v>
      </c>
      <c r="O13" t="s">
        <v>2236</v>
      </c>
      <c r="P13" t="s">
        <v>2237</v>
      </c>
      <c r="Q13" t="s">
        <v>2238</v>
      </c>
      <c r="R13" t="s">
        <v>2239</v>
      </c>
      <c r="S13" t="s">
        <v>2218</v>
      </c>
      <c r="T13">
        <v>202110</v>
      </c>
      <c r="U13" t="s">
        <v>219</v>
      </c>
      <c r="V13">
        <v>9968.06</v>
      </c>
    </row>
    <row r="14" spans="1:36">
      <c r="A14" t="s">
        <v>2236</v>
      </c>
      <c r="B14" t="s">
        <v>2237</v>
      </c>
      <c r="C14" t="s">
        <v>2238</v>
      </c>
      <c r="D14" t="s">
        <v>2239</v>
      </c>
      <c r="E14" t="s">
        <v>2218</v>
      </c>
      <c r="F14">
        <v>202202</v>
      </c>
      <c r="G14" t="s">
        <v>215</v>
      </c>
      <c r="H14">
        <v>-1770.76</v>
      </c>
      <c r="O14" t="s">
        <v>2236</v>
      </c>
      <c r="P14" t="s">
        <v>2237</v>
      </c>
      <c r="Q14" t="s">
        <v>2238</v>
      </c>
      <c r="R14" t="s">
        <v>2239</v>
      </c>
      <c r="S14" t="s">
        <v>2218</v>
      </c>
      <c r="T14">
        <v>202111</v>
      </c>
      <c r="U14" t="s">
        <v>217</v>
      </c>
      <c r="V14">
        <v>11856.8</v>
      </c>
    </row>
    <row r="15" spans="1:36">
      <c r="A15" t="s">
        <v>2236</v>
      </c>
      <c r="B15" t="s">
        <v>2237</v>
      </c>
      <c r="C15" t="s">
        <v>2238</v>
      </c>
      <c r="D15" t="s">
        <v>2239</v>
      </c>
      <c r="E15" t="s">
        <v>2218</v>
      </c>
      <c r="F15">
        <v>202203</v>
      </c>
      <c r="G15" t="s">
        <v>215</v>
      </c>
      <c r="H15">
        <v>-2200.44</v>
      </c>
      <c r="O15" t="s">
        <v>2236</v>
      </c>
      <c r="P15" t="s">
        <v>2237</v>
      </c>
      <c r="Q15" t="s">
        <v>2238</v>
      </c>
      <c r="R15" t="s">
        <v>2239</v>
      </c>
      <c r="S15" t="s">
        <v>2218</v>
      </c>
      <c r="T15">
        <v>202111</v>
      </c>
      <c r="U15" t="s">
        <v>219</v>
      </c>
      <c r="V15">
        <v>10348.200000000001</v>
      </c>
    </row>
    <row r="16" spans="1:36">
      <c r="A16" t="s">
        <v>2236</v>
      </c>
      <c r="B16" t="s">
        <v>2237</v>
      </c>
      <c r="C16" t="s">
        <v>2238</v>
      </c>
      <c r="D16" t="s">
        <v>2239</v>
      </c>
      <c r="E16" t="s">
        <v>2218</v>
      </c>
      <c r="F16">
        <v>202102</v>
      </c>
      <c r="G16" t="s">
        <v>228</v>
      </c>
      <c r="H16">
        <v>40617.08</v>
      </c>
      <c r="O16" t="s">
        <v>2236</v>
      </c>
      <c r="P16" t="s">
        <v>2237</v>
      </c>
      <c r="Q16" t="s">
        <v>2238</v>
      </c>
      <c r="R16" t="s">
        <v>2239</v>
      </c>
      <c r="S16" t="s">
        <v>2218</v>
      </c>
      <c r="T16">
        <v>202112</v>
      </c>
      <c r="U16" t="s">
        <v>217</v>
      </c>
      <c r="V16">
        <v>11700</v>
      </c>
    </row>
    <row r="17" spans="1:22">
      <c r="A17" t="s">
        <v>2236</v>
      </c>
      <c r="B17" t="s">
        <v>2237</v>
      </c>
      <c r="C17" t="s">
        <v>2238</v>
      </c>
      <c r="D17" t="s">
        <v>2239</v>
      </c>
      <c r="E17" t="s">
        <v>2218</v>
      </c>
      <c r="F17">
        <v>202103</v>
      </c>
      <c r="G17" t="s">
        <v>228</v>
      </c>
      <c r="H17">
        <v>35966.080000000002</v>
      </c>
      <c r="O17" t="s">
        <v>2236</v>
      </c>
      <c r="P17" t="s">
        <v>2237</v>
      </c>
      <c r="Q17" t="s">
        <v>2238</v>
      </c>
      <c r="R17" t="s">
        <v>2239</v>
      </c>
      <c r="S17" t="s">
        <v>2218</v>
      </c>
      <c r="T17">
        <v>202112</v>
      </c>
      <c r="U17" t="s">
        <v>219</v>
      </c>
      <c r="V17">
        <v>10109.93</v>
      </c>
    </row>
    <row r="18" spans="1:22">
      <c r="A18" t="s">
        <v>2236</v>
      </c>
      <c r="B18" t="s">
        <v>2237</v>
      </c>
      <c r="C18" t="s">
        <v>2238</v>
      </c>
      <c r="D18" t="s">
        <v>2239</v>
      </c>
      <c r="E18" t="s">
        <v>2218</v>
      </c>
      <c r="F18">
        <v>202104</v>
      </c>
      <c r="G18" t="s">
        <v>228</v>
      </c>
      <c r="H18">
        <v>28869.54</v>
      </c>
      <c r="O18" t="s">
        <v>2236</v>
      </c>
      <c r="P18" t="s">
        <v>2237</v>
      </c>
      <c r="Q18" t="s">
        <v>2238</v>
      </c>
      <c r="R18" t="s">
        <v>2239</v>
      </c>
      <c r="S18" t="s">
        <v>2218</v>
      </c>
      <c r="T18">
        <v>202201</v>
      </c>
      <c r="U18" t="s">
        <v>217</v>
      </c>
      <c r="V18">
        <v>11824.32</v>
      </c>
    </row>
    <row r="19" spans="1:22">
      <c r="A19" t="s">
        <v>2236</v>
      </c>
      <c r="B19" t="s">
        <v>2237</v>
      </c>
      <c r="C19" t="s">
        <v>2238</v>
      </c>
      <c r="D19" t="s">
        <v>2239</v>
      </c>
      <c r="E19" t="s">
        <v>2218</v>
      </c>
      <c r="F19">
        <v>202105</v>
      </c>
      <c r="G19" t="s">
        <v>228</v>
      </c>
      <c r="H19">
        <v>50661.73</v>
      </c>
      <c r="O19" t="s">
        <v>2236</v>
      </c>
      <c r="P19" t="s">
        <v>2237</v>
      </c>
      <c r="Q19" t="s">
        <v>2238</v>
      </c>
      <c r="R19" t="s">
        <v>2239</v>
      </c>
      <c r="S19" t="s">
        <v>2218</v>
      </c>
      <c r="T19">
        <v>202201</v>
      </c>
      <c r="U19" t="s">
        <v>219</v>
      </c>
      <c r="V19">
        <v>10180.200000000001</v>
      </c>
    </row>
    <row r="20" spans="1:22">
      <c r="A20" t="s">
        <v>2236</v>
      </c>
      <c r="B20" t="s">
        <v>2237</v>
      </c>
      <c r="C20" t="s">
        <v>2238</v>
      </c>
      <c r="D20" t="s">
        <v>2239</v>
      </c>
      <c r="E20" t="s">
        <v>2218</v>
      </c>
      <c r="F20">
        <v>202106</v>
      </c>
      <c r="G20" t="s">
        <v>228</v>
      </c>
      <c r="H20">
        <v>35516.120000000003</v>
      </c>
      <c r="O20" t="s">
        <v>2236</v>
      </c>
      <c r="P20" t="s">
        <v>2237</v>
      </c>
      <c r="Q20" t="s">
        <v>2238</v>
      </c>
      <c r="R20" t="s">
        <v>2239</v>
      </c>
      <c r="S20" t="s">
        <v>2218</v>
      </c>
      <c r="T20">
        <v>202202</v>
      </c>
      <c r="U20" t="s">
        <v>217</v>
      </c>
      <c r="V20">
        <v>11763.87</v>
      </c>
    </row>
    <row r="21" spans="1:22">
      <c r="A21" t="s">
        <v>2236</v>
      </c>
      <c r="B21" t="s">
        <v>2237</v>
      </c>
      <c r="C21" t="s">
        <v>2238</v>
      </c>
      <c r="D21" t="s">
        <v>2239</v>
      </c>
      <c r="E21" t="s">
        <v>2218</v>
      </c>
      <c r="F21">
        <v>202107</v>
      </c>
      <c r="G21" t="s">
        <v>228</v>
      </c>
      <c r="H21">
        <v>34472.43</v>
      </c>
      <c r="O21" t="s">
        <v>2236</v>
      </c>
      <c r="P21" t="s">
        <v>2237</v>
      </c>
      <c r="Q21" t="s">
        <v>2238</v>
      </c>
      <c r="R21" t="s">
        <v>2239</v>
      </c>
      <c r="S21" t="s">
        <v>2218</v>
      </c>
      <c r="T21">
        <v>202202</v>
      </c>
      <c r="U21" t="s">
        <v>219</v>
      </c>
      <c r="V21">
        <v>10038.76</v>
      </c>
    </row>
    <row r="22" spans="1:22">
      <c r="A22" t="s">
        <v>2236</v>
      </c>
      <c r="B22" t="s">
        <v>2237</v>
      </c>
      <c r="C22" t="s">
        <v>2238</v>
      </c>
      <c r="D22" t="s">
        <v>2239</v>
      </c>
      <c r="E22" t="s">
        <v>2218</v>
      </c>
      <c r="F22">
        <v>202108</v>
      </c>
      <c r="G22" t="s">
        <v>228</v>
      </c>
      <c r="H22">
        <v>31529.75</v>
      </c>
      <c r="O22" t="s">
        <v>2236</v>
      </c>
      <c r="P22" t="s">
        <v>2237</v>
      </c>
      <c r="Q22" t="s">
        <v>2238</v>
      </c>
      <c r="R22" t="s">
        <v>2239</v>
      </c>
      <c r="S22" t="s">
        <v>2218</v>
      </c>
      <c r="T22">
        <v>202203</v>
      </c>
      <c r="U22" t="s">
        <v>217</v>
      </c>
      <c r="V22">
        <v>11816</v>
      </c>
    </row>
    <row r="23" spans="1:22">
      <c r="A23" t="s">
        <v>2236</v>
      </c>
      <c r="B23" t="s">
        <v>2237</v>
      </c>
      <c r="C23" t="s">
        <v>2238</v>
      </c>
      <c r="D23" t="s">
        <v>2239</v>
      </c>
      <c r="E23" t="s">
        <v>2218</v>
      </c>
      <c r="F23">
        <v>202109</v>
      </c>
      <c r="G23" t="s">
        <v>228</v>
      </c>
      <c r="H23">
        <v>37985.410000000003</v>
      </c>
      <c r="O23" t="s">
        <v>2236</v>
      </c>
      <c r="P23" t="s">
        <v>2237</v>
      </c>
      <c r="Q23" t="s">
        <v>2238</v>
      </c>
      <c r="R23" t="s">
        <v>2239</v>
      </c>
      <c r="S23" t="s">
        <v>2218</v>
      </c>
      <c r="T23">
        <v>202203</v>
      </c>
      <c r="U23" t="s">
        <v>219</v>
      </c>
      <c r="V23">
        <v>10128.5</v>
      </c>
    </row>
    <row r="24" spans="1:22">
      <c r="A24" t="s">
        <v>2236</v>
      </c>
      <c r="B24" t="s">
        <v>2237</v>
      </c>
      <c r="C24" t="s">
        <v>2238</v>
      </c>
      <c r="D24" t="s">
        <v>2239</v>
      </c>
      <c r="E24" t="s">
        <v>2218</v>
      </c>
      <c r="F24">
        <v>202110</v>
      </c>
      <c r="G24" t="s">
        <v>228</v>
      </c>
      <c r="H24">
        <v>35876.160000000003</v>
      </c>
      <c r="O24" t="s">
        <v>2236</v>
      </c>
      <c r="P24" t="s">
        <v>2237</v>
      </c>
      <c r="Q24" t="s">
        <v>2238</v>
      </c>
      <c r="R24" t="s">
        <v>2239</v>
      </c>
      <c r="S24" t="s">
        <v>2218</v>
      </c>
      <c r="T24">
        <v>202105</v>
      </c>
      <c r="U24" t="s">
        <v>230</v>
      </c>
      <c r="V24">
        <v>925373.95</v>
      </c>
    </row>
    <row r="25" spans="1:22">
      <c r="A25" t="s">
        <v>2236</v>
      </c>
      <c r="B25" t="s">
        <v>2237</v>
      </c>
      <c r="C25" t="s">
        <v>2238</v>
      </c>
      <c r="D25" t="s">
        <v>2239</v>
      </c>
      <c r="E25" t="s">
        <v>2218</v>
      </c>
      <c r="F25">
        <v>202111</v>
      </c>
      <c r="G25" t="s">
        <v>228</v>
      </c>
      <c r="H25">
        <v>46464.72</v>
      </c>
      <c r="O25" t="s">
        <v>2236</v>
      </c>
      <c r="P25" t="s">
        <v>2237</v>
      </c>
      <c r="Q25" t="s">
        <v>2238</v>
      </c>
      <c r="R25" t="s">
        <v>2239</v>
      </c>
      <c r="S25" t="s">
        <v>2218</v>
      </c>
      <c r="T25">
        <v>202105</v>
      </c>
      <c r="U25" t="s">
        <v>231</v>
      </c>
      <c r="V25">
        <v>110455.31</v>
      </c>
    </row>
    <row r="26" spans="1:22">
      <c r="A26" t="s">
        <v>2236</v>
      </c>
      <c r="B26" t="s">
        <v>2237</v>
      </c>
      <c r="C26" t="s">
        <v>2238</v>
      </c>
      <c r="D26" t="s">
        <v>2239</v>
      </c>
      <c r="E26" t="s">
        <v>2218</v>
      </c>
      <c r="F26">
        <v>202112</v>
      </c>
      <c r="G26" t="s">
        <v>228</v>
      </c>
      <c r="H26">
        <v>22488.74</v>
      </c>
      <c r="O26" t="s">
        <v>2236</v>
      </c>
      <c r="P26" t="s">
        <v>2237</v>
      </c>
      <c r="Q26" t="s">
        <v>2238</v>
      </c>
      <c r="R26" t="s">
        <v>2239</v>
      </c>
      <c r="S26" t="s">
        <v>2218</v>
      </c>
      <c r="T26">
        <v>202105</v>
      </c>
      <c r="U26" t="s">
        <v>221</v>
      </c>
      <c r="V26">
        <v>4040862.24</v>
      </c>
    </row>
    <row r="27" spans="1:22">
      <c r="A27" t="s">
        <v>2236</v>
      </c>
      <c r="B27" t="s">
        <v>2237</v>
      </c>
      <c r="C27" t="s">
        <v>2238</v>
      </c>
      <c r="D27" t="s">
        <v>2239</v>
      </c>
      <c r="E27" t="s">
        <v>2218</v>
      </c>
      <c r="F27">
        <v>202201</v>
      </c>
      <c r="G27" t="s">
        <v>228</v>
      </c>
      <c r="H27">
        <v>0</v>
      </c>
      <c r="O27" t="s">
        <v>2236</v>
      </c>
      <c r="P27" t="s">
        <v>2237</v>
      </c>
      <c r="Q27" t="s">
        <v>2238</v>
      </c>
      <c r="R27" t="s">
        <v>2239</v>
      </c>
      <c r="S27" t="s">
        <v>2218</v>
      </c>
      <c r="T27">
        <v>202105</v>
      </c>
      <c r="U27" t="s">
        <v>223</v>
      </c>
      <c r="V27">
        <v>399225</v>
      </c>
    </row>
    <row r="28" spans="1:22">
      <c r="A28" t="s">
        <v>2236</v>
      </c>
      <c r="B28" t="s">
        <v>2237</v>
      </c>
      <c r="C28" t="s">
        <v>2238</v>
      </c>
      <c r="D28" t="s">
        <v>2239</v>
      </c>
      <c r="E28" t="s">
        <v>2218</v>
      </c>
      <c r="F28">
        <v>202202</v>
      </c>
      <c r="G28" t="s">
        <v>228</v>
      </c>
      <c r="H28">
        <v>0</v>
      </c>
      <c r="O28" t="s">
        <v>2236</v>
      </c>
      <c r="P28" t="s">
        <v>2237</v>
      </c>
      <c r="Q28" t="s">
        <v>2238</v>
      </c>
      <c r="R28" t="s">
        <v>2239</v>
      </c>
      <c r="S28" t="s">
        <v>2218</v>
      </c>
      <c r="T28">
        <v>202105</v>
      </c>
      <c r="U28" t="s">
        <v>225</v>
      </c>
      <c r="V28">
        <v>19126</v>
      </c>
    </row>
    <row r="29" spans="1:22">
      <c r="A29" t="s">
        <v>2236</v>
      </c>
      <c r="B29" t="s">
        <v>2237</v>
      </c>
      <c r="C29" t="s">
        <v>2238</v>
      </c>
      <c r="D29" t="s">
        <v>2239</v>
      </c>
      <c r="E29" t="s">
        <v>2218</v>
      </c>
      <c r="F29">
        <v>202203</v>
      </c>
      <c r="G29" t="s">
        <v>228</v>
      </c>
      <c r="H29">
        <v>32702.26</v>
      </c>
      <c r="O29" t="s">
        <v>2236</v>
      </c>
      <c r="P29" t="s">
        <v>2237</v>
      </c>
      <c r="Q29" t="s">
        <v>2238</v>
      </c>
      <c r="R29" t="s">
        <v>2239</v>
      </c>
      <c r="S29" t="s">
        <v>2218</v>
      </c>
      <c r="T29">
        <v>202106</v>
      </c>
      <c r="U29" t="s">
        <v>230</v>
      </c>
      <c r="V29">
        <v>840983.11</v>
      </c>
    </row>
    <row r="30" spans="1:22">
      <c r="A30" t="s">
        <v>2236</v>
      </c>
      <c r="B30" t="s">
        <v>2237</v>
      </c>
      <c r="C30" t="s">
        <v>2238</v>
      </c>
      <c r="D30" t="s">
        <v>2239</v>
      </c>
      <c r="E30" t="s">
        <v>2218</v>
      </c>
      <c r="F30">
        <v>202102</v>
      </c>
      <c r="G30" t="s">
        <v>232</v>
      </c>
      <c r="H30">
        <v>0</v>
      </c>
      <c r="O30" t="s">
        <v>2236</v>
      </c>
      <c r="P30" t="s">
        <v>2237</v>
      </c>
      <c r="Q30" t="s">
        <v>2238</v>
      </c>
      <c r="R30" t="s">
        <v>2239</v>
      </c>
      <c r="S30" t="s">
        <v>2218</v>
      </c>
      <c r="T30">
        <v>202106</v>
      </c>
      <c r="U30" t="s">
        <v>231</v>
      </c>
      <c r="V30">
        <v>103827.37</v>
      </c>
    </row>
    <row r="31" spans="1:22">
      <c r="A31" t="s">
        <v>2236</v>
      </c>
      <c r="B31" t="s">
        <v>2237</v>
      </c>
      <c r="C31" t="s">
        <v>2238</v>
      </c>
      <c r="D31" t="s">
        <v>2239</v>
      </c>
      <c r="E31" t="s">
        <v>2218</v>
      </c>
      <c r="F31">
        <v>202103</v>
      </c>
      <c r="G31" t="s">
        <v>232</v>
      </c>
      <c r="H31">
        <v>0</v>
      </c>
      <c r="O31" t="s">
        <v>2236</v>
      </c>
      <c r="P31" t="s">
        <v>2237</v>
      </c>
      <c r="Q31" t="s">
        <v>2238</v>
      </c>
      <c r="R31" t="s">
        <v>2239</v>
      </c>
      <c r="S31" t="s">
        <v>2218</v>
      </c>
      <c r="T31">
        <v>202106</v>
      </c>
      <c r="U31" t="s">
        <v>221</v>
      </c>
      <c r="V31">
        <v>3781702.48</v>
      </c>
    </row>
    <row r="32" spans="1:22">
      <c r="A32" t="s">
        <v>2236</v>
      </c>
      <c r="B32" t="s">
        <v>2237</v>
      </c>
      <c r="C32" t="s">
        <v>2238</v>
      </c>
      <c r="D32" t="s">
        <v>2239</v>
      </c>
      <c r="E32" t="s">
        <v>2218</v>
      </c>
      <c r="F32">
        <v>202104</v>
      </c>
      <c r="G32" t="s">
        <v>232</v>
      </c>
      <c r="H32">
        <v>0</v>
      </c>
      <c r="O32" t="s">
        <v>2236</v>
      </c>
      <c r="P32" t="s">
        <v>2237</v>
      </c>
      <c r="Q32" t="s">
        <v>2238</v>
      </c>
      <c r="R32" t="s">
        <v>2239</v>
      </c>
      <c r="S32" t="s">
        <v>2218</v>
      </c>
      <c r="T32">
        <v>202106</v>
      </c>
      <c r="U32" t="s">
        <v>223</v>
      </c>
      <c r="V32">
        <v>378054.99</v>
      </c>
    </row>
    <row r="33" spans="1:22">
      <c r="A33" t="s">
        <v>2236</v>
      </c>
      <c r="B33" t="s">
        <v>2237</v>
      </c>
      <c r="C33" t="s">
        <v>2238</v>
      </c>
      <c r="D33" t="s">
        <v>2239</v>
      </c>
      <c r="E33" t="s">
        <v>2218</v>
      </c>
      <c r="F33">
        <v>202105</v>
      </c>
      <c r="G33" t="s">
        <v>232</v>
      </c>
      <c r="H33">
        <v>0</v>
      </c>
      <c r="O33" t="s">
        <v>2236</v>
      </c>
      <c r="P33" t="s">
        <v>2237</v>
      </c>
      <c r="Q33" t="s">
        <v>2238</v>
      </c>
      <c r="R33" t="s">
        <v>2239</v>
      </c>
      <c r="S33" t="s">
        <v>2218</v>
      </c>
      <c r="T33">
        <v>202106</v>
      </c>
      <c r="U33" t="s">
        <v>225</v>
      </c>
      <c r="V33">
        <v>18635</v>
      </c>
    </row>
    <row r="34" spans="1:22">
      <c r="A34" t="s">
        <v>2236</v>
      </c>
      <c r="B34" t="s">
        <v>2237</v>
      </c>
      <c r="C34" t="s">
        <v>2238</v>
      </c>
      <c r="D34" t="s">
        <v>2239</v>
      </c>
      <c r="E34" t="s">
        <v>2218</v>
      </c>
      <c r="F34">
        <v>202106</v>
      </c>
      <c r="G34" t="s">
        <v>232</v>
      </c>
      <c r="H34">
        <v>0</v>
      </c>
      <c r="O34" t="s">
        <v>2236</v>
      </c>
      <c r="P34" t="s">
        <v>2237</v>
      </c>
      <c r="Q34" t="s">
        <v>2238</v>
      </c>
      <c r="R34" t="s">
        <v>2239</v>
      </c>
      <c r="S34" t="s">
        <v>2218</v>
      </c>
      <c r="T34">
        <v>202107</v>
      </c>
      <c r="U34" t="s">
        <v>230</v>
      </c>
      <c r="V34">
        <v>870200.66</v>
      </c>
    </row>
    <row r="35" spans="1:22">
      <c r="A35" t="s">
        <v>2236</v>
      </c>
      <c r="B35" t="s">
        <v>2237</v>
      </c>
      <c r="C35" t="s">
        <v>2238</v>
      </c>
      <c r="D35" t="s">
        <v>2239</v>
      </c>
      <c r="E35" t="s">
        <v>2218</v>
      </c>
      <c r="F35">
        <v>202107</v>
      </c>
      <c r="G35" t="s">
        <v>232</v>
      </c>
      <c r="H35">
        <v>0</v>
      </c>
      <c r="O35" t="s">
        <v>2236</v>
      </c>
      <c r="P35" t="s">
        <v>2237</v>
      </c>
      <c r="Q35" t="s">
        <v>2238</v>
      </c>
      <c r="R35" t="s">
        <v>2239</v>
      </c>
      <c r="S35" t="s">
        <v>2218</v>
      </c>
      <c r="T35">
        <v>202107</v>
      </c>
      <c r="U35" t="s">
        <v>231</v>
      </c>
      <c r="V35">
        <v>112492.76</v>
      </c>
    </row>
    <row r="36" spans="1:22">
      <c r="A36" t="s">
        <v>2236</v>
      </c>
      <c r="B36" t="s">
        <v>2237</v>
      </c>
      <c r="C36" t="s">
        <v>2238</v>
      </c>
      <c r="D36" t="s">
        <v>2239</v>
      </c>
      <c r="E36" t="s">
        <v>2218</v>
      </c>
      <c r="F36">
        <v>202108</v>
      </c>
      <c r="G36" t="s">
        <v>232</v>
      </c>
      <c r="H36">
        <v>0</v>
      </c>
      <c r="O36" t="s">
        <v>2236</v>
      </c>
      <c r="P36" t="s">
        <v>2237</v>
      </c>
      <c r="Q36" t="s">
        <v>2238</v>
      </c>
      <c r="R36" t="s">
        <v>2239</v>
      </c>
      <c r="S36" t="s">
        <v>2218</v>
      </c>
      <c r="T36">
        <v>202107</v>
      </c>
      <c r="U36" t="s">
        <v>221</v>
      </c>
      <c r="V36">
        <v>3773857.12</v>
      </c>
    </row>
    <row r="37" spans="1:22">
      <c r="A37" t="s">
        <v>2236</v>
      </c>
      <c r="B37" t="s">
        <v>2237</v>
      </c>
      <c r="C37" t="s">
        <v>2238</v>
      </c>
      <c r="D37" t="s">
        <v>2239</v>
      </c>
      <c r="E37" t="s">
        <v>2218</v>
      </c>
      <c r="F37">
        <v>202109</v>
      </c>
      <c r="G37" t="s">
        <v>232</v>
      </c>
      <c r="H37">
        <v>0</v>
      </c>
      <c r="O37" t="s">
        <v>2236</v>
      </c>
      <c r="P37" t="s">
        <v>2237</v>
      </c>
      <c r="Q37" t="s">
        <v>2238</v>
      </c>
      <c r="R37" t="s">
        <v>2239</v>
      </c>
      <c r="S37" t="s">
        <v>2218</v>
      </c>
      <c r="T37">
        <v>202107</v>
      </c>
      <c r="U37" t="s">
        <v>223</v>
      </c>
      <c r="V37">
        <v>408292.3</v>
      </c>
    </row>
    <row r="38" spans="1:22">
      <c r="A38" t="s">
        <v>2236</v>
      </c>
      <c r="B38" t="s">
        <v>2237</v>
      </c>
      <c r="C38" t="s">
        <v>2238</v>
      </c>
      <c r="D38" t="s">
        <v>2239</v>
      </c>
      <c r="E38" t="s">
        <v>2218</v>
      </c>
      <c r="F38">
        <v>202110</v>
      </c>
      <c r="G38" t="s">
        <v>232</v>
      </c>
      <c r="H38">
        <v>0</v>
      </c>
      <c r="O38" t="s">
        <v>2236</v>
      </c>
      <c r="P38" t="s">
        <v>2237</v>
      </c>
      <c r="Q38" t="s">
        <v>2238</v>
      </c>
      <c r="R38" t="s">
        <v>2239</v>
      </c>
      <c r="S38" t="s">
        <v>2218</v>
      </c>
      <c r="T38">
        <v>202107</v>
      </c>
      <c r="U38" t="s">
        <v>225</v>
      </c>
      <c r="V38">
        <v>19160</v>
      </c>
    </row>
    <row r="39" spans="1:22">
      <c r="A39" t="s">
        <v>2236</v>
      </c>
      <c r="B39" t="s">
        <v>2237</v>
      </c>
      <c r="C39" t="s">
        <v>2238</v>
      </c>
      <c r="D39" t="s">
        <v>2239</v>
      </c>
      <c r="E39" t="s">
        <v>2218</v>
      </c>
      <c r="F39">
        <v>202111</v>
      </c>
      <c r="G39" t="s">
        <v>232</v>
      </c>
      <c r="H39">
        <v>0</v>
      </c>
      <c r="O39" t="s">
        <v>2236</v>
      </c>
      <c r="P39" t="s">
        <v>2237</v>
      </c>
      <c r="Q39" t="s">
        <v>2238</v>
      </c>
      <c r="R39" t="s">
        <v>2239</v>
      </c>
      <c r="S39" t="s">
        <v>2218</v>
      </c>
      <c r="T39">
        <v>202108</v>
      </c>
      <c r="U39" t="s">
        <v>230</v>
      </c>
      <c r="V39">
        <v>234911.53</v>
      </c>
    </row>
    <row r="40" spans="1:22">
      <c r="A40" t="s">
        <v>2236</v>
      </c>
      <c r="B40" t="s">
        <v>2237</v>
      </c>
      <c r="C40" t="s">
        <v>2238</v>
      </c>
      <c r="D40" t="s">
        <v>2239</v>
      </c>
      <c r="E40" t="s">
        <v>2218</v>
      </c>
      <c r="F40">
        <v>202112</v>
      </c>
      <c r="G40" t="s">
        <v>232</v>
      </c>
      <c r="H40">
        <v>4</v>
      </c>
      <c r="O40" t="s">
        <v>2236</v>
      </c>
      <c r="P40" t="s">
        <v>2237</v>
      </c>
      <c r="Q40" t="s">
        <v>2238</v>
      </c>
      <c r="R40" t="s">
        <v>2239</v>
      </c>
      <c r="S40" t="s">
        <v>2218</v>
      </c>
      <c r="T40">
        <v>202108</v>
      </c>
      <c r="U40" t="s">
        <v>231</v>
      </c>
      <c r="V40">
        <v>62493.52</v>
      </c>
    </row>
    <row r="41" spans="1:22">
      <c r="A41" t="s">
        <v>2236</v>
      </c>
      <c r="B41" t="s">
        <v>2237</v>
      </c>
      <c r="C41" t="s">
        <v>2238</v>
      </c>
      <c r="D41" t="s">
        <v>2239</v>
      </c>
      <c r="E41" t="s">
        <v>2218</v>
      </c>
      <c r="F41">
        <v>202201</v>
      </c>
      <c r="G41" t="s">
        <v>232</v>
      </c>
      <c r="H41">
        <v>0</v>
      </c>
      <c r="O41" t="s">
        <v>2236</v>
      </c>
      <c r="P41" t="s">
        <v>2237</v>
      </c>
      <c r="Q41" t="s">
        <v>2238</v>
      </c>
      <c r="R41" t="s">
        <v>2239</v>
      </c>
      <c r="S41" t="s">
        <v>2218</v>
      </c>
      <c r="T41">
        <v>202108</v>
      </c>
      <c r="U41" t="s">
        <v>221</v>
      </c>
      <c r="V41">
        <v>4048056.88</v>
      </c>
    </row>
    <row r="42" spans="1:22">
      <c r="A42" t="s">
        <v>2236</v>
      </c>
      <c r="B42" t="s">
        <v>2237</v>
      </c>
      <c r="C42" t="s">
        <v>2238</v>
      </c>
      <c r="D42" t="s">
        <v>2239</v>
      </c>
      <c r="E42" t="s">
        <v>2218</v>
      </c>
      <c r="F42">
        <v>202202</v>
      </c>
      <c r="G42" t="s">
        <v>232</v>
      </c>
      <c r="H42">
        <v>0</v>
      </c>
      <c r="O42" t="s">
        <v>2236</v>
      </c>
      <c r="P42" t="s">
        <v>2237</v>
      </c>
      <c r="Q42" t="s">
        <v>2238</v>
      </c>
      <c r="R42" t="s">
        <v>2239</v>
      </c>
      <c r="S42" t="s">
        <v>2218</v>
      </c>
      <c r="T42">
        <v>202108</v>
      </c>
      <c r="U42" t="s">
        <v>223</v>
      </c>
      <c r="V42">
        <v>444437.16</v>
      </c>
    </row>
    <row r="43" spans="1:22">
      <c r="A43" t="s">
        <v>2236</v>
      </c>
      <c r="B43" t="s">
        <v>2237</v>
      </c>
      <c r="C43" t="s">
        <v>2238</v>
      </c>
      <c r="D43" t="s">
        <v>2239</v>
      </c>
      <c r="E43" t="s">
        <v>2218</v>
      </c>
      <c r="F43">
        <v>202203</v>
      </c>
      <c r="G43" t="s">
        <v>232</v>
      </c>
      <c r="H43">
        <v>0</v>
      </c>
      <c r="O43" t="s">
        <v>2236</v>
      </c>
      <c r="P43" t="s">
        <v>2237</v>
      </c>
      <c r="Q43" t="s">
        <v>2238</v>
      </c>
      <c r="R43" t="s">
        <v>2239</v>
      </c>
      <c r="S43" t="s">
        <v>2218</v>
      </c>
      <c r="T43">
        <v>202108</v>
      </c>
      <c r="U43" t="s">
        <v>225</v>
      </c>
      <c r="V43">
        <v>19940</v>
      </c>
    </row>
    <row r="44" spans="1:22">
      <c r="A44" t="s">
        <v>2236</v>
      </c>
      <c r="B44" t="s">
        <v>2237</v>
      </c>
      <c r="C44" t="s">
        <v>2238</v>
      </c>
      <c r="D44" t="s">
        <v>2239</v>
      </c>
      <c r="E44" t="s">
        <v>2218</v>
      </c>
      <c r="F44">
        <v>202102</v>
      </c>
      <c r="G44" t="s">
        <v>217</v>
      </c>
      <c r="H44">
        <v>11606.51</v>
      </c>
      <c r="O44" t="s">
        <v>2236</v>
      </c>
      <c r="P44" t="s">
        <v>2237</v>
      </c>
      <c r="Q44" t="s">
        <v>2238</v>
      </c>
      <c r="R44" t="s">
        <v>2239</v>
      </c>
      <c r="S44" t="s">
        <v>2218</v>
      </c>
      <c r="T44">
        <v>202109</v>
      </c>
      <c r="U44" t="s">
        <v>230</v>
      </c>
      <c r="V44">
        <v>931104.89</v>
      </c>
    </row>
    <row r="45" spans="1:22">
      <c r="A45" t="s">
        <v>2236</v>
      </c>
      <c r="B45" t="s">
        <v>2237</v>
      </c>
      <c r="C45" t="s">
        <v>2238</v>
      </c>
      <c r="D45" t="s">
        <v>2239</v>
      </c>
      <c r="E45" t="s">
        <v>2218</v>
      </c>
      <c r="F45">
        <v>202102</v>
      </c>
      <c r="G45" t="s">
        <v>219</v>
      </c>
      <c r="H45">
        <v>9921.2000000000007</v>
      </c>
      <c r="O45" t="s">
        <v>2236</v>
      </c>
      <c r="P45" t="s">
        <v>2237</v>
      </c>
      <c r="Q45" t="s">
        <v>2238</v>
      </c>
      <c r="R45" t="s">
        <v>2239</v>
      </c>
      <c r="S45" t="s">
        <v>2218</v>
      </c>
      <c r="T45">
        <v>202109</v>
      </c>
      <c r="U45" t="s">
        <v>231</v>
      </c>
      <c r="V45">
        <v>112670.71</v>
      </c>
    </row>
    <row r="46" spans="1:22">
      <c r="A46" t="s">
        <v>2236</v>
      </c>
      <c r="B46" t="s">
        <v>2237</v>
      </c>
      <c r="C46" t="s">
        <v>2238</v>
      </c>
      <c r="D46" t="s">
        <v>2239</v>
      </c>
      <c r="E46" t="s">
        <v>2218</v>
      </c>
      <c r="F46">
        <v>202103</v>
      </c>
      <c r="G46" t="s">
        <v>217</v>
      </c>
      <c r="H46">
        <v>11697.8</v>
      </c>
      <c r="O46" t="s">
        <v>2236</v>
      </c>
      <c r="P46" t="s">
        <v>2237</v>
      </c>
      <c r="Q46" t="s">
        <v>2238</v>
      </c>
      <c r="R46" t="s">
        <v>2239</v>
      </c>
      <c r="S46" t="s">
        <v>2218</v>
      </c>
      <c r="T46">
        <v>202109</v>
      </c>
      <c r="U46" t="s">
        <v>221</v>
      </c>
      <c r="V46">
        <v>3671315.56</v>
      </c>
    </row>
    <row r="47" spans="1:22">
      <c r="A47" t="s">
        <v>2236</v>
      </c>
      <c r="B47" t="s">
        <v>2237</v>
      </c>
      <c r="C47" t="s">
        <v>2238</v>
      </c>
      <c r="D47" t="s">
        <v>2239</v>
      </c>
      <c r="E47" t="s">
        <v>2218</v>
      </c>
      <c r="F47">
        <v>202103</v>
      </c>
      <c r="G47" t="s">
        <v>219</v>
      </c>
      <c r="H47">
        <v>9981</v>
      </c>
      <c r="O47" t="s">
        <v>2236</v>
      </c>
      <c r="P47" t="s">
        <v>2237</v>
      </c>
      <c r="Q47" t="s">
        <v>2238</v>
      </c>
      <c r="R47" t="s">
        <v>2239</v>
      </c>
      <c r="S47" t="s">
        <v>2218</v>
      </c>
      <c r="T47">
        <v>202109</v>
      </c>
      <c r="U47" t="s">
        <v>223</v>
      </c>
      <c r="V47">
        <v>389290.89</v>
      </c>
    </row>
    <row r="48" spans="1:22">
      <c r="A48" t="s">
        <v>2236</v>
      </c>
      <c r="B48" t="s">
        <v>2237</v>
      </c>
      <c r="C48" t="s">
        <v>2238</v>
      </c>
      <c r="D48" t="s">
        <v>2239</v>
      </c>
      <c r="E48" t="s">
        <v>2218</v>
      </c>
      <c r="F48">
        <v>202104</v>
      </c>
      <c r="G48" t="s">
        <v>217</v>
      </c>
      <c r="H48">
        <v>11833.64</v>
      </c>
      <c r="O48" t="s">
        <v>2236</v>
      </c>
      <c r="P48" t="s">
        <v>2237</v>
      </c>
      <c r="Q48" t="s">
        <v>2238</v>
      </c>
      <c r="R48" t="s">
        <v>2239</v>
      </c>
      <c r="S48" t="s">
        <v>2218</v>
      </c>
      <c r="T48">
        <v>202109</v>
      </c>
      <c r="U48" t="s">
        <v>225</v>
      </c>
      <c r="V48">
        <v>19936</v>
      </c>
    </row>
    <row r="49" spans="1:22">
      <c r="A49" t="s">
        <v>2236</v>
      </c>
      <c r="B49" t="s">
        <v>2237</v>
      </c>
      <c r="C49" t="s">
        <v>2238</v>
      </c>
      <c r="D49" t="s">
        <v>2239</v>
      </c>
      <c r="E49" t="s">
        <v>2218</v>
      </c>
      <c r="F49">
        <v>202104</v>
      </c>
      <c r="G49" t="s">
        <v>219</v>
      </c>
      <c r="H49">
        <v>10267.57</v>
      </c>
      <c r="O49" t="s">
        <v>2236</v>
      </c>
      <c r="P49" t="s">
        <v>2237</v>
      </c>
      <c r="Q49" t="s">
        <v>2238</v>
      </c>
      <c r="R49" t="s">
        <v>2239</v>
      </c>
      <c r="S49" t="s">
        <v>2218</v>
      </c>
      <c r="T49">
        <v>202110</v>
      </c>
      <c r="U49" t="s">
        <v>230</v>
      </c>
      <c r="V49">
        <v>830995.41</v>
      </c>
    </row>
    <row r="50" spans="1:22">
      <c r="A50" t="s">
        <v>2236</v>
      </c>
      <c r="B50" t="s">
        <v>2237</v>
      </c>
      <c r="C50" t="s">
        <v>2238</v>
      </c>
      <c r="D50" t="s">
        <v>2239</v>
      </c>
      <c r="E50" t="s">
        <v>2218</v>
      </c>
      <c r="F50">
        <v>202105</v>
      </c>
      <c r="G50" t="s">
        <v>217</v>
      </c>
      <c r="H50">
        <v>11711.53</v>
      </c>
      <c r="O50" t="s">
        <v>2236</v>
      </c>
      <c r="P50" t="s">
        <v>2237</v>
      </c>
      <c r="Q50" t="s">
        <v>2238</v>
      </c>
      <c r="R50" t="s">
        <v>2239</v>
      </c>
      <c r="S50" t="s">
        <v>2218</v>
      </c>
      <c r="T50">
        <v>202110</v>
      </c>
      <c r="U50" t="s">
        <v>231</v>
      </c>
      <c r="V50">
        <v>96191.94</v>
      </c>
    </row>
    <row r="51" spans="1:22">
      <c r="A51" t="s">
        <v>2236</v>
      </c>
      <c r="B51" t="s">
        <v>2237</v>
      </c>
      <c r="C51" t="s">
        <v>2238</v>
      </c>
      <c r="D51" t="s">
        <v>2239</v>
      </c>
      <c r="E51" t="s">
        <v>2218</v>
      </c>
      <c r="F51">
        <v>202105</v>
      </c>
      <c r="G51" t="s">
        <v>219</v>
      </c>
      <c r="H51">
        <v>9905.68</v>
      </c>
      <c r="O51" t="s">
        <v>2236</v>
      </c>
      <c r="P51" t="s">
        <v>2237</v>
      </c>
      <c r="Q51" t="s">
        <v>2238</v>
      </c>
      <c r="R51" t="s">
        <v>2239</v>
      </c>
      <c r="S51" t="s">
        <v>2218</v>
      </c>
      <c r="T51">
        <v>202110</v>
      </c>
      <c r="U51" t="s">
        <v>221</v>
      </c>
      <c r="V51">
        <v>3758641.38</v>
      </c>
    </row>
    <row r="52" spans="1:22">
      <c r="A52" t="s">
        <v>2236</v>
      </c>
      <c r="B52" t="s">
        <v>2237</v>
      </c>
      <c r="C52" t="s">
        <v>2238</v>
      </c>
      <c r="D52" t="s">
        <v>2239</v>
      </c>
      <c r="E52" t="s">
        <v>2218</v>
      </c>
      <c r="F52">
        <v>202106</v>
      </c>
      <c r="G52" t="s">
        <v>217</v>
      </c>
      <c r="H52">
        <v>11709.61</v>
      </c>
      <c r="O52" t="s">
        <v>2236</v>
      </c>
      <c r="P52" t="s">
        <v>2237</v>
      </c>
      <c r="Q52" t="s">
        <v>2238</v>
      </c>
      <c r="R52" t="s">
        <v>2239</v>
      </c>
      <c r="S52" t="s">
        <v>2218</v>
      </c>
      <c r="T52">
        <v>202110</v>
      </c>
      <c r="U52" t="s">
        <v>223</v>
      </c>
      <c r="V52">
        <v>349528.96</v>
      </c>
    </row>
    <row r="53" spans="1:22">
      <c r="A53" t="s">
        <v>2236</v>
      </c>
      <c r="B53" t="s">
        <v>2237</v>
      </c>
      <c r="C53" t="s">
        <v>2238</v>
      </c>
      <c r="D53" t="s">
        <v>2239</v>
      </c>
      <c r="E53" t="s">
        <v>2218</v>
      </c>
      <c r="F53">
        <v>202106</v>
      </c>
      <c r="G53" t="s">
        <v>219</v>
      </c>
      <c r="H53">
        <v>9996.81</v>
      </c>
      <c r="O53" t="s">
        <v>2236</v>
      </c>
      <c r="P53" t="s">
        <v>2237</v>
      </c>
      <c r="Q53" t="s">
        <v>2238</v>
      </c>
      <c r="R53" t="s">
        <v>2239</v>
      </c>
      <c r="S53" t="s">
        <v>2218</v>
      </c>
      <c r="T53">
        <v>202110</v>
      </c>
      <c r="U53" t="s">
        <v>225</v>
      </c>
      <c r="V53">
        <v>21227</v>
      </c>
    </row>
    <row r="54" spans="1:22">
      <c r="A54" t="s">
        <v>2236</v>
      </c>
      <c r="B54" t="s">
        <v>2237</v>
      </c>
      <c r="C54" t="s">
        <v>2238</v>
      </c>
      <c r="D54" t="s">
        <v>2239</v>
      </c>
      <c r="E54" t="s">
        <v>2218</v>
      </c>
      <c r="F54">
        <v>202107</v>
      </c>
      <c r="G54" t="s">
        <v>217</v>
      </c>
      <c r="H54">
        <v>11663.69</v>
      </c>
      <c r="O54" t="s">
        <v>2236</v>
      </c>
      <c r="P54" t="s">
        <v>2237</v>
      </c>
      <c r="Q54" t="s">
        <v>2238</v>
      </c>
      <c r="R54" t="s">
        <v>2239</v>
      </c>
      <c r="S54" t="s">
        <v>2218</v>
      </c>
      <c r="T54">
        <v>202111</v>
      </c>
      <c r="U54" t="s">
        <v>230</v>
      </c>
      <c r="V54">
        <v>882721.92</v>
      </c>
    </row>
    <row r="55" spans="1:22">
      <c r="A55" t="s">
        <v>2236</v>
      </c>
      <c r="B55" t="s">
        <v>2237</v>
      </c>
      <c r="C55" t="s">
        <v>2238</v>
      </c>
      <c r="D55" t="s">
        <v>2239</v>
      </c>
      <c r="E55" t="s">
        <v>2218</v>
      </c>
      <c r="F55">
        <v>202107</v>
      </c>
      <c r="G55" t="s">
        <v>219</v>
      </c>
      <c r="H55">
        <v>10038.16</v>
      </c>
      <c r="O55" t="s">
        <v>2236</v>
      </c>
      <c r="P55" t="s">
        <v>2237</v>
      </c>
      <c r="Q55" t="s">
        <v>2238</v>
      </c>
      <c r="R55" t="s">
        <v>2239</v>
      </c>
      <c r="S55" t="s">
        <v>2218</v>
      </c>
      <c r="T55">
        <v>202111</v>
      </c>
      <c r="U55" t="s">
        <v>231</v>
      </c>
      <c r="V55">
        <v>100961.29</v>
      </c>
    </row>
    <row r="56" spans="1:22">
      <c r="A56" t="s">
        <v>2236</v>
      </c>
      <c r="B56" t="s">
        <v>2237</v>
      </c>
      <c r="C56" t="s">
        <v>2238</v>
      </c>
      <c r="D56" t="s">
        <v>2239</v>
      </c>
      <c r="E56" t="s">
        <v>2218</v>
      </c>
      <c r="F56">
        <v>202108</v>
      </c>
      <c r="G56" t="s">
        <v>217</v>
      </c>
      <c r="H56">
        <v>12090.45</v>
      </c>
      <c r="O56" t="s">
        <v>2236</v>
      </c>
      <c r="P56" t="s">
        <v>2237</v>
      </c>
      <c r="Q56" t="s">
        <v>2238</v>
      </c>
      <c r="R56" t="s">
        <v>2239</v>
      </c>
      <c r="S56" t="s">
        <v>2218</v>
      </c>
      <c r="T56">
        <v>202111</v>
      </c>
      <c r="U56" t="s">
        <v>221</v>
      </c>
      <c r="V56">
        <v>3672782.69</v>
      </c>
    </row>
    <row r="57" spans="1:22">
      <c r="A57" t="s">
        <v>2236</v>
      </c>
      <c r="B57" t="s">
        <v>2237</v>
      </c>
      <c r="C57" t="s">
        <v>2238</v>
      </c>
      <c r="D57" t="s">
        <v>2239</v>
      </c>
      <c r="E57" t="s">
        <v>2218</v>
      </c>
      <c r="F57">
        <v>202108</v>
      </c>
      <c r="G57" t="s">
        <v>219</v>
      </c>
      <c r="H57">
        <v>10449.370000000001</v>
      </c>
      <c r="O57" t="s">
        <v>2236</v>
      </c>
      <c r="P57" t="s">
        <v>2237</v>
      </c>
      <c r="Q57" t="s">
        <v>2238</v>
      </c>
      <c r="R57" t="s">
        <v>2239</v>
      </c>
      <c r="S57" t="s">
        <v>2218</v>
      </c>
      <c r="T57">
        <v>202111</v>
      </c>
      <c r="U57" t="s">
        <v>223</v>
      </c>
      <c r="V57">
        <v>369311.52</v>
      </c>
    </row>
    <row r="58" spans="1:22">
      <c r="A58" t="s">
        <v>2236</v>
      </c>
      <c r="B58" t="s">
        <v>2237</v>
      </c>
      <c r="C58" t="s">
        <v>2238</v>
      </c>
      <c r="D58" t="s">
        <v>2239</v>
      </c>
      <c r="E58" t="s">
        <v>2218</v>
      </c>
      <c r="F58">
        <v>202109</v>
      </c>
      <c r="G58" t="s">
        <v>217</v>
      </c>
      <c r="H58">
        <v>11843.24</v>
      </c>
      <c r="O58" t="s">
        <v>2236</v>
      </c>
      <c r="P58" t="s">
        <v>2237</v>
      </c>
      <c r="Q58" t="s">
        <v>2238</v>
      </c>
      <c r="R58" t="s">
        <v>2239</v>
      </c>
      <c r="S58" t="s">
        <v>2218</v>
      </c>
      <c r="T58">
        <v>202111</v>
      </c>
      <c r="U58" t="s">
        <v>225</v>
      </c>
      <c r="V58">
        <v>21192</v>
      </c>
    </row>
    <row r="59" spans="1:22">
      <c r="A59" t="s">
        <v>2236</v>
      </c>
      <c r="B59" t="s">
        <v>2237</v>
      </c>
      <c r="C59" t="s">
        <v>2238</v>
      </c>
      <c r="D59" t="s">
        <v>2239</v>
      </c>
      <c r="E59" t="s">
        <v>2218</v>
      </c>
      <c r="F59">
        <v>202109</v>
      </c>
      <c r="G59" t="s">
        <v>219</v>
      </c>
      <c r="H59">
        <v>10425.9</v>
      </c>
      <c r="O59" t="s">
        <v>2236</v>
      </c>
      <c r="P59" t="s">
        <v>2237</v>
      </c>
      <c r="Q59" t="s">
        <v>2238</v>
      </c>
      <c r="R59" t="s">
        <v>2239</v>
      </c>
      <c r="S59" t="s">
        <v>2218</v>
      </c>
      <c r="T59">
        <v>202112</v>
      </c>
      <c r="U59" t="s">
        <v>230</v>
      </c>
      <c r="V59">
        <v>888472.48</v>
      </c>
    </row>
    <row r="60" spans="1:22">
      <c r="A60" t="s">
        <v>2236</v>
      </c>
      <c r="B60" t="s">
        <v>2237</v>
      </c>
      <c r="C60" t="s">
        <v>2238</v>
      </c>
      <c r="D60" t="s">
        <v>2239</v>
      </c>
      <c r="E60" t="s">
        <v>2218</v>
      </c>
      <c r="F60">
        <v>202110</v>
      </c>
      <c r="G60" t="s">
        <v>217</v>
      </c>
      <c r="H60">
        <v>11579.6</v>
      </c>
      <c r="O60" t="s">
        <v>2236</v>
      </c>
      <c r="P60" t="s">
        <v>2237</v>
      </c>
      <c r="Q60" t="s">
        <v>2238</v>
      </c>
      <c r="R60" t="s">
        <v>2239</v>
      </c>
      <c r="S60" t="s">
        <v>2218</v>
      </c>
      <c r="T60">
        <v>202112</v>
      </c>
      <c r="U60" t="s">
        <v>231</v>
      </c>
      <c r="V60">
        <v>112276.07</v>
      </c>
    </row>
    <row r="61" spans="1:22">
      <c r="A61" t="s">
        <v>2236</v>
      </c>
      <c r="B61" t="s">
        <v>2237</v>
      </c>
      <c r="C61" t="s">
        <v>2238</v>
      </c>
      <c r="D61" t="s">
        <v>2239</v>
      </c>
      <c r="E61" t="s">
        <v>2218</v>
      </c>
      <c r="F61">
        <v>202110</v>
      </c>
      <c r="G61" t="s">
        <v>219</v>
      </c>
      <c r="H61">
        <v>9968.06</v>
      </c>
      <c r="O61" t="s">
        <v>2236</v>
      </c>
      <c r="P61" t="s">
        <v>2237</v>
      </c>
      <c r="Q61" t="s">
        <v>2238</v>
      </c>
      <c r="R61" t="s">
        <v>2239</v>
      </c>
      <c r="S61" t="s">
        <v>2218</v>
      </c>
      <c r="T61">
        <v>202112</v>
      </c>
      <c r="U61" t="s">
        <v>221</v>
      </c>
      <c r="V61">
        <v>4014126.83</v>
      </c>
    </row>
    <row r="62" spans="1:22">
      <c r="A62" t="s">
        <v>2236</v>
      </c>
      <c r="B62" t="s">
        <v>2237</v>
      </c>
      <c r="C62" t="s">
        <v>2238</v>
      </c>
      <c r="D62" t="s">
        <v>2239</v>
      </c>
      <c r="E62" t="s">
        <v>2218</v>
      </c>
      <c r="F62">
        <v>202111</v>
      </c>
      <c r="G62" t="s">
        <v>217</v>
      </c>
      <c r="H62">
        <v>11856.8</v>
      </c>
      <c r="O62" t="s">
        <v>2236</v>
      </c>
      <c r="P62" t="s">
        <v>2237</v>
      </c>
      <c r="Q62" t="s">
        <v>2238</v>
      </c>
      <c r="R62" t="s">
        <v>2239</v>
      </c>
      <c r="S62" t="s">
        <v>2218</v>
      </c>
      <c r="T62">
        <v>202112</v>
      </c>
      <c r="U62" t="s">
        <v>223</v>
      </c>
      <c r="V62">
        <v>444025.72</v>
      </c>
    </row>
    <row r="63" spans="1:22">
      <c r="A63" t="s">
        <v>2236</v>
      </c>
      <c r="B63" t="s">
        <v>2237</v>
      </c>
      <c r="C63" t="s">
        <v>2238</v>
      </c>
      <c r="D63" t="s">
        <v>2239</v>
      </c>
      <c r="E63" t="s">
        <v>2218</v>
      </c>
      <c r="F63">
        <v>202111</v>
      </c>
      <c r="G63" t="s">
        <v>219</v>
      </c>
      <c r="H63">
        <v>10348.200000000001</v>
      </c>
      <c r="O63" t="s">
        <v>2236</v>
      </c>
      <c r="P63" t="s">
        <v>2237</v>
      </c>
      <c r="Q63" t="s">
        <v>2238</v>
      </c>
      <c r="R63" t="s">
        <v>2239</v>
      </c>
      <c r="S63" t="s">
        <v>2218</v>
      </c>
      <c r="T63">
        <v>202112</v>
      </c>
      <c r="U63" t="s">
        <v>225</v>
      </c>
      <c r="V63">
        <v>19324</v>
      </c>
    </row>
    <row r="64" spans="1:22">
      <c r="A64" t="s">
        <v>2236</v>
      </c>
      <c r="B64" t="s">
        <v>2237</v>
      </c>
      <c r="C64" t="s">
        <v>2238</v>
      </c>
      <c r="D64" t="s">
        <v>2239</v>
      </c>
      <c r="E64" t="s">
        <v>2218</v>
      </c>
      <c r="F64">
        <v>202112</v>
      </c>
      <c r="G64" t="s">
        <v>217</v>
      </c>
      <c r="H64">
        <v>11700</v>
      </c>
      <c r="O64" t="s">
        <v>2236</v>
      </c>
      <c r="P64" t="s">
        <v>2237</v>
      </c>
      <c r="Q64" t="s">
        <v>2238</v>
      </c>
      <c r="R64" t="s">
        <v>2239</v>
      </c>
      <c r="S64" t="s">
        <v>2218</v>
      </c>
      <c r="T64">
        <v>202201</v>
      </c>
      <c r="U64" t="s">
        <v>230</v>
      </c>
      <c r="V64">
        <v>873703.09</v>
      </c>
    </row>
    <row r="65" spans="1:22">
      <c r="A65" t="s">
        <v>2236</v>
      </c>
      <c r="B65" t="s">
        <v>2237</v>
      </c>
      <c r="C65" t="s">
        <v>2238</v>
      </c>
      <c r="D65" t="s">
        <v>2239</v>
      </c>
      <c r="E65" t="s">
        <v>2218</v>
      </c>
      <c r="F65">
        <v>202112</v>
      </c>
      <c r="G65" t="s">
        <v>219</v>
      </c>
      <c r="H65">
        <v>10109.93</v>
      </c>
      <c r="O65" t="s">
        <v>2236</v>
      </c>
      <c r="P65" t="s">
        <v>2237</v>
      </c>
      <c r="Q65" t="s">
        <v>2238</v>
      </c>
      <c r="R65" t="s">
        <v>2239</v>
      </c>
      <c r="S65" t="s">
        <v>2218</v>
      </c>
      <c r="T65">
        <v>202201</v>
      </c>
      <c r="U65" t="s">
        <v>231</v>
      </c>
      <c r="V65">
        <v>101410.42</v>
      </c>
    </row>
    <row r="66" spans="1:22">
      <c r="A66" t="s">
        <v>2236</v>
      </c>
      <c r="B66" t="s">
        <v>2237</v>
      </c>
      <c r="C66" t="s">
        <v>2238</v>
      </c>
      <c r="D66" t="s">
        <v>2239</v>
      </c>
      <c r="E66" t="s">
        <v>2218</v>
      </c>
      <c r="F66">
        <v>202201</v>
      </c>
      <c r="G66" t="s">
        <v>217</v>
      </c>
      <c r="H66">
        <v>11824.32</v>
      </c>
      <c r="O66" t="s">
        <v>2236</v>
      </c>
      <c r="P66" t="s">
        <v>2237</v>
      </c>
      <c r="Q66" t="s">
        <v>2238</v>
      </c>
      <c r="R66" t="s">
        <v>2239</v>
      </c>
      <c r="S66" t="s">
        <v>2218</v>
      </c>
      <c r="T66">
        <v>202201</v>
      </c>
      <c r="U66" t="s">
        <v>221</v>
      </c>
      <c r="V66">
        <v>4382571.32</v>
      </c>
    </row>
    <row r="67" spans="1:22">
      <c r="A67" t="s">
        <v>2236</v>
      </c>
      <c r="B67" t="s">
        <v>2237</v>
      </c>
      <c r="C67" t="s">
        <v>2238</v>
      </c>
      <c r="D67" t="s">
        <v>2239</v>
      </c>
      <c r="E67" t="s">
        <v>2218</v>
      </c>
      <c r="F67">
        <v>202201</v>
      </c>
      <c r="G67" t="s">
        <v>219</v>
      </c>
      <c r="H67">
        <v>10180.200000000001</v>
      </c>
      <c r="O67" t="s">
        <v>2236</v>
      </c>
      <c r="P67" t="s">
        <v>2237</v>
      </c>
      <c r="Q67" t="s">
        <v>2238</v>
      </c>
      <c r="R67" t="s">
        <v>2239</v>
      </c>
      <c r="S67" t="s">
        <v>2218</v>
      </c>
      <c r="T67">
        <v>202201</v>
      </c>
      <c r="U67" t="s">
        <v>223</v>
      </c>
      <c r="V67">
        <v>433451.2</v>
      </c>
    </row>
    <row r="68" spans="1:22">
      <c r="A68" t="s">
        <v>2236</v>
      </c>
      <c r="B68" t="s">
        <v>2237</v>
      </c>
      <c r="C68" t="s">
        <v>2238</v>
      </c>
      <c r="D68" t="s">
        <v>2239</v>
      </c>
      <c r="E68" t="s">
        <v>2218</v>
      </c>
      <c r="F68">
        <v>202202</v>
      </c>
      <c r="G68" t="s">
        <v>217</v>
      </c>
      <c r="H68">
        <v>11763.87</v>
      </c>
      <c r="O68" t="s">
        <v>2236</v>
      </c>
      <c r="P68" t="s">
        <v>2237</v>
      </c>
      <c r="Q68" t="s">
        <v>2238</v>
      </c>
      <c r="R68" t="s">
        <v>2239</v>
      </c>
      <c r="S68" t="s">
        <v>2218</v>
      </c>
      <c r="T68">
        <v>202201</v>
      </c>
      <c r="U68" t="s">
        <v>225</v>
      </c>
      <c r="V68">
        <v>16786</v>
      </c>
    </row>
    <row r="69" spans="1:22">
      <c r="A69" t="s">
        <v>2236</v>
      </c>
      <c r="B69" t="s">
        <v>2237</v>
      </c>
      <c r="C69" t="s">
        <v>2238</v>
      </c>
      <c r="D69" t="s">
        <v>2239</v>
      </c>
      <c r="E69" t="s">
        <v>2218</v>
      </c>
      <c r="F69">
        <v>202202</v>
      </c>
      <c r="G69" t="s">
        <v>219</v>
      </c>
      <c r="H69">
        <v>10038.76</v>
      </c>
      <c r="O69" t="s">
        <v>2236</v>
      </c>
      <c r="P69" t="s">
        <v>2237</v>
      </c>
      <c r="Q69" t="s">
        <v>2238</v>
      </c>
      <c r="R69" t="s">
        <v>2239</v>
      </c>
      <c r="S69" t="s">
        <v>2218</v>
      </c>
      <c r="T69">
        <v>202202</v>
      </c>
      <c r="U69" t="s">
        <v>230</v>
      </c>
      <c r="V69">
        <v>802899.77</v>
      </c>
    </row>
    <row r="70" spans="1:22">
      <c r="A70" t="s">
        <v>2236</v>
      </c>
      <c r="B70" t="s">
        <v>2237</v>
      </c>
      <c r="C70" t="s">
        <v>2238</v>
      </c>
      <c r="D70" t="s">
        <v>2239</v>
      </c>
      <c r="E70" t="s">
        <v>2218</v>
      </c>
      <c r="F70">
        <v>202203</v>
      </c>
      <c r="G70" t="s">
        <v>217</v>
      </c>
      <c r="H70">
        <v>11816</v>
      </c>
      <c r="O70" t="s">
        <v>2236</v>
      </c>
      <c r="P70" t="s">
        <v>2237</v>
      </c>
      <c r="Q70" t="s">
        <v>2238</v>
      </c>
      <c r="R70" t="s">
        <v>2239</v>
      </c>
      <c r="S70" t="s">
        <v>2218</v>
      </c>
      <c r="T70">
        <v>202202</v>
      </c>
      <c r="U70" t="s">
        <v>231</v>
      </c>
      <c r="V70">
        <v>97687.76</v>
      </c>
    </row>
    <row r="71" spans="1:22">
      <c r="A71" t="s">
        <v>2236</v>
      </c>
      <c r="B71" t="s">
        <v>2237</v>
      </c>
      <c r="C71" t="s">
        <v>2238</v>
      </c>
      <c r="D71" t="s">
        <v>2239</v>
      </c>
      <c r="E71" t="s">
        <v>2218</v>
      </c>
      <c r="F71">
        <v>202203</v>
      </c>
      <c r="G71" t="s">
        <v>219</v>
      </c>
      <c r="H71">
        <v>10128.5</v>
      </c>
      <c r="O71" t="s">
        <v>2236</v>
      </c>
      <c r="P71" t="s">
        <v>2237</v>
      </c>
      <c r="Q71" t="s">
        <v>2238</v>
      </c>
      <c r="R71" t="s">
        <v>2239</v>
      </c>
      <c r="S71" t="s">
        <v>2218</v>
      </c>
      <c r="T71">
        <v>202202</v>
      </c>
      <c r="U71" t="s">
        <v>221</v>
      </c>
      <c r="V71">
        <v>4052035.31</v>
      </c>
    </row>
    <row r="72" spans="1:22">
      <c r="A72" t="s">
        <v>2236</v>
      </c>
      <c r="B72" t="s">
        <v>2237</v>
      </c>
      <c r="C72" t="s">
        <v>2238</v>
      </c>
      <c r="D72" t="s">
        <v>2239</v>
      </c>
      <c r="E72" t="s">
        <v>2218</v>
      </c>
      <c r="F72">
        <v>202102</v>
      </c>
      <c r="G72" t="s">
        <v>230</v>
      </c>
      <c r="H72">
        <v>938907.66</v>
      </c>
      <c r="O72" t="s">
        <v>2236</v>
      </c>
      <c r="P72" t="s">
        <v>2237</v>
      </c>
      <c r="Q72" t="s">
        <v>2238</v>
      </c>
      <c r="R72" t="s">
        <v>2239</v>
      </c>
      <c r="S72" t="s">
        <v>2218</v>
      </c>
      <c r="T72">
        <v>202202</v>
      </c>
      <c r="U72" t="s">
        <v>223</v>
      </c>
      <c r="V72">
        <v>401857.22</v>
      </c>
    </row>
    <row r="73" spans="1:22">
      <c r="A73" t="s">
        <v>2236</v>
      </c>
      <c r="B73" t="s">
        <v>2237</v>
      </c>
      <c r="C73" t="s">
        <v>2238</v>
      </c>
      <c r="D73" t="s">
        <v>2239</v>
      </c>
      <c r="E73" t="s">
        <v>2218</v>
      </c>
      <c r="F73">
        <v>202102</v>
      </c>
      <c r="G73" t="s">
        <v>231</v>
      </c>
      <c r="H73">
        <v>100819.29</v>
      </c>
      <c r="O73" t="s">
        <v>2236</v>
      </c>
      <c r="P73" t="s">
        <v>2237</v>
      </c>
      <c r="Q73" t="s">
        <v>2238</v>
      </c>
      <c r="R73" t="s">
        <v>2239</v>
      </c>
      <c r="S73" t="s">
        <v>2218</v>
      </c>
      <c r="T73">
        <v>202202</v>
      </c>
      <c r="U73" t="s">
        <v>225</v>
      </c>
      <c r="V73">
        <v>15034</v>
      </c>
    </row>
    <row r="74" spans="1:22">
      <c r="A74" t="s">
        <v>2236</v>
      </c>
      <c r="B74" t="s">
        <v>2237</v>
      </c>
      <c r="C74" t="s">
        <v>2238</v>
      </c>
      <c r="D74" t="s">
        <v>2239</v>
      </c>
      <c r="E74" t="s">
        <v>2218</v>
      </c>
      <c r="F74">
        <v>202102</v>
      </c>
      <c r="G74" t="s">
        <v>221</v>
      </c>
      <c r="H74">
        <v>4098245.11</v>
      </c>
      <c r="O74" t="s">
        <v>2236</v>
      </c>
      <c r="P74" t="s">
        <v>2237</v>
      </c>
      <c r="Q74" t="s">
        <v>2238</v>
      </c>
      <c r="R74" t="s">
        <v>2239</v>
      </c>
      <c r="S74" t="s">
        <v>2218</v>
      </c>
      <c r="T74">
        <v>202203</v>
      </c>
      <c r="U74" t="s">
        <v>230</v>
      </c>
      <c r="V74">
        <v>928514.74</v>
      </c>
    </row>
    <row r="75" spans="1:22">
      <c r="A75" t="s">
        <v>2236</v>
      </c>
      <c r="B75" t="s">
        <v>2237</v>
      </c>
      <c r="C75" t="s">
        <v>2238</v>
      </c>
      <c r="D75" t="s">
        <v>2239</v>
      </c>
      <c r="E75" t="s">
        <v>2218</v>
      </c>
      <c r="F75">
        <v>202102</v>
      </c>
      <c r="G75" t="s">
        <v>223</v>
      </c>
      <c r="H75">
        <v>419239.84</v>
      </c>
      <c r="O75" t="s">
        <v>2236</v>
      </c>
      <c r="P75" t="s">
        <v>2237</v>
      </c>
      <c r="Q75" t="s">
        <v>2238</v>
      </c>
      <c r="R75" t="s">
        <v>2239</v>
      </c>
      <c r="S75" t="s">
        <v>2218</v>
      </c>
      <c r="T75">
        <v>202203</v>
      </c>
      <c r="U75" t="s">
        <v>231</v>
      </c>
      <c r="V75">
        <v>113209.71</v>
      </c>
    </row>
    <row r="76" spans="1:22">
      <c r="A76" t="s">
        <v>2236</v>
      </c>
      <c r="B76" t="s">
        <v>2237</v>
      </c>
      <c r="C76" t="s">
        <v>2238</v>
      </c>
      <c r="D76" t="s">
        <v>2239</v>
      </c>
      <c r="E76" t="s">
        <v>2218</v>
      </c>
      <c r="F76">
        <v>202102</v>
      </c>
      <c r="G76" t="s">
        <v>225</v>
      </c>
      <c r="H76">
        <v>14876</v>
      </c>
      <c r="O76" t="s">
        <v>2236</v>
      </c>
      <c r="P76" t="s">
        <v>2237</v>
      </c>
      <c r="Q76" t="s">
        <v>2238</v>
      </c>
      <c r="R76" t="s">
        <v>2239</v>
      </c>
      <c r="S76" t="s">
        <v>2218</v>
      </c>
      <c r="T76">
        <v>202203</v>
      </c>
      <c r="U76" t="s">
        <v>221</v>
      </c>
      <c r="V76">
        <v>4746052.09</v>
      </c>
    </row>
    <row r="77" spans="1:22">
      <c r="A77" t="s">
        <v>2236</v>
      </c>
      <c r="B77" t="s">
        <v>2237</v>
      </c>
      <c r="C77" t="s">
        <v>2238</v>
      </c>
      <c r="D77" t="s">
        <v>2239</v>
      </c>
      <c r="E77" t="s">
        <v>2218</v>
      </c>
      <c r="F77">
        <v>202103</v>
      </c>
      <c r="G77" t="s">
        <v>230</v>
      </c>
      <c r="H77">
        <v>994826.61</v>
      </c>
      <c r="O77" t="s">
        <v>2236</v>
      </c>
      <c r="P77" t="s">
        <v>2237</v>
      </c>
      <c r="Q77" t="s">
        <v>2238</v>
      </c>
      <c r="R77" t="s">
        <v>2239</v>
      </c>
      <c r="S77" t="s">
        <v>2218</v>
      </c>
      <c r="T77">
        <v>202203</v>
      </c>
      <c r="U77" t="s">
        <v>223</v>
      </c>
      <c r="V77">
        <v>461726.36</v>
      </c>
    </row>
    <row r="78" spans="1:22">
      <c r="A78" t="s">
        <v>2236</v>
      </c>
      <c r="B78" t="s">
        <v>2237</v>
      </c>
      <c r="C78" t="s">
        <v>2238</v>
      </c>
      <c r="D78" t="s">
        <v>2239</v>
      </c>
      <c r="E78" t="s">
        <v>2218</v>
      </c>
      <c r="F78">
        <v>202103</v>
      </c>
      <c r="G78" t="s">
        <v>231</v>
      </c>
      <c r="H78">
        <v>123582.01</v>
      </c>
      <c r="O78" t="s">
        <v>2236</v>
      </c>
      <c r="P78" t="s">
        <v>2237</v>
      </c>
      <c r="Q78" t="s">
        <v>2238</v>
      </c>
      <c r="R78" t="s">
        <v>2239</v>
      </c>
      <c r="S78" t="s">
        <v>2218</v>
      </c>
      <c r="T78">
        <v>202203</v>
      </c>
      <c r="U78" t="s">
        <v>225</v>
      </c>
      <c r="V78">
        <v>16249</v>
      </c>
    </row>
    <row r="79" spans="1:22">
      <c r="A79" t="s">
        <v>2236</v>
      </c>
      <c r="B79" t="s">
        <v>2237</v>
      </c>
      <c r="C79" t="s">
        <v>2238</v>
      </c>
      <c r="D79" t="s">
        <v>2239</v>
      </c>
      <c r="E79" t="s">
        <v>2218</v>
      </c>
      <c r="F79">
        <v>202103</v>
      </c>
      <c r="G79" t="s">
        <v>221</v>
      </c>
      <c r="H79">
        <v>4403053.91</v>
      </c>
    </row>
    <row r="80" spans="1:22">
      <c r="A80" t="s">
        <v>2236</v>
      </c>
      <c r="B80" t="s">
        <v>2237</v>
      </c>
      <c r="C80" t="s">
        <v>2238</v>
      </c>
      <c r="D80" t="s">
        <v>2239</v>
      </c>
      <c r="E80" t="s">
        <v>2218</v>
      </c>
      <c r="F80">
        <v>202103</v>
      </c>
      <c r="G80" t="s">
        <v>223</v>
      </c>
      <c r="H80">
        <v>453346.71</v>
      </c>
      <c r="O80" t="s">
        <v>2236</v>
      </c>
      <c r="P80" t="s">
        <v>2237</v>
      </c>
      <c r="Q80" t="s">
        <v>2238</v>
      </c>
      <c r="R80" t="s">
        <v>2239</v>
      </c>
      <c r="S80" t="s">
        <v>2218</v>
      </c>
      <c r="T80">
        <v>202203</v>
      </c>
      <c r="U80" t="s">
        <v>217</v>
      </c>
      <c r="V80">
        <v>11816</v>
      </c>
    </row>
    <row r="81" spans="1:22">
      <c r="A81" t="s">
        <v>2236</v>
      </c>
      <c r="B81" t="s">
        <v>2237</v>
      </c>
      <c r="C81" t="s">
        <v>2238</v>
      </c>
      <c r="D81" t="s">
        <v>2239</v>
      </c>
      <c r="E81" t="s">
        <v>2218</v>
      </c>
      <c r="F81">
        <v>202103</v>
      </c>
      <c r="G81" t="s">
        <v>225</v>
      </c>
      <c r="H81">
        <v>16151</v>
      </c>
      <c r="O81" t="s">
        <v>2236</v>
      </c>
      <c r="P81" t="s">
        <v>2237</v>
      </c>
      <c r="Q81" t="s">
        <v>2238</v>
      </c>
      <c r="R81" t="s">
        <v>2239</v>
      </c>
      <c r="S81" t="s">
        <v>2218</v>
      </c>
      <c r="T81">
        <v>202203</v>
      </c>
      <c r="U81" t="s">
        <v>219</v>
      </c>
      <c r="V81">
        <v>10128.5</v>
      </c>
    </row>
    <row r="82" spans="1:22">
      <c r="A82" t="s">
        <v>2236</v>
      </c>
      <c r="B82" t="s">
        <v>2237</v>
      </c>
      <c r="C82" t="s">
        <v>2238</v>
      </c>
      <c r="D82" t="s">
        <v>2239</v>
      </c>
      <c r="E82" t="s">
        <v>2218</v>
      </c>
      <c r="F82">
        <v>202104</v>
      </c>
      <c r="G82" t="s">
        <v>230</v>
      </c>
      <c r="H82">
        <v>965765.44</v>
      </c>
      <c r="O82" t="s">
        <v>2236</v>
      </c>
      <c r="P82" t="s">
        <v>2237</v>
      </c>
      <c r="Q82" t="s">
        <v>2238</v>
      </c>
      <c r="R82" t="s">
        <v>2239</v>
      </c>
      <c r="S82" t="s">
        <v>2218</v>
      </c>
      <c r="T82">
        <v>202203</v>
      </c>
      <c r="U82" t="s">
        <v>230</v>
      </c>
      <c r="V82">
        <v>928514.74</v>
      </c>
    </row>
    <row r="83" spans="1:22">
      <c r="A83" t="s">
        <v>2236</v>
      </c>
      <c r="B83" t="s">
        <v>2237</v>
      </c>
      <c r="C83" t="s">
        <v>2238</v>
      </c>
      <c r="D83" t="s">
        <v>2239</v>
      </c>
      <c r="E83" t="s">
        <v>2218</v>
      </c>
      <c r="F83">
        <v>202104</v>
      </c>
      <c r="G83" t="s">
        <v>231</v>
      </c>
      <c r="H83">
        <v>112180.36</v>
      </c>
      <c r="O83" t="s">
        <v>2236</v>
      </c>
      <c r="P83" t="s">
        <v>2237</v>
      </c>
      <c r="Q83" t="s">
        <v>2238</v>
      </c>
      <c r="R83" t="s">
        <v>2239</v>
      </c>
      <c r="S83" t="s">
        <v>2218</v>
      </c>
      <c r="T83">
        <v>202203</v>
      </c>
      <c r="U83" t="s">
        <v>231</v>
      </c>
      <c r="V83">
        <v>113209.71</v>
      </c>
    </row>
    <row r="84" spans="1:22">
      <c r="A84" t="s">
        <v>2236</v>
      </c>
      <c r="B84" t="s">
        <v>2237</v>
      </c>
      <c r="C84" t="s">
        <v>2238</v>
      </c>
      <c r="D84" t="s">
        <v>2239</v>
      </c>
      <c r="E84" t="s">
        <v>2218</v>
      </c>
      <c r="F84">
        <v>202104</v>
      </c>
      <c r="G84" t="s">
        <v>221</v>
      </c>
      <c r="H84">
        <v>3570957.69</v>
      </c>
      <c r="O84" t="s">
        <v>2236</v>
      </c>
      <c r="P84" t="s">
        <v>2237</v>
      </c>
      <c r="Q84" t="s">
        <v>2238</v>
      </c>
      <c r="R84" t="s">
        <v>2239</v>
      </c>
      <c r="S84" t="s">
        <v>2218</v>
      </c>
      <c r="T84">
        <v>202203</v>
      </c>
      <c r="U84" t="s">
        <v>221</v>
      </c>
      <c r="V84">
        <v>4746052.09</v>
      </c>
    </row>
    <row r="85" spans="1:22">
      <c r="A85" t="s">
        <v>2236</v>
      </c>
      <c r="B85" t="s">
        <v>2237</v>
      </c>
      <c r="C85" t="s">
        <v>2238</v>
      </c>
      <c r="D85" t="s">
        <v>2239</v>
      </c>
      <c r="E85" t="s">
        <v>2218</v>
      </c>
      <c r="F85">
        <v>202104</v>
      </c>
      <c r="G85" t="s">
        <v>223</v>
      </c>
      <c r="H85">
        <v>361059.13</v>
      </c>
      <c r="O85" t="s">
        <v>2236</v>
      </c>
      <c r="P85" t="s">
        <v>2237</v>
      </c>
      <c r="Q85" t="s">
        <v>2238</v>
      </c>
      <c r="R85" t="s">
        <v>2239</v>
      </c>
      <c r="S85" t="s">
        <v>2218</v>
      </c>
      <c r="T85">
        <v>202203</v>
      </c>
      <c r="U85" t="s">
        <v>223</v>
      </c>
      <c r="V85">
        <v>461726.36</v>
      </c>
    </row>
    <row r="86" spans="1:22">
      <c r="A86" t="s">
        <v>2236</v>
      </c>
      <c r="B86" t="s">
        <v>2237</v>
      </c>
      <c r="C86" t="s">
        <v>2238</v>
      </c>
      <c r="D86" t="s">
        <v>2239</v>
      </c>
      <c r="E86" t="s">
        <v>2218</v>
      </c>
      <c r="F86">
        <v>202104</v>
      </c>
      <c r="G86" t="s">
        <v>225</v>
      </c>
      <c r="H86">
        <v>17008</v>
      </c>
      <c r="O86" t="s">
        <v>2236</v>
      </c>
      <c r="P86" t="s">
        <v>2237</v>
      </c>
      <c r="Q86" t="s">
        <v>2238</v>
      </c>
      <c r="R86" t="s">
        <v>2239</v>
      </c>
      <c r="S86" t="s">
        <v>2218</v>
      </c>
      <c r="T86">
        <v>202203</v>
      </c>
      <c r="U86" t="s">
        <v>225</v>
      </c>
      <c r="V86">
        <v>16249</v>
      </c>
    </row>
    <row r="87" spans="1:22">
      <c r="A87" t="s">
        <v>2236</v>
      </c>
      <c r="B87" t="s">
        <v>2237</v>
      </c>
      <c r="C87" t="s">
        <v>2238</v>
      </c>
      <c r="D87" t="s">
        <v>2239</v>
      </c>
      <c r="E87" t="s">
        <v>2218</v>
      </c>
      <c r="F87">
        <v>202105</v>
      </c>
      <c r="G87" t="s">
        <v>230</v>
      </c>
      <c r="H87">
        <v>925373.95</v>
      </c>
    </row>
    <row r="88" spans="1:22">
      <c r="A88" t="s">
        <v>2236</v>
      </c>
      <c r="B88" t="s">
        <v>2237</v>
      </c>
      <c r="C88" t="s">
        <v>2238</v>
      </c>
      <c r="D88" t="s">
        <v>2239</v>
      </c>
      <c r="E88" t="s">
        <v>2218</v>
      </c>
      <c r="F88">
        <v>202105</v>
      </c>
      <c r="G88" t="s">
        <v>231</v>
      </c>
      <c r="H88">
        <v>110455.31</v>
      </c>
    </row>
    <row r="89" spans="1:22">
      <c r="A89" t="s">
        <v>2236</v>
      </c>
      <c r="B89" t="s">
        <v>2237</v>
      </c>
      <c r="C89" t="s">
        <v>2238</v>
      </c>
      <c r="D89" t="s">
        <v>2239</v>
      </c>
      <c r="E89" t="s">
        <v>2218</v>
      </c>
      <c r="F89">
        <v>202105</v>
      </c>
      <c r="G89" t="s">
        <v>221</v>
      </c>
      <c r="H89">
        <v>4040862.24</v>
      </c>
    </row>
    <row r="90" spans="1:22">
      <c r="A90" t="s">
        <v>2236</v>
      </c>
      <c r="B90" t="s">
        <v>2237</v>
      </c>
      <c r="C90" t="s">
        <v>2238</v>
      </c>
      <c r="D90" t="s">
        <v>2239</v>
      </c>
      <c r="E90" t="s">
        <v>2218</v>
      </c>
      <c r="F90">
        <v>202105</v>
      </c>
      <c r="G90" t="s">
        <v>223</v>
      </c>
      <c r="H90">
        <v>399225</v>
      </c>
    </row>
    <row r="91" spans="1:22">
      <c r="A91" t="s">
        <v>2236</v>
      </c>
      <c r="B91" t="s">
        <v>2237</v>
      </c>
      <c r="C91" t="s">
        <v>2238</v>
      </c>
      <c r="D91" t="s">
        <v>2239</v>
      </c>
      <c r="E91" t="s">
        <v>2218</v>
      </c>
      <c r="F91">
        <v>202105</v>
      </c>
      <c r="G91" t="s">
        <v>225</v>
      </c>
      <c r="H91">
        <v>19126</v>
      </c>
    </row>
    <row r="92" spans="1:22">
      <c r="A92" t="s">
        <v>2236</v>
      </c>
      <c r="B92" t="s">
        <v>2237</v>
      </c>
      <c r="C92" t="s">
        <v>2238</v>
      </c>
      <c r="D92" t="s">
        <v>2239</v>
      </c>
      <c r="E92" t="s">
        <v>2218</v>
      </c>
      <c r="F92">
        <v>202106</v>
      </c>
      <c r="G92" t="s">
        <v>230</v>
      </c>
      <c r="H92">
        <v>840983.11</v>
      </c>
    </row>
    <row r="93" spans="1:22">
      <c r="A93" t="s">
        <v>2236</v>
      </c>
      <c r="B93" t="s">
        <v>2237</v>
      </c>
      <c r="C93" t="s">
        <v>2238</v>
      </c>
      <c r="D93" t="s">
        <v>2239</v>
      </c>
      <c r="E93" t="s">
        <v>2218</v>
      </c>
      <c r="F93">
        <v>202106</v>
      </c>
      <c r="G93" t="s">
        <v>231</v>
      </c>
      <c r="H93">
        <v>103827.37</v>
      </c>
    </row>
    <row r="94" spans="1:22">
      <c r="A94" t="s">
        <v>2236</v>
      </c>
      <c r="B94" t="s">
        <v>2237</v>
      </c>
      <c r="C94" t="s">
        <v>2238</v>
      </c>
      <c r="D94" t="s">
        <v>2239</v>
      </c>
      <c r="E94" t="s">
        <v>2218</v>
      </c>
      <c r="F94">
        <v>202106</v>
      </c>
      <c r="G94" t="s">
        <v>221</v>
      </c>
      <c r="H94">
        <v>3781702.48</v>
      </c>
    </row>
    <row r="95" spans="1:22">
      <c r="A95" t="s">
        <v>2236</v>
      </c>
      <c r="B95" t="s">
        <v>2237</v>
      </c>
      <c r="C95" t="s">
        <v>2238</v>
      </c>
      <c r="D95" t="s">
        <v>2239</v>
      </c>
      <c r="E95" t="s">
        <v>2218</v>
      </c>
      <c r="F95">
        <v>202106</v>
      </c>
      <c r="G95" t="s">
        <v>223</v>
      </c>
      <c r="H95">
        <v>378054.99</v>
      </c>
    </row>
    <row r="96" spans="1:22">
      <c r="A96" t="s">
        <v>2236</v>
      </c>
      <c r="B96" t="s">
        <v>2237</v>
      </c>
      <c r="C96" t="s">
        <v>2238</v>
      </c>
      <c r="D96" t="s">
        <v>2239</v>
      </c>
      <c r="E96" t="s">
        <v>2218</v>
      </c>
      <c r="F96">
        <v>202106</v>
      </c>
      <c r="G96" t="s">
        <v>225</v>
      </c>
      <c r="H96">
        <v>18635</v>
      </c>
    </row>
    <row r="97" spans="1:8">
      <c r="A97" t="s">
        <v>2236</v>
      </c>
      <c r="B97" t="s">
        <v>2237</v>
      </c>
      <c r="C97" t="s">
        <v>2238</v>
      </c>
      <c r="D97" t="s">
        <v>2239</v>
      </c>
      <c r="E97" t="s">
        <v>2218</v>
      </c>
      <c r="F97">
        <v>202107</v>
      </c>
      <c r="G97" t="s">
        <v>230</v>
      </c>
      <c r="H97">
        <v>870200.66</v>
      </c>
    </row>
    <row r="98" spans="1:8">
      <c r="A98" t="s">
        <v>2236</v>
      </c>
      <c r="B98" t="s">
        <v>2237</v>
      </c>
      <c r="C98" t="s">
        <v>2238</v>
      </c>
      <c r="D98" t="s">
        <v>2239</v>
      </c>
      <c r="E98" t="s">
        <v>2218</v>
      </c>
      <c r="F98">
        <v>202107</v>
      </c>
      <c r="G98" t="s">
        <v>231</v>
      </c>
      <c r="H98">
        <v>112492.76</v>
      </c>
    </row>
    <row r="99" spans="1:8">
      <c r="A99" t="s">
        <v>2236</v>
      </c>
      <c r="B99" t="s">
        <v>2237</v>
      </c>
      <c r="C99" t="s">
        <v>2238</v>
      </c>
      <c r="D99" t="s">
        <v>2239</v>
      </c>
      <c r="E99" t="s">
        <v>2218</v>
      </c>
      <c r="F99">
        <v>202107</v>
      </c>
      <c r="G99" t="s">
        <v>221</v>
      </c>
      <c r="H99">
        <v>3773857.12</v>
      </c>
    </row>
    <row r="100" spans="1:8">
      <c r="A100" t="s">
        <v>2236</v>
      </c>
      <c r="B100" t="s">
        <v>2237</v>
      </c>
      <c r="C100" t="s">
        <v>2238</v>
      </c>
      <c r="D100" t="s">
        <v>2239</v>
      </c>
      <c r="E100" t="s">
        <v>2218</v>
      </c>
      <c r="F100">
        <v>202107</v>
      </c>
      <c r="G100" t="s">
        <v>223</v>
      </c>
      <c r="H100">
        <v>408292.3</v>
      </c>
    </row>
    <row r="101" spans="1:8">
      <c r="A101" t="s">
        <v>2236</v>
      </c>
      <c r="B101" t="s">
        <v>2237</v>
      </c>
      <c r="C101" t="s">
        <v>2238</v>
      </c>
      <c r="D101" t="s">
        <v>2239</v>
      </c>
      <c r="E101" t="s">
        <v>2218</v>
      </c>
      <c r="F101">
        <v>202107</v>
      </c>
      <c r="G101" t="s">
        <v>225</v>
      </c>
      <c r="H101">
        <v>19160</v>
      </c>
    </row>
    <row r="102" spans="1:8">
      <c r="A102" t="s">
        <v>2236</v>
      </c>
      <c r="B102" t="s">
        <v>2237</v>
      </c>
      <c r="C102" t="s">
        <v>2238</v>
      </c>
      <c r="D102" t="s">
        <v>2239</v>
      </c>
      <c r="E102" t="s">
        <v>2218</v>
      </c>
      <c r="F102">
        <v>202108</v>
      </c>
      <c r="G102" t="s">
        <v>230</v>
      </c>
      <c r="H102">
        <v>234911.53</v>
      </c>
    </row>
    <row r="103" spans="1:8">
      <c r="A103" t="s">
        <v>2236</v>
      </c>
      <c r="B103" t="s">
        <v>2237</v>
      </c>
      <c r="C103" t="s">
        <v>2238</v>
      </c>
      <c r="D103" t="s">
        <v>2239</v>
      </c>
      <c r="E103" t="s">
        <v>2218</v>
      </c>
      <c r="F103">
        <v>202108</v>
      </c>
      <c r="G103" t="s">
        <v>231</v>
      </c>
      <c r="H103">
        <v>62493.52</v>
      </c>
    </row>
    <row r="104" spans="1:8">
      <c r="A104" t="s">
        <v>2236</v>
      </c>
      <c r="B104" t="s">
        <v>2237</v>
      </c>
      <c r="C104" t="s">
        <v>2238</v>
      </c>
      <c r="D104" t="s">
        <v>2239</v>
      </c>
      <c r="E104" t="s">
        <v>2218</v>
      </c>
      <c r="F104">
        <v>202108</v>
      </c>
      <c r="G104" t="s">
        <v>221</v>
      </c>
      <c r="H104">
        <v>4048056.88</v>
      </c>
    </row>
    <row r="105" spans="1:8">
      <c r="A105" t="s">
        <v>2236</v>
      </c>
      <c r="B105" t="s">
        <v>2237</v>
      </c>
      <c r="C105" t="s">
        <v>2238</v>
      </c>
      <c r="D105" t="s">
        <v>2239</v>
      </c>
      <c r="E105" t="s">
        <v>2218</v>
      </c>
      <c r="F105">
        <v>202108</v>
      </c>
      <c r="G105" t="s">
        <v>223</v>
      </c>
      <c r="H105">
        <v>444437.16</v>
      </c>
    </row>
    <row r="106" spans="1:8">
      <c r="A106" t="s">
        <v>2236</v>
      </c>
      <c r="B106" t="s">
        <v>2237</v>
      </c>
      <c r="C106" t="s">
        <v>2238</v>
      </c>
      <c r="D106" t="s">
        <v>2239</v>
      </c>
      <c r="E106" t="s">
        <v>2218</v>
      </c>
      <c r="F106">
        <v>202108</v>
      </c>
      <c r="G106" t="s">
        <v>225</v>
      </c>
      <c r="H106">
        <v>19940</v>
      </c>
    </row>
    <row r="107" spans="1:8">
      <c r="A107" t="s">
        <v>2236</v>
      </c>
      <c r="B107" t="s">
        <v>2237</v>
      </c>
      <c r="C107" t="s">
        <v>2238</v>
      </c>
      <c r="D107" t="s">
        <v>2239</v>
      </c>
      <c r="E107" t="s">
        <v>2218</v>
      </c>
      <c r="F107">
        <v>202109</v>
      </c>
      <c r="G107" t="s">
        <v>230</v>
      </c>
      <c r="H107">
        <v>931104.89</v>
      </c>
    </row>
    <row r="108" spans="1:8">
      <c r="A108" t="s">
        <v>2236</v>
      </c>
      <c r="B108" t="s">
        <v>2237</v>
      </c>
      <c r="C108" t="s">
        <v>2238</v>
      </c>
      <c r="D108" t="s">
        <v>2239</v>
      </c>
      <c r="E108" t="s">
        <v>2218</v>
      </c>
      <c r="F108">
        <v>202109</v>
      </c>
      <c r="G108" t="s">
        <v>231</v>
      </c>
      <c r="H108">
        <v>112670.71</v>
      </c>
    </row>
    <row r="109" spans="1:8">
      <c r="A109" t="s">
        <v>2236</v>
      </c>
      <c r="B109" t="s">
        <v>2237</v>
      </c>
      <c r="C109" t="s">
        <v>2238</v>
      </c>
      <c r="D109" t="s">
        <v>2239</v>
      </c>
      <c r="E109" t="s">
        <v>2218</v>
      </c>
      <c r="F109">
        <v>202109</v>
      </c>
      <c r="G109" t="s">
        <v>221</v>
      </c>
      <c r="H109">
        <v>3671315.56</v>
      </c>
    </row>
    <row r="110" spans="1:8">
      <c r="A110" t="s">
        <v>2236</v>
      </c>
      <c r="B110" t="s">
        <v>2237</v>
      </c>
      <c r="C110" t="s">
        <v>2238</v>
      </c>
      <c r="D110" t="s">
        <v>2239</v>
      </c>
      <c r="E110" t="s">
        <v>2218</v>
      </c>
      <c r="F110">
        <v>202109</v>
      </c>
      <c r="G110" t="s">
        <v>223</v>
      </c>
      <c r="H110">
        <v>389290.89</v>
      </c>
    </row>
    <row r="111" spans="1:8">
      <c r="A111" t="s">
        <v>2236</v>
      </c>
      <c r="B111" t="s">
        <v>2237</v>
      </c>
      <c r="C111" t="s">
        <v>2238</v>
      </c>
      <c r="D111" t="s">
        <v>2239</v>
      </c>
      <c r="E111" t="s">
        <v>2218</v>
      </c>
      <c r="F111">
        <v>202109</v>
      </c>
      <c r="G111" t="s">
        <v>225</v>
      </c>
      <c r="H111">
        <v>19936</v>
      </c>
    </row>
    <row r="112" spans="1:8">
      <c r="A112" t="s">
        <v>2236</v>
      </c>
      <c r="B112" t="s">
        <v>2237</v>
      </c>
      <c r="C112" t="s">
        <v>2238</v>
      </c>
      <c r="D112" t="s">
        <v>2239</v>
      </c>
      <c r="E112" t="s">
        <v>2218</v>
      </c>
      <c r="F112">
        <v>202110</v>
      </c>
      <c r="G112" t="s">
        <v>230</v>
      </c>
      <c r="H112">
        <v>830995.41</v>
      </c>
    </row>
    <row r="113" spans="1:8">
      <c r="A113" t="s">
        <v>2236</v>
      </c>
      <c r="B113" t="s">
        <v>2237</v>
      </c>
      <c r="C113" t="s">
        <v>2238</v>
      </c>
      <c r="D113" t="s">
        <v>2239</v>
      </c>
      <c r="E113" t="s">
        <v>2218</v>
      </c>
      <c r="F113">
        <v>202110</v>
      </c>
      <c r="G113" t="s">
        <v>231</v>
      </c>
      <c r="H113">
        <v>96191.94</v>
      </c>
    </row>
    <row r="114" spans="1:8">
      <c r="A114" t="s">
        <v>2236</v>
      </c>
      <c r="B114" t="s">
        <v>2237</v>
      </c>
      <c r="C114" t="s">
        <v>2238</v>
      </c>
      <c r="D114" t="s">
        <v>2239</v>
      </c>
      <c r="E114" t="s">
        <v>2218</v>
      </c>
      <c r="F114">
        <v>202110</v>
      </c>
      <c r="G114" t="s">
        <v>221</v>
      </c>
      <c r="H114">
        <v>3758641.38</v>
      </c>
    </row>
    <row r="115" spans="1:8">
      <c r="A115" t="s">
        <v>2236</v>
      </c>
      <c r="B115" t="s">
        <v>2237</v>
      </c>
      <c r="C115" t="s">
        <v>2238</v>
      </c>
      <c r="D115" t="s">
        <v>2239</v>
      </c>
      <c r="E115" t="s">
        <v>2218</v>
      </c>
      <c r="F115">
        <v>202110</v>
      </c>
      <c r="G115" t="s">
        <v>223</v>
      </c>
      <c r="H115">
        <v>349528.96</v>
      </c>
    </row>
    <row r="116" spans="1:8">
      <c r="A116" t="s">
        <v>2236</v>
      </c>
      <c r="B116" t="s">
        <v>2237</v>
      </c>
      <c r="C116" t="s">
        <v>2238</v>
      </c>
      <c r="D116" t="s">
        <v>2239</v>
      </c>
      <c r="E116" t="s">
        <v>2218</v>
      </c>
      <c r="F116">
        <v>202110</v>
      </c>
      <c r="G116" t="s">
        <v>225</v>
      </c>
      <c r="H116">
        <v>21227</v>
      </c>
    </row>
    <row r="117" spans="1:8">
      <c r="A117" t="s">
        <v>2236</v>
      </c>
      <c r="B117" t="s">
        <v>2237</v>
      </c>
      <c r="C117" t="s">
        <v>2238</v>
      </c>
      <c r="D117" t="s">
        <v>2239</v>
      </c>
      <c r="E117" t="s">
        <v>2218</v>
      </c>
      <c r="F117">
        <v>202111</v>
      </c>
      <c r="G117" t="s">
        <v>230</v>
      </c>
      <c r="H117">
        <v>882721.92</v>
      </c>
    </row>
    <row r="118" spans="1:8">
      <c r="A118" t="s">
        <v>2236</v>
      </c>
      <c r="B118" t="s">
        <v>2237</v>
      </c>
      <c r="C118" t="s">
        <v>2238</v>
      </c>
      <c r="D118" t="s">
        <v>2239</v>
      </c>
      <c r="E118" t="s">
        <v>2218</v>
      </c>
      <c r="F118">
        <v>202111</v>
      </c>
      <c r="G118" t="s">
        <v>231</v>
      </c>
      <c r="H118">
        <v>100961.29</v>
      </c>
    </row>
    <row r="119" spans="1:8">
      <c r="A119" t="s">
        <v>2236</v>
      </c>
      <c r="B119" t="s">
        <v>2237</v>
      </c>
      <c r="C119" t="s">
        <v>2238</v>
      </c>
      <c r="D119" t="s">
        <v>2239</v>
      </c>
      <c r="E119" t="s">
        <v>2218</v>
      </c>
      <c r="F119">
        <v>202111</v>
      </c>
      <c r="G119" t="s">
        <v>221</v>
      </c>
      <c r="H119">
        <v>3672782.69</v>
      </c>
    </row>
    <row r="120" spans="1:8">
      <c r="A120" t="s">
        <v>2236</v>
      </c>
      <c r="B120" t="s">
        <v>2237</v>
      </c>
      <c r="C120" t="s">
        <v>2238</v>
      </c>
      <c r="D120" t="s">
        <v>2239</v>
      </c>
      <c r="E120" t="s">
        <v>2218</v>
      </c>
      <c r="F120">
        <v>202111</v>
      </c>
      <c r="G120" t="s">
        <v>223</v>
      </c>
      <c r="H120">
        <v>369311.52</v>
      </c>
    </row>
    <row r="121" spans="1:8">
      <c r="A121" t="s">
        <v>2236</v>
      </c>
      <c r="B121" t="s">
        <v>2237</v>
      </c>
      <c r="C121" t="s">
        <v>2238</v>
      </c>
      <c r="D121" t="s">
        <v>2239</v>
      </c>
      <c r="E121" t="s">
        <v>2218</v>
      </c>
      <c r="F121">
        <v>202111</v>
      </c>
      <c r="G121" t="s">
        <v>225</v>
      </c>
      <c r="H121">
        <v>21192</v>
      </c>
    </row>
    <row r="122" spans="1:8">
      <c r="A122" t="s">
        <v>2236</v>
      </c>
      <c r="B122" t="s">
        <v>2237</v>
      </c>
      <c r="C122" t="s">
        <v>2238</v>
      </c>
      <c r="D122" t="s">
        <v>2239</v>
      </c>
      <c r="E122" t="s">
        <v>2218</v>
      </c>
      <c r="F122">
        <v>202112</v>
      </c>
      <c r="G122" t="s">
        <v>230</v>
      </c>
      <c r="H122">
        <v>888472.48</v>
      </c>
    </row>
    <row r="123" spans="1:8">
      <c r="A123" t="s">
        <v>2236</v>
      </c>
      <c r="B123" t="s">
        <v>2237</v>
      </c>
      <c r="C123" t="s">
        <v>2238</v>
      </c>
      <c r="D123" t="s">
        <v>2239</v>
      </c>
      <c r="E123" t="s">
        <v>2218</v>
      </c>
      <c r="F123">
        <v>202112</v>
      </c>
      <c r="G123" t="s">
        <v>231</v>
      </c>
      <c r="H123">
        <v>112276.07</v>
      </c>
    </row>
    <row r="124" spans="1:8">
      <c r="A124" t="s">
        <v>2236</v>
      </c>
      <c r="B124" t="s">
        <v>2237</v>
      </c>
      <c r="C124" t="s">
        <v>2238</v>
      </c>
      <c r="D124" t="s">
        <v>2239</v>
      </c>
      <c r="E124" t="s">
        <v>2218</v>
      </c>
      <c r="F124">
        <v>202112</v>
      </c>
      <c r="G124" t="s">
        <v>221</v>
      </c>
      <c r="H124">
        <v>4014126.83</v>
      </c>
    </row>
    <row r="125" spans="1:8">
      <c r="A125" t="s">
        <v>2236</v>
      </c>
      <c r="B125" t="s">
        <v>2237</v>
      </c>
      <c r="C125" t="s">
        <v>2238</v>
      </c>
      <c r="D125" t="s">
        <v>2239</v>
      </c>
      <c r="E125" t="s">
        <v>2218</v>
      </c>
      <c r="F125">
        <v>202112</v>
      </c>
      <c r="G125" t="s">
        <v>223</v>
      </c>
      <c r="H125">
        <v>444025.72</v>
      </c>
    </row>
    <row r="126" spans="1:8">
      <c r="A126" t="s">
        <v>2236</v>
      </c>
      <c r="B126" t="s">
        <v>2237</v>
      </c>
      <c r="C126" t="s">
        <v>2238</v>
      </c>
      <c r="D126" t="s">
        <v>2239</v>
      </c>
      <c r="E126" t="s">
        <v>2218</v>
      </c>
      <c r="F126">
        <v>202112</v>
      </c>
      <c r="G126" t="s">
        <v>225</v>
      </c>
      <c r="H126">
        <v>19324</v>
      </c>
    </row>
    <row r="127" spans="1:8">
      <c r="A127" t="s">
        <v>2236</v>
      </c>
      <c r="B127" t="s">
        <v>2237</v>
      </c>
      <c r="C127" t="s">
        <v>2238</v>
      </c>
      <c r="D127" t="s">
        <v>2239</v>
      </c>
      <c r="E127" t="s">
        <v>2218</v>
      </c>
      <c r="F127">
        <v>202201</v>
      </c>
      <c r="G127" t="s">
        <v>230</v>
      </c>
      <c r="H127">
        <v>873703.09</v>
      </c>
    </row>
    <row r="128" spans="1:8">
      <c r="A128" t="s">
        <v>2236</v>
      </c>
      <c r="B128" t="s">
        <v>2237</v>
      </c>
      <c r="C128" t="s">
        <v>2238</v>
      </c>
      <c r="D128" t="s">
        <v>2239</v>
      </c>
      <c r="E128" t="s">
        <v>2218</v>
      </c>
      <c r="F128">
        <v>202201</v>
      </c>
      <c r="G128" t="s">
        <v>231</v>
      </c>
      <c r="H128">
        <v>101410.42</v>
      </c>
    </row>
    <row r="129" spans="1:8">
      <c r="A129" t="s">
        <v>2236</v>
      </c>
      <c r="B129" t="s">
        <v>2237</v>
      </c>
      <c r="C129" t="s">
        <v>2238</v>
      </c>
      <c r="D129" t="s">
        <v>2239</v>
      </c>
      <c r="E129" t="s">
        <v>2218</v>
      </c>
      <c r="F129">
        <v>202201</v>
      </c>
      <c r="G129" t="s">
        <v>221</v>
      </c>
      <c r="H129">
        <v>4382571.32</v>
      </c>
    </row>
    <row r="130" spans="1:8">
      <c r="A130" t="s">
        <v>2236</v>
      </c>
      <c r="B130" t="s">
        <v>2237</v>
      </c>
      <c r="C130" t="s">
        <v>2238</v>
      </c>
      <c r="D130" t="s">
        <v>2239</v>
      </c>
      <c r="E130" t="s">
        <v>2218</v>
      </c>
      <c r="F130">
        <v>202201</v>
      </c>
      <c r="G130" t="s">
        <v>223</v>
      </c>
      <c r="H130">
        <v>433451.2</v>
      </c>
    </row>
    <row r="131" spans="1:8">
      <c r="A131" t="s">
        <v>2236</v>
      </c>
      <c r="B131" t="s">
        <v>2237</v>
      </c>
      <c r="C131" t="s">
        <v>2238</v>
      </c>
      <c r="D131" t="s">
        <v>2239</v>
      </c>
      <c r="E131" t="s">
        <v>2218</v>
      </c>
      <c r="F131">
        <v>202201</v>
      </c>
      <c r="G131" t="s">
        <v>225</v>
      </c>
      <c r="H131">
        <v>16786</v>
      </c>
    </row>
    <row r="132" spans="1:8">
      <c r="A132" t="s">
        <v>2236</v>
      </c>
      <c r="B132" t="s">
        <v>2237</v>
      </c>
      <c r="C132" t="s">
        <v>2238</v>
      </c>
      <c r="D132" t="s">
        <v>2239</v>
      </c>
      <c r="E132" t="s">
        <v>2218</v>
      </c>
      <c r="F132">
        <v>202202</v>
      </c>
      <c r="G132" t="s">
        <v>230</v>
      </c>
      <c r="H132">
        <v>802899.77</v>
      </c>
    </row>
    <row r="133" spans="1:8">
      <c r="A133" t="s">
        <v>2236</v>
      </c>
      <c r="B133" t="s">
        <v>2237</v>
      </c>
      <c r="C133" t="s">
        <v>2238</v>
      </c>
      <c r="D133" t="s">
        <v>2239</v>
      </c>
      <c r="E133" t="s">
        <v>2218</v>
      </c>
      <c r="F133">
        <v>202202</v>
      </c>
      <c r="G133" t="s">
        <v>231</v>
      </c>
      <c r="H133">
        <v>97687.76</v>
      </c>
    </row>
    <row r="134" spans="1:8">
      <c r="A134" t="s">
        <v>2236</v>
      </c>
      <c r="B134" t="s">
        <v>2237</v>
      </c>
      <c r="C134" t="s">
        <v>2238</v>
      </c>
      <c r="D134" t="s">
        <v>2239</v>
      </c>
      <c r="E134" t="s">
        <v>2218</v>
      </c>
      <c r="F134">
        <v>202202</v>
      </c>
      <c r="G134" t="s">
        <v>221</v>
      </c>
      <c r="H134">
        <v>4052035.31</v>
      </c>
    </row>
    <row r="135" spans="1:8">
      <c r="A135" t="s">
        <v>2236</v>
      </c>
      <c r="B135" t="s">
        <v>2237</v>
      </c>
      <c r="C135" t="s">
        <v>2238</v>
      </c>
      <c r="D135" t="s">
        <v>2239</v>
      </c>
      <c r="E135" t="s">
        <v>2218</v>
      </c>
      <c r="F135">
        <v>202202</v>
      </c>
      <c r="G135" t="s">
        <v>223</v>
      </c>
      <c r="H135">
        <v>401857.22</v>
      </c>
    </row>
    <row r="136" spans="1:8">
      <c r="A136" t="s">
        <v>2236</v>
      </c>
      <c r="B136" t="s">
        <v>2237</v>
      </c>
      <c r="C136" t="s">
        <v>2238</v>
      </c>
      <c r="D136" t="s">
        <v>2239</v>
      </c>
      <c r="E136" t="s">
        <v>2218</v>
      </c>
      <c r="F136">
        <v>202202</v>
      </c>
      <c r="G136" t="s">
        <v>225</v>
      </c>
      <c r="H136">
        <v>15034</v>
      </c>
    </row>
    <row r="137" spans="1:8">
      <c r="A137" t="s">
        <v>2236</v>
      </c>
      <c r="B137" t="s">
        <v>2237</v>
      </c>
      <c r="C137" t="s">
        <v>2238</v>
      </c>
      <c r="D137" t="s">
        <v>2239</v>
      </c>
      <c r="E137" t="s">
        <v>2218</v>
      </c>
      <c r="F137">
        <v>202203</v>
      </c>
      <c r="G137" t="s">
        <v>230</v>
      </c>
      <c r="H137">
        <v>928514.74</v>
      </c>
    </row>
    <row r="138" spans="1:8">
      <c r="A138" t="s">
        <v>2236</v>
      </c>
      <c r="B138" t="s">
        <v>2237</v>
      </c>
      <c r="C138" t="s">
        <v>2238</v>
      </c>
      <c r="D138" t="s">
        <v>2239</v>
      </c>
      <c r="E138" t="s">
        <v>2218</v>
      </c>
      <c r="F138">
        <v>202203</v>
      </c>
      <c r="G138" t="s">
        <v>231</v>
      </c>
      <c r="H138">
        <v>113209.71</v>
      </c>
    </row>
    <row r="139" spans="1:8">
      <c r="A139" t="s">
        <v>2236</v>
      </c>
      <c r="B139" t="s">
        <v>2237</v>
      </c>
      <c r="C139" t="s">
        <v>2238</v>
      </c>
      <c r="D139" t="s">
        <v>2239</v>
      </c>
      <c r="E139" t="s">
        <v>2218</v>
      </c>
      <c r="F139">
        <v>202203</v>
      </c>
      <c r="G139" t="s">
        <v>221</v>
      </c>
      <c r="H139">
        <v>4746052.09</v>
      </c>
    </row>
    <row r="140" spans="1:8">
      <c r="A140" t="s">
        <v>2236</v>
      </c>
      <c r="B140" t="s">
        <v>2237</v>
      </c>
      <c r="C140" t="s">
        <v>2238</v>
      </c>
      <c r="D140" t="s">
        <v>2239</v>
      </c>
      <c r="E140" t="s">
        <v>2218</v>
      </c>
      <c r="F140">
        <v>202203</v>
      </c>
      <c r="G140" t="s">
        <v>223</v>
      </c>
      <c r="H140">
        <v>461726.36</v>
      </c>
    </row>
    <row r="141" spans="1:8">
      <c r="A141" t="s">
        <v>2236</v>
      </c>
      <c r="B141" t="s">
        <v>2237</v>
      </c>
      <c r="C141" t="s">
        <v>2238</v>
      </c>
      <c r="D141" t="s">
        <v>2239</v>
      </c>
      <c r="E141" t="s">
        <v>2218</v>
      </c>
      <c r="F141">
        <v>202203</v>
      </c>
      <c r="G141" t="s">
        <v>225</v>
      </c>
      <c r="H141">
        <v>16249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10" zoomScale="115" zoomScaleNormal="115" workbookViewId="0">
      <pane xSplit="1" topLeftCell="C1" activePane="topRight" state="frozen"/>
      <selection activeCell="A7" sqref="A7"/>
      <selection pane="topRight" activeCell="D14" sqref="D14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2197</v>
      </c>
    </row>
    <row r="3" spans="1:50">
      <c r="A3" s="63" t="s">
        <v>235</v>
      </c>
      <c r="AI3" t="s">
        <v>2198</v>
      </c>
    </row>
    <row r="4" spans="1:50">
      <c r="A4" s="63" t="s">
        <v>236</v>
      </c>
    </row>
    <row r="7" spans="1:50">
      <c r="A7" s="657" t="s">
        <v>237</v>
      </c>
      <c r="M7" t="s">
        <v>2189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6" t="s">
        <v>238</v>
      </c>
      <c r="B9" s="516" t="s">
        <v>239</v>
      </c>
      <c r="C9" s="516" t="s">
        <v>240</v>
      </c>
      <c r="D9" s="516" t="s">
        <v>241</v>
      </c>
      <c r="E9" s="516" t="s">
        <v>242</v>
      </c>
      <c r="F9" s="516" t="s">
        <v>243</v>
      </c>
      <c r="G9" s="516" t="s">
        <v>244</v>
      </c>
      <c r="H9" s="516" t="s">
        <v>245</v>
      </c>
      <c r="I9" s="516" t="s">
        <v>246</v>
      </c>
      <c r="J9" s="516" t="s">
        <v>247</v>
      </c>
      <c r="K9" s="516" t="s">
        <v>248</v>
      </c>
      <c r="L9" s="516" t="s">
        <v>249</v>
      </c>
      <c r="M9" s="516" t="s">
        <v>250</v>
      </c>
      <c r="N9" s="516" t="s">
        <v>251</v>
      </c>
      <c r="O9" s="516" t="s">
        <v>252</v>
      </c>
      <c r="P9" s="516" t="s">
        <v>253</v>
      </c>
      <c r="Q9" s="516" t="s">
        <v>254</v>
      </c>
      <c r="R9" s="516" t="s">
        <v>255</v>
      </c>
      <c r="S9" s="516" t="s">
        <v>256</v>
      </c>
      <c r="T9" s="516" t="s">
        <v>257</v>
      </c>
      <c r="U9" s="517" t="s">
        <v>258</v>
      </c>
      <c r="V9" s="516" t="s">
        <v>259</v>
      </c>
      <c r="W9" s="516" t="s">
        <v>260</v>
      </c>
      <c r="X9" s="517" t="s">
        <v>261</v>
      </c>
      <c r="Y9" s="517" t="s">
        <v>262</v>
      </c>
      <c r="Z9" s="517" t="s">
        <v>263</v>
      </c>
      <c r="AA9" s="517" t="s">
        <v>264</v>
      </c>
      <c r="AB9" s="517" t="s">
        <v>265</v>
      </c>
      <c r="AC9" s="517" t="s">
        <v>266</v>
      </c>
      <c r="AD9" s="517" t="s">
        <v>267</v>
      </c>
      <c r="AE9" s="517" t="s">
        <v>268</v>
      </c>
      <c r="AF9" s="517" t="s">
        <v>269</v>
      </c>
      <c r="AG9" s="517" t="s">
        <v>270</v>
      </c>
      <c r="AH9" s="517" t="s">
        <v>271</v>
      </c>
      <c r="AI9" s="517" t="s">
        <v>272</v>
      </c>
      <c r="AJ9" s="517" t="s">
        <v>273</v>
      </c>
      <c r="AK9" s="517" t="s">
        <v>274</v>
      </c>
      <c r="AL9" s="517" t="s">
        <v>275</v>
      </c>
      <c r="AM9" s="517" t="s">
        <v>276</v>
      </c>
      <c r="AN9" s="517" t="s">
        <v>277</v>
      </c>
      <c r="AR9" s="814" t="s">
        <v>238</v>
      </c>
      <c r="AS9" s="815" t="s">
        <v>278</v>
      </c>
    </row>
    <row r="10" spans="1:50" s="9" customFormat="1" ht="31.5">
      <c r="A10" s="632" t="s">
        <v>279</v>
      </c>
      <c r="B10" s="632" t="s">
        <v>280</v>
      </c>
      <c r="C10" s="632">
        <v>5381</v>
      </c>
      <c r="D10" s="632" t="s">
        <v>281</v>
      </c>
      <c r="E10" s="632" t="s">
        <v>282</v>
      </c>
      <c r="F10" s="632" t="s">
        <v>283</v>
      </c>
      <c r="G10" s="632" t="s">
        <v>284</v>
      </c>
      <c r="H10" s="632">
        <v>3.7699999999999997E-2</v>
      </c>
      <c r="I10" s="632" t="s">
        <v>285</v>
      </c>
      <c r="J10" s="632">
        <v>104</v>
      </c>
      <c r="K10" s="632" t="s">
        <v>164</v>
      </c>
      <c r="L10" s="632">
        <v>145</v>
      </c>
      <c r="M10" s="817">
        <v>0</v>
      </c>
      <c r="N10" s="1631"/>
      <c r="O10" s="1631" t="s">
        <v>2190</v>
      </c>
      <c r="P10" s="821">
        <v>0.18360000000000001</v>
      </c>
      <c r="Q10" s="1631">
        <v>16758759.762993418</v>
      </c>
      <c r="R10" s="1634">
        <v>44531</v>
      </c>
      <c r="S10" s="1631" t="s">
        <v>2201</v>
      </c>
      <c r="T10" s="632" t="s">
        <v>286</v>
      </c>
      <c r="U10" s="743" t="s">
        <v>287</v>
      </c>
      <c r="V10" s="1635">
        <v>2024</v>
      </c>
      <c r="W10" s="1636">
        <v>2974</v>
      </c>
      <c r="X10" s="1637" t="s">
        <v>2192</v>
      </c>
      <c r="Y10" s="821">
        <v>1.15E-2</v>
      </c>
      <c r="Z10" s="822">
        <v>0</v>
      </c>
      <c r="AA10" s="822" t="s">
        <v>288</v>
      </c>
      <c r="AB10" s="235">
        <v>39.72</v>
      </c>
      <c r="AC10" s="235">
        <v>539.16</v>
      </c>
      <c r="AD10" s="235">
        <v>3502812.67</v>
      </c>
      <c r="AE10" s="823">
        <v>42300</v>
      </c>
      <c r="AF10" s="823">
        <v>42300</v>
      </c>
      <c r="AG10" s="820">
        <v>0</v>
      </c>
      <c r="AH10" s="632"/>
      <c r="AI10" s="743">
        <v>41472</v>
      </c>
      <c r="AJ10" s="743">
        <v>42613</v>
      </c>
      <c r="AK10" s="743" t="s">
        <v>289</v>
      </c>
      <c r="AL10" s="743"/>
      <c r="AM10" s="743"/>
      <c r="AN10" s="1633"/>
      <c r="AO10" s="235"/>
      <c r="AP10" s="17"/>
      <c r="AR10" s="824" t="s">
        <v>290</v>
      </c>
      <c r="AS10" s="235"/>
      <c r="AT10" s="235"/>
      <c r="AX10" s="235"/>
    </row>
    <row r="11" spans="1:50" s="9" customFormat="1" ht="31.5">
      <c r="A11" s="632" t="s">
        <v>187</v>
      </c>
      <c r="B11" s="632" t="s">
        <v>291</v>
      </c>
      <c r="C11" s="632">
        <v>5366</v>
      </c>
      <c r="D11" s="632" t="s">
        <v>292</v>
      </c>
      <c r="E11" s="632" t="s">
        <v>282</v>
      </c>
      <c r="F11" s="632" t="s">
        <v>293</v>
      </c>
      <c r="G11" s="632" t="s">
        <v>284</v>
      </c>
      <c r="H11" s="632">
        <v>9.9699999999999997E-2</v>
      </c>
      <c r="I11" s="632" t="s">
        <v>164</v>
      </c>
      <c r="J11" s="632">
        <v>145</v>
      </c>
      <c r="K11" s="632"/>
      <c r="L11" s="632"/>
      <c r="M11" s="817">
        <v>0</v>
      </c>
      <c r="N11" s="1631"/>
      <c r="O11" s="1631" t="str">
        <f>O10</f>
        <v>ReH 2.995/2021</v>
      </c>
      <c r="P11" s="817">
        <v>8.7599999999999997E-2</v>
      </c>
      <c r="Q11" s="1631">
        <v>12051594.579145933</v>
      </c>
      <c r="R11" s="1634">
        <v>44531</v>
      </c>
      <c r="S11" s="1631" t="str">
        <f>S10</f>
        <v>Desp. 521/2022</v>
      </c>
      <c r="T11" s="632" t="s">
        <v>294</v>
      </c>
      <c r="U11" s="743" t="s">
        <v>295</v>
      </c>
      <c r="V11" s="1635">
        <v>2024</v>
      </c>
      <c r="W11" s="1636">
        <v>2944</v>
      </c>
      <c r="X11" s="1637" t="s">
        <v>2196</v>
      </c>
      <c r="Y11" s="632"/>
      <c r="AA11" s="822" t="s">
        <v>164</v>
      </c>
      <c r="AB11" s="820">
        <v>39.799999999999997</v>
      </c>
      <c r="AC11" s="825">
        <v>133.91999999999999</v>
      </c>
      <c r="AD11" s="825">
        <v>2423958.41</v>
      </c>
      <c r="AE11" s="743">
        <v>43678</v>
      </c>
      <c r="AF11" s="743">
        <v>43678</v>
      </c>
      <c r="AG11" s="820">
        <v>0</v>
      </c>
      <c r="AH11" s="632"/>
      <c r="AI11" s="743">
        <v>41472</v>
      </c>
      <c r="AJ11" s="743">
        <v>42613</v>
      </c>
      <c r="AK11" s="743" t="s">
        <v>289</v>
      </c>
      <c r="AL11" s="743"/>
      <c r="AM11" s="743"/>
      <c r="AN11" s="1633"/>
      <c r="AO11" s="235"/>
      <c r="AP11" s="17"/>
      <c r="AR11" s="824" t="s">
        <v>279</v>
      </c>
      <c r="AS11" s="235"/>
      <c r="AT11" s="235"/>
      <c r="AX11" s="235"/>
    </row>
    <row r="12" spans="1:50" s="9" customFormat="1" ht="31.5">
      <c r="A12" s="632" t="s">
        <v>296</v>
      </c>
      <c r="B12" s="632" t="s">
        <v>297</v>
      </c>
      <c r="C12" s="632">
        <v>5386</v>
      </c>
      <c r="D12" s="632" t="s">
        <v>298</v>
      </c>
      <c r="E12" s="632" t="s">
        <v>282</v>
      </c>
      <c r="F12" s="632" t="s">
        <v>299</v>
      </c>
      <c r="G12" s="632" t="s">
        <v>284</v>
      </c>
      <c r="H12" s="632">
        <v>3.7699999999999997E-2</v>
      </c>
      <c r="I12" s="632" t="s">
        <v>178</v>
      </c>
      <c r="J12" s="632">
        <v>135</v>
      </c>
      <c r="K12" s="632"/>
      <c r="L12" s="632"/>
      <c r="M12" s="817">
        <v>0</v>
      </c>
      <c r="N12" s="1631"/>
      <c r="O12" s="1631" t="str">
        <f t="shared" ref="O12:O61" si="9">O11</f>
        <v>ReH 2.995/2021</v>
      </c>
      <c r="P12" s="817">
        <v>0.1298</v>
      </c>
      <c r="Q12" s="1631">
        <v>17888427.870995689</v>
      </c>
      <c r="R12" s="1634">
        <v>44531</v>
      </c>
      <c r="S12" s="1631" t="str">
        <f t="shared" ref="S12:S61" si="10">S11</f>
        <v>Desp. 521/2022</v>
      </c>
      <c r="T12" s="632" t="s">
        <v>300</v>
      </c>
      <c r="U12" s="743" t="s">
        <v>295</v>
      </c>
      <c r="V12" s="1635">
        <v>2024</v>
      </c>
      <c r="W12" s="1636">
        <v>2977</v>
      </c>
      <c r="X12" s="1637" t="s">
        <v>2192</v>
      </c>
      <c r="Y12" s="821">
        <v>1.15E-2</v>
      </c>
      <c r="Z12" s="822">
        <v>-0.02</v>
      </c>
      <c r="AA12" s="822" t="s">
        <v>301</v>
      </c>
      <c r="AB12" s="820">
        <v>45.63</v>
      </c>
      <c r="AC12" s="825">
        <v>532.64</v>
      </c>
      <c r="AD12" s="825">
        <v>5694629.8099999996</v>
      </c>
      <c r="AE12" s="743">
        <v>43739</v>
      </c>
      <c r="AF12" s="743">
        <v>43739</v>
      </c>
      <c r="AG12" s="820">
        <v>0</v>
      </c>
      <c r="AH12" s="632"/>
      <c r="AI12" s="743">
        <v>41472</v>
      </c>
      <c r="AJ12" s="743">
        <v>42673</v>
      </c>
      <c r="AK12" s="743" t="s">
        <v>289</v>
      </c>
      <c r="AL12" s="743"/>
      <c r="AM12" s="743"/>
      <c r="AN12" s="1633"/>
      <c r="AO12" s="235"/>
      <c r="AP12" s="17"/>
      <c r="AR12" s="824" t="s">
        <v>187</v>
      </c>
      <c r="AS12" s="235"/>
      <c r="AT12" s="235"/>
      <c r="AX12" s="235"/>
    </row>
    <row r="13" spans="1:50" s="9" customFormat="1" ht="31.5">
      <c r="A13" s="632" t="s">
        <v>302</v>
      </c>
      <c r="B13" s="632" t="s">
        <v>303</v>
      </c>
      <c r="C13" s="632">
        <v>5378</v>
      </c>
      <c r="D13" s="632" t="s">
        <v>304</v>
      </c>
      <c r="E13" s="632" t="s">
        <v>282</v>
      </c>
      <c r="F13" s="632" t="s">
        <v>305</v>
      </c>
      <c r="G13" s="632" t="s">
        <v>284</v>
      </c>
      <c r="H13" s="632">
        <v>9.9699999999999997E-2</v>
      </c>
      <c r="I13" s="632" t="s">
        <v>204</v>
      </c>
      <c r="J13" s="632">
        <v>166</v>
      </c>
      <c r="K13" s="632" t="s">
        <v>164</v>
      </c>
      <c r="L13" s="632">
        <v>145</v>
      </c>
      <c r="M13" s="817">
        <v>0</v>
      </c>
      <c r="N13" s="1631"/>
      <c r="O13" s="1631" t="str">
        <f t="shared" si="9"/>
        <v>ReH 2.995/2021</v>
      </c>
      <c r="P13" s="817">
        <v>0.1832</v>
      </c>
      <c r="Q13" s="1631">
        <v>51573900.56414932</v>
      </c>
      <c r="R13" s="1634">
        <v>44531</v>
      </c>
      <c r="S13" s="1631" t="str">
        <f t="shared" si="10"/>
        <v>Desp. 521/2022</v>
      </c>
      <c r="T13" s="632" t="s">
        <v>306</v>
      </c>
      <c r="U13" s="743" t="s">
        <v>295</v>
      </c>
      <c r="V13" s="1635">
        <v>2024</v>
      </c>
      <c r="W13" s="1636">
        <v>2863</v>
      </c>
      <c r="X13" s="1637" t="s">
        <v>2195</v>
      </c>
      <c r="Y13" s="632"/>
      <c r="AA13" s="822" t="s">
        <v>307</v>
      </c>
      <c r="AB13" s="871">
        <v>60.67</v>
      </c>
      <c r="AC13" s="875">
        <v>128.56</v>
      </c>
      <c r="AD13" s="875">
        <v>16751978.699999999</v>
      </c>
      <c r="AE13" s="872">
        <v>44256</v>
      </c>
      <c r="AF13" s="872">
        <v>44277</v>
      </c>
      <c r="AG13" s="820">
        <v>0</v>
      </c>
      <c r="AH13" s="632"/>
      <c r="AI13" s="743">
        <v>41472</v>
      </c>
      <c r="AJ13" s="743">
        <v>42410</v>
      </c>
      <c r="AK13" s="743" t="s">
        <v>289</v>
      </c>
      <c r="AL13" s="743"/>
      <c r="AM13" s="743"/>
      <c r="AN13" s="1633"/>
      <c r="AO13" s="235"/>
      <c r="AP13" s="17"/>
      <c r="AR13" s="824" t="s">
        <v>186</v>
      </c>
      <c r="AS13" s="235"/>
      <c r="AT13" s="235"/>
      <c r="AX13" s="235"/>
    </row>
    <row r="14" spans="1:50" s="9" customFormat="1" ht="31.5">
      <c r="A14" s="632" t="s">
        <v>308</v>
      </c>
      <c r="B14" s="632" t="s">
        <v>309</v>
      </c>
      <c r="C14" s="632">
        <v>5382</v>
      </c>
      <c r="D14" s="632" t="s">
        <v>310</v>
      </c>
      <c r="E14" s="632" t="s">
        <v>282</v>
      </c>
      <c r="F14" s="632" t="s">
        <v>311</v>
      </c>
      <c r="G14" s="632" t="s">
        <v>284</v>
      </c>
      <c r="H14" s="632">
        <v>3.7699999999999997E-2</v>
      </c>
      <c r="I14" s="632" t="s">
        <v>312</v>
      </c>
      <c r="J14" s="632">
        <v>148</v>
      </c>
      <c r="K14" s="632"/>
      <c r="L14" s="632"/>
      <c r="M14" s="817">
        <v>0</v>
      </c>
      <c r="N14" s="1631"/>
      <c r="O14" s="1631" t="str">
        <f t="shared" si="9"/>
        <v>ReH 2.995/2021</v>
      </c>
      <c r="P14" s="817">
        <v>8.9499999999999996E-2</v>
      </c>
      <c r="Q14" s="1632">
        <v>8419443.0538159572</v>
      </c>
      <c r="R14" s="1634">
        <v>44531</v>
      </c>
      <c r="S14" s="1631" t="str">
        <f t="shared" si="10"/>
        <v>Desp. 521/2022</v>
      </c>
      <c r="T14" s="632" t="s">
        <v>313</v>
      </c>
      <c r="U14" s="743" t="s">
        <v>295</v>
      </c>
      <c r="V14" s="1635">
        <v>2024</v>
      </c>
      <c r="W14" s="1636">
        <v>2910</v>
      </c>
      <c r="X14" s="1637" t="s">
        <v>2194</v>
      </c>
      <c r="Y14" s="821">
        <v>1.15E-2</v>
      </c>
      <c r="Z14" s="822">
        <v>0</v>
      </c>
      <c r="AA14" s="822" t="s">
        <v>312</v>
      </c>
      <c r="AB14" s="820">
        <v>33.24</v>
      </c>
      <c r="AC14" s="825">
        <v>986.44</v>
      </c>
      <c r="AD14" s="825">
        <v>2124774.87</v>
      </c>
      <c r="AE14" s="743">
        <v>43647</v>
      </c>
      <c r="AF14" s="743">
        <v>43647</v>
      </c>
      <c r="AG14" s="820">
        <v>0</v>
      </c>
      <c r="AH14" s="632"/>
      <c r="AI14" s="743">
        <v>41472</v>
      </c>
      <c r="AJ14" s="743">
        <v>42562</v>
      </c>
      <c r="AK14" s="743" t="s">
        <v>289</v>
      </c>
      <c r="AL14" s="743"/>
      <c r="AM14" s="743"/>
      <c r="AN14" s="1633"/>
      <c r="AO14" s="235"/>
      <c r="AP14" s="17"/>
      <c r="AR14" s="824" t="s">
        <v>314</v>
      </c>
      <c r="AS14" s="235"/>
      <c r="AT14" s="235"/>
      <c r="AX14" s="235"/>
    </row>
    <row r="15" spans="1:50" s="9" customFormat="1" ht="31.5">
      <c r="A15" s="632" t="s">
        <v>315</v>
      </c>
      <c r="B15" s="632" t="s">
        <v>316</v>
      </c>
      <c r="C15" s="632">
        <v>6610</v>
      </c>
      <c r="D15" s="632" t="s">
        <v>317</v>
      </c>
      <c r="E15" s="632" t="s">
        <v>282</v>
      </c>
      <c r="F15" s="632" t="s">
        <v>318</v>
      </c>
      <c r="G15" s="632" t="s">
        <v>284</v>
      </c>
      <c r="H15" s="632">
        <v>9.9699999999999997E-2</v>
      </c>
      <c r="I15" s="632" t="s">
        <v>285</v>
      </c>
      <c r="J15" s="632">
        <v>104</v>
      </c>
      <c r="K15" s="632"/>
      <c r="L15" s="632"/>
      <c r="M15" s="817">
        <v>0</v>
      </c>
      <c r="N15" s="1631"/>
      <c r="O15" s="1631" t="str">
        <f t="shared" si="9"/>
        <v>ReH 2.995/2021</v>
      </c>
      <c r="P15" s="817">
        <v>0.14800000000000002</v>
      </c>
      <c r="Q15" s="1632">
        <v>5024282.8201926984</v>
      </c>
      <c r="R15" s="1634">
        <v>44531</v>
      </c>
      <c r="S15" s="1631" t="str">
        <f t="shared" si="10"/>
        <v>Desp. 521/2022</v>
      </c>
      <c r="T15" s="632" t="s">
        <v>319</v>
      </c>
      <c r="U15" s="743" t="s">
        <v>287</v>
      </c>
      <c r="V15" s="1635">
        <v>2024</v>
      </c>
      <c r="W15" s="1636">
        <v>2978</v>
      </c>
      <c r="X15" s="1637" t="s">
        <v>2192</v>
      </c>
      <c r="Y15" s="632"/>
      <c r="AA15" s="822" t="s">
        <v>288</v>
      </c>
      <c r="AB15" s="820">
        <v>98.54</v>
      </c>
      <c r="AC15" s="825">
        <v>492.16</v>
      </c>
      <c r="AD15" s="825">
        <v>607256.85</v>
      </c>
      <c r="AE15" s="743">
        <v>43739</v>
      </c>
      <c r="AF15" s="743">
        <v>43739</v>
      </c>
      <c r="AG15" s="820">
        <v>0</v>
      </c>
      <c r="AH15" s="632"/>
      <c r="AI15" s="743">
        <v>41472</v>
      </c>
      <c r="AJ15" s="743">
        <v>42673</v>
      </c>
      <c r="AK15" s="743" t="s">
        <v>289</v>
      </c>
      <c r="AL15" s="743"/>
      <c r="AM15" s="743"/>
      <c r="AN15" s="1633"/>
      <c r="AO15" s="235"/>
      <c r="AP15" s="17"/>
      <c r="AR15" s="824" t="s">
        <v>320</v>
      </c>
      <c r="AS15" s="235"/>
      <c r="AT15" s="235"/>
      <c r="AX15" s="235"/>
    </row>
    <row r="16" spans="1:50" s="9" customFormat="1" ht="31.5">
      <c r="A16" s="632" t="s">
        <v>321</v>
      </c>
      <c r="B16" s="632" t="s">
        <v>322</v>
      </c>
      <c r="C16" s="632">
        <v>6609</v>
      </c>
      <c r="D16" s="632" t="s">
        <v>323</v>
      </c>
      <c r="E16" s="632" t="s">
        <v>282</v>
      </c>
      <c r="F16" s="632" t="s">
        <v>324</v>
      </c>
      <c r="G16" s="632" t="s">
        <v>284</v>
      </c>
      <c r="H16" s="632">
        <v>3.7699999999999997E-2</v>
      </c>
      <c r="I16" s="632" t="s">
        <v>125</v>
      </c>
      <c r="J16" s="632">
        <v>165</v>
      </c>
      <c r="K16" s="632"/>
      <c r="L16" s="632"/>
      <c r="M16" s="817">
        <v>0</v>
      </c>
      <c r="N16" s="1631"/>
      <c r="O16" s="1631" t="str">
        <f t="shared" si="9"/>
        <v>ReH 2.995/2021</v>
      </c>
      <c r="P16" s="817">
        <v>0.1585</v>
      </c>
      <c r="Q16" s="1631">
        <v>13523024.849047249</v>
      </c>
      <c r="R16" s="1634">
        <v>44531</v>
      </c>
      <c r="S16" s="1631" t="str">
        <f t="shared" si="10"/>
        <v>Desp. 521/2022</v>
      </c>
      <c r="T16" s="632" t="s">
        <v>325</v>
      </c>
      <c r="U16" s="743" t="s">
        <v>326</v>
      </c>
      <c r="V16" s="1635">
        <v>2024</v>
      </c>
      <c r="W16" s="1636">
        <v>2903</v>
      </c>
      <c r="X16" s="1637" t="s">
        <v>2194</v>
      </c>
      <c r="Y16" s="821">
        <v>1.15E-2</v>
      </c>
      <c r="Z16" s="490">
        <v>0</v>
      </c>
      <c r="AA16" s="490" t="s">
        <v>125</v>
      </c>
      <c r="AB16" s="820">
        <v>23.817216620837154</v>
      </c>
      <c r="AC16" s="825">
        <v>102.39004092957872</v>
      </c>
      <c r="AD16" s="825">
        <v>8424461.6320540309</v>
      </c>
      <c r="AE16" s="743">
        <v>44389</v>
      </c>
      <c r="AF16" s="743">
        <v>44389</v>
      </c>
      <c r="AG16" s="820">
        <v>0</v>
      </c>
      <c r="AH16" s="632"/>
      <c r="AI16" s="743">
        <v>41472</v>
      </c>
      <c r="AJ16" s="743">
        <v>42507</v>
      </c>
      <c r="AK16" s="743" t="s">
        <v>289</v>
      </c>
      <c r="AL16" s="743"/>
      <c r="AM16" s="743"/>
      <c r="AN16" s="1633"/>
      <c r="AO16" s="235"/>
      <c r="AP16" s="17"/>
      <c r="AR16" s="824" t="s">
        <v>327</v>
      </c>
      <c r="AS16" s="235"/>
      <c r="AT16" s="235"/>
      <c r="AX16" s="235"/>
    </row>
    <row r="17" spans="1:50" s="9" customFormat="1" ht="31.5">
      <c r="A17" s="632" t="s">
        <v>328</v>
      </c>
      <c r="B17" s="632" t="s">
        <v>329</v>
      </c>
      <c r="C17" s="632">
        <v>5384</v>
      </c>
      <c r="D17" s="632" t="s">
        <v>330</v>
      </c>
      <c r="E17" s="632" t="s">
        <v>282</v>
      </c>
      <c r="F17" s="632" t="s">
        <v>2272</v>
      </c>
      <c r="G17" s="632" t="s">
        <v>284</v>
      </c>
      <c r="H17" s="632">
        <v>9.9699999999999997E-2</v>
      </c>
      <c r="I17" s="632" t="s">
        <v>150</v>
      </c>
      <c r="J17" s="632">
        <v>136</v>
      </c>
      <c r="K17" s="632"/>
      <c r="L17" s="632"/>
      <c r="M17" s="817">
        <v>0</v>
      </c>
      <c r="N17" s="1631"/>
      <c r="O17" s="1631" t="str">
        <f t="shared" si="9"/>
        <v>ReH 2.995/2021</v>
      </c>
      <c r="P17" s="817">
        <v>0.36620000000000003</v>
      </c>
      <c r="Q17" s="1631">
        <v>10580562.183376934</v>
      </c>
      <c r="R17" s="1634">
        <v>44531</v>
      </c>
      <c r="S17" s="1631" t="str">
        <f t="shared" si="10"/>
        <v>Desp. 521/2022</v>
      </c>
      <c r="T17" s="632" t="s">
        <v>331</v>
      </c>
      <c r="U17" s="743" t="s">
        <v>295</v>
      </c>
      <c r="V17" s="1635">
        <v>2024</v>
      </c>
      <c r="W17" s="1636">
        <v>2873</v>
      </c>
      <c r="X17" s="1637" t="s">
        <v>2193</v>
      </c>
      <c r="Y17" s="632"/>
      <c r="AA17" s="822" t="s">
        <v>150</v>
      </c>
      <c r="AB17" s="820">
        <v>90.43</v>
      </c>
      <c r="AC17" s="825">
        <v>237.88</v>
      </c>
      <c r="AD17" s="825">
        <v>1254128.21</v>
      </c>
      <c r="AE17" s="743">
        <v>43198</v>
      </c>
      <c r="AF17" s="743">
        <v>43198</v>
      </c>
      <c r="AG17" s="820">
        <v>0</v>
      </c>
      <c r="AH17" s="632"/>
      <c r="AI17" s="743">
        <v>41472</v>
      </c>
      <c r="AJ17" s="743">
        <v>42475</v>
      </c>
      <c r="AK17" s="743" t="s">
        <v>289</v>
      </c>
      <c r="AL17" s="743"/>
      <c r="AM17" s="743"/>
      <c r="AN17" s="1633"/>
      <c r="AO17" s="235"/>
      <c r="AP17" s="17"/>
      <c r="AR17" s="824" t="s">
        <v>9</v>
      </c>
      <c r="AS17" s="235"/>
      <c r="AT17" s="235"/>
      <c r="AX17" s="235"/>
    </row>
    <row r="18" spans="1:50" s="9" customFormat="1" ht="31.5">
      <c r="A18" s="632" t="s">
        <v>332</v>
      </c>
      <c r="B18" s="632" t="s">
        <v>333</v>
      </c>
      <c r="C18" s="632">
        <v>5385</v>
      </c>
      <c r="D18" s="632" t="s">
        <v>334</v>
      </c>
      <c r="E18" s="632" t="s">
        <v>282</v>
      </c>
      <c r="F18" s="632" t="s">
        <v>335</v>
      </c>
      <c r="G18" s="632" t="s">
        <v>284</v>
      </c>
      <c r="H18" s="632">
        <v>3.7699999999999997E-2</v>
      </c>
      <c r="I18" s="632" t="s">
        <v>150</v>
      </c>
      <c r="J18" s="632">
        <v>136</v>
      </c>
      <c r="K18" s="632" t="s">
        <v>125</v>
      </c>
      <c r="L18" s="632">
        <v>165</v>
      </c>
      <c r="M18" s="817">
        <v>0</v>
      </c>
      <c r="N18" s="1631"/>
      <c r="O18" s="1631" t="str">
        <f t="shared" si="9"/>
        <v>ReH 2.995/2021</v>
      </c>
      <c r="P18" s="817">
        <v>0.18079999999999999</v>
      </c>
      <c r="Q18" s="1631">
        <v>19362081.83872563</v>
      </c>
      <c r="R18" s="1634">
        <v>44531</v>
      </c>
      <c r="S18" s="1631" t="str">
        <f t="shared" si="10"/>
        <v>Desp. 521/2022</v>
      </c>
      <c r="T18" s="632" t="s">
        <v>336</v>
      </c>
      <c r="U18" s="743" t="s">
        <v>326</v>
      </c>
      <c r="V18" s="1635">
        <v>2024</v>
      </c>
      <c r="W18" s="1636">
        <v>2874</v>
      </c>
      <c r="X18" s="1637" t="s">
        <v>2193</v>
      </c>
      <c r="Y18" s="821">
        <v>1.15E-2</v>
      </c>
      <c r="Z18" s="490">
        <v>-7.9000000000000008E-3</v>
      </c>
      <c r="AA18" s="490" t="s">
        <v>150</v>
      </c>
      <c r="AB18" s="820">
        <v>70.27</v>
      </c>
      <c r="AC18" s="825">
        <v>237.88</v>
      </c>
      <c r="AD18" s="825">
        <v>3687472.37</v>
      </c>
      <c r="AE18" s="743">
        <v>43198</v>
      </c>
      <c r="AF18" s="743">
        <v>43198</v>
      </c>
      <c r="AG18" s="820">
        <v>0</v>
      </c>
      <c r="AH18" s="632"/>
      <c r="AI18" s="743">
        <v>41472</v>
      </c>
      <c r="AJ18" s="743">
        <v>42475</v>
      </c>
      <c r="AK18" s="743" t="s">
        <v>289</v>
      </c>
      <c r="AL18" s="743"/>
      <c r="AM18" s="743"/>
      <c r="AN18" s="1633"/>
      <c r="AO18" s="235"/>
      <c r="AP18" s="17"/>
      <c r="AR18" s="824" t="s">
        <v>337</v>
      </c>
      <c r="AS18" s="235"/>
      <c r="AT18" s="235"/>
      <c r="AX18" s="235"/>
    </row>
    <row r="19" spans="1:50" s="9" customFormat="1" ht="31.5">
      <c r="A19" s="632" t="s">
        <v>338</v>
      </c>
      <c r="B19" s="632" t="s">
        <v>339</v>
      </c>
      <c r="C19" s="632">
        <v>5379</v>
      </c>
      <c r="D19" s="632" t="s">
        <v>340</v>
      </c>
      <c r="E19" s="632" t="s">
        <v>282</v>
      </c>
      <c r="F19" s="632" t="s">
        <v>341</v>
      </c>
      <c r="G19" s="632" t="s">
        <v>284</v>
      </c>
      <c r="H19" s="632">
        <v>3.7699999999999997E-2</v>
      </c>
      <c r="I19" s="632" t="s">
        <v>178</v>
      </c>
      <c r="J19" s="632">
        <v>135</v>
      </c>
      <c r="K19" s="632" t="s">
        <v>164</v>
      </c>
      <c r="L19" s="632">
        <v>145</v>
      </c>
      <c r="M19" s="817">
        <v>0</v>
      </c>
      <c r="N19" s="1631"/>
      <c r="O19" s="1631" t="str">
        <f t="shared" si="9"/>
        <v>ReH 2.995/2021</v>
      </c>
      <c r="P19" s="817">
        <v>0.1321</v>
      </c>
      <c r="Q19" s="1631">
        <v>39394175.109390005</v>
      </c>
      <c r="R19" s="1634">
        <v>44531</v>
      </c>
      <c r="S19" s="1631" t="str">
        <f t="shared" si="10"/>
        <v>Desp. 521/2022</v>
      </c>
      <c r="T19" s="632" t="s">
        <v>342</v>
      </c>
      <c r="U19" s="743" t="s">
        <v>295</v>
      </c>
      <c r="V19" s="1635">
        <v>2024</v>
      </c>
      <c r="W19" s="1636">
        <v>2975</v>
      </c>
      <c r="X19" s="1637" t="s">
        <v>2192</v>
      </c>
      <c r="Y19" s="821">
        <v>1.15E-2</v>
      </c>
      <c r="Z19" s="490">
        <v>0</v>
      </c>
      <c r="AA19" s="822" t="s">
        <v>301</v>
      </c>
      <c r="AB19" s="826">
        <v>39.53</v>
      </c>
      <c r="AC19" s="825">
        <v>532.64</v>
      </c>
      <c r="AD19" s="825">
        <v>12412486.630000001</v>
      </c>
      <c r="AE19" s="743">
        <v>43739</v>
      </c>
      <c r="AF19" s="743">
        <v>43739</v>
      </c>
      <c r="AG19" s="820">
        <v>0</v>
      </c>
      <c r="AH19" s="632"/>
      <c r="AI19" s="743">
        <v>41472</v>
      </c>
      <c r="AJ19" s="743">
        <v>42673</v>
      </c>
      <c r="AK19" s="743" t="s">
        <v>289</v>
      </c>
      <c r="AL19" s="743"/>
      <c r="AM19" s="743"/>
      <c r="AN19" s="1633"/>
      <c r="AO19" s="235"/>
      <c r="AP19" s="17"/>
      <c r="AR19" s="824" t="s">
        <v>184</v>
      </c>
      <c r="AS19" s="235"/>
      <c r="AT19" s="235"/>
      <c r="AX19" s="235"/>
    </row>
    <row r="20" spans="1:50" s="9" customFormat="1" ht="31.5">
      <c r="A20" s="632" t="s">
        <v>314</v>
      </c>
      <c r="B20" s="632" t="s">
        <v>343</v>
      </c>
      <c r="C20" s="632">
        <v>5372</v>
      </c>
      <c r="D20" s="632" t="s">
        <v>344</v>
      </c>
      <c r="E20" s="632" t="s">
        <v>282</v>
      </c>
      <c r="F20" s="632" t="s">
        <v>345</v>
      </c>
      <c r="G20" s="632" t="s">
        <v>346</v>
      </c>
      <c r="H20" s="632">
        <v>9.9699999999999997E-2</v>
      </c>
      <c r="I20" s="632" t="s">
        <v>189</v>
      </c>
      <c r="J20" s="632">
        <v>111</v>
      </c>
      <c r="K20" s="632"/>
      <c r="L20" s="632"/>
      <c r="M20" s="817">
        <v>0</v>
      </c>
      <c r="N20" s="1631"/>
      <c r="O20" s="1631" t="str">
        <f t="shared" si="9"/>
        <v>ReH 2.995/2021</v>
      </c>
      <c r="P20" s="817">
        <v>0.1079</v>
      </c>
      <c r="Q20" s="1632">
        <v>9742223.1963606756</v>
      </c>
      <c r="R20" s="1634">
        <v>44531</v>
      </c>
      <c r="S20" s="1631" t="str">
        <f t="shared" si="10"/>
        <v>Desp. 521/2022</v>
      </c>
      <c r="T20" s="632" t="s">
        <v>347</v>
      </c>
      <c r="U20" s="743" t="s">
        <v>348</v>
      </c>
      <c r="V20" s="1635">
        <v>2024</v>
      </c>
      <c r="W20" s="1636">
        <v>2946</v>
      </c>
      <c r="X20" s="1637" t="s">
        <v>2196</v>
      </c>
      <c r="Y20" s="632"/>
      <c r="AA20" s="822" t="s">
        <v>189</v>
      </c>
      <c r="AB20" s="820">
        <v>59.846956156846908</v>
      </c>
      <c r="AC20" s="825">
        <v>180.36</v>
      </c>
      <c r="AD20" s="825">
        <v>3290792.2979728933</v>
      </c>
      <c r="AE20" s="743">
        <v>44430</v>
      </c>
      <c r="AF20" s="743">
        <v>44430</v>
      </c>
      <c r="AG20" s="820">
        <v>0</v>
      </c>
      <c r="AH20" s="632"/>
      <c r="AI20" s="743">
        <v>41472</v>
      </c>
      <c r="AJ20" s="743">
        <v>42641</v>
      </c>
      <c r="AK20" s="743" t="s">
        <v>289</v>
      </c>
      <c r="AL20" s="743"/>
      <c r="AM20" s="743"/>
      <c r="AN20" s="1633"/>
      <c r="AO20" s="235"/>
      <c r="AP20" s="17"/>
      <c r="AR20" s="824" t="s">
        <v>196</v>
      </c>
      <c r="AS20" s="235"/>
      <c r="AT20" s="235"/>
      <c r="AX20" s="235"/>
    </row>
    <row r="21" spans="1:50" s="9" customFormat="1" ht="31.5">
      <c r="A21" s="632" t="s">
        <v>9</v>
      </c>
      <c r="B21" s="632" t="s">
        <v>349</v>
      </c>
      <c r="C21" s="632">
        <v>5367</v>
      </c>
      <c r="D21" s="632" t="s">
        <v>350</v>
      </c>
      <c r="E21" s="632" t="s">
        <v>282</v>
      </c>
      <c r="F21" s="632" t="s">
        <v>351</v>
      </c>
      <c r="G21" s="632" t="s">
        <v>346</v>
      </c>
      <c r="H21" s="632">
        <v>9.9699999999999997E-2</v>
      </c>
      <c r="I21" s="632" t="s">
        <v>189</v>
      </c>
      <c r="J21" s="632">
        <v>111</v>
      </c>
      <c r="K21" s="632" t="s">
        <v>352</v>
      </c>
      <c r="L21" s="632">
        <v>110</v>
      </c>
      <c r="M21" s="817">
        <v>0</v>
      </c>
      <c r="N21" s="1631"/>
      <c r="O21" s="1631" t="str">
        <f t="shared" si="9"/>
        <v>ReH 2.995/2021</v>
      </c>
      <c r="P21" s="817">
        <v>8.7999999999999995E-2</v>
      </c>
      <c r="Q21" s="1631">
        <v>28257854.842311971</v>
      </c>
      <c r="R21" s="1634">
        <v>44531</v>
      </c>
      <c r="S21" s="1631" t="str">
        <f t="shared" si="10"/>
        <v>Desp. 521/2022</v>
      </c>
      <c r="T21" s="632" t="s">
        <v>353</v>
      </c>
      <c r="U21" s="743" t="s">
        <v>354</v>
      </c>
      <c r="V21" s="1635">
        <v>2025</v>
      </c>
      <c r="W21" s="1636">
        <v>3000</v>
      </c>
      <c r="X21" s="1637" t="s">
        <v>2191</v>
      </c>
      <c r="Y21" s="632"/>
      <c r="AA21" s="822" t="s">
        <v>189</v>
      </c>
      <c r="AB21" s="820">
        <v>46.284812313198138</v>
      </c>
      <c r="AC21" s="825">
        <v>180.36</v>
      </c>
      <c r="AD21" s="825">
        <v>11703468.880194727</v>
      </c>
      <c r="AE21" s="743">
        <v>44430</v>
      </c>
      <c r="AF21" s="743">
        <v>44430</v>
      </c>
      <c r="AG21" s="820">
        <v>0</v>
      </c>
      <c r="AH21" s="632"/>
      <c r="AI21" s="743">
        <v>41365</v>
      </c>
      <c r="AJ21" s="743">
        <v>42641</v>
      </c>
      <c r="AK21" s="743" t="s">
        <v>289</v>
      </c>
      <c r="AL21" s="743"/>
      <c r="AM21" s="743"/>
      <c r="AN21" s="1633"/>
      <c r="AO21" s="235"/>
      <c r="AP21" s="17"/>
      <c r="AR21" s="824" t="s">
        <v>355</v>
      </c>
      <c r="AS21" s="235"/>
      <c r="AT21" s="235"/>
      <c r="AX21" s="235"/>
    </row>
    <row r="22" spans="1:50" s="9" customFormat="1" ht="31.5">
      <c r="A22" s="632" t="s">
        <v>337</v>
      </c>
      <c r="B22" s="632" t="s">
        <v>356</v>
      </c>
      <c r="C22" s="632">
        <v>6897</v>
      </c>
      <c r="D22" s="632" t="s">
        <v>357</v>
      </c>
      <c r="E22" s="632" t="s">
        <v>282</v>
      </c>
      <c r="F22" s="632" t="s">
        <v>358</v>
      </c>
      <c r="G22" s="632" t="s">
        <v>346</v>
      </c>
      <c r="H22" s="632">
        <v>9.9699999999999997E-2</v>
      </c>
      <c r="I22" s="632" t="s">
        <v>189</v>
      </c>
      <c r="J22" s="632">
        <v>111</v>
      </c>
      <c r="K22" s="632"/>
      <c r="L22" s="632"/>
      <c r="M22" s="817">
        <v>0</v>
      </c>
      <c r="N22" s="1631"/>
      <c r="O22" s="1631" t="str">
        <f t="shared" si="9"/>
        <v>ReH 2.995/2021</v>
      </c>
      <c r="P22" s="817">
        <v>0.11210000000000001</v>
      </c>
      <c r="Q22" s="1631">
        <v>25814070.878469311</v>
      </c>
      <c r="R22" s="1634">
        <v>44531</v>
      </c>
      <c r="S22" s="1631" t="str">
        <f t="shared" si="10"/>
        <v>Desp. 521/2022</v>
      </c>
      <c r="T22" s="632" t="s">
        <v>359</v>
      </c>
      <c r="U22" s="743" t="s">
        <v>348</v>
      </c>
      <c r="V22" s="1635">
        <v>2024</v>
      </c>
      <c r="W22" s="1636">
        <v>2939</v>
      </c>
      <c r="X22" s="1637" t="s">
        <v>2196</v>
      </c>
      <c r="Y22" s="632"/>
      <c r="AA22" s="822" t="s">
        <v>189</v>
      </c>
      <c r="AB22" s="820">
        <v>48.427014093503388</v>
      </c>
      <c r="AC22" s="825">
        <v>180.36</v>
      </c>
      <c r="AD22" s="825">
        <v>10692706.342225492</v>
      </c>
      <c r="AE22" s="743">
        <v>44430</v>
      </c>
      <c r="AF22" s="743">
        <v>44430</v>
      </c>
      <c r="AG22" s="820">
        <v>0</v>
      </c>
      <c r="AH22" s="632"/>
      <c r="AI22" s="743">
        <v>41472</v>
      </c>
      <c r="AJ22" s="743">
        <v>42641</v>
      </c>
      <c r="AK22" s="743" t="s">
        <v>289</v>
      </c>
      <c r="AL22" s="743"/>
      <c r="AM22" s="743"/>
      <c r="AN22" s="1633"/>
      <c r="AO22" s="235"/>
      <c r="AP22" s="17"/>
      <c r="AR22" s="824" t="s">
        <v>360</v>
      </c>
      <c r="AS22" s="235"/>
      <c r="AT22" s="235"/>
      <c r="AX22" s="235"/>
    </row>
    <row r="23" spans="1:50" s="9" customFormat="1" ht="31.5">
      <c r="A23" s="632" t="s">
        <v>184</v>
      </c>
      <c r="B23" s="632" t="s">
        <v>361</v>
      </c>
      <c r="C23" s="632">
        <v>5351</v>
      </c>
      <c r="D23" s="632" t="s">
        <v>362</v>
      </c>
      <c r="E23" s="632" t="s">
        <v>282</v>
      </c>
      <c r="F23" s="632" t="s">
        <v>363</v>
      </c>
      <c r="G23" s="632" t="s">
        <v>346</v>
      </c>
      <c r="H23" s="632">
        <v>9.9699999999999997E-2</v>
      </c>
      <c r="I23" s="632" t="s">
        <v>360</v>
      </c>
      <c r="J23" s="632">
        <v>220</v>
      </c>
      <c r="K23" s="632"/>
      <c r="L23" s="632"/>
      <c r="M23" s="817">
        <v>0</v>
      </c>
      <c r="N23" s="1631"/>
      <c r="O23" s="1631" t="str">
        <f t="shared" si="9"/>
        <v>ReH 2.995/2021</v>
      </c>
      <c r="P23" s="817">
        <v>5.1200000000000002E-2</v>
      </c>
      <c r="Q23" s="1631">
        <v>6592780.5451776758</v>
      </c>
      <c r="R23" s="1634">
        <v>44531</v>
      </c>
      <c r="S23" s="1631" t="str">
        <f t="shared" si="10"/>
        <v>Desp. 521/2022</v>
      </c>
      <c r="T23" s="632" t="s">
        <v>364</v>
      </c>
      <c r="U23" s="743" t="s">
        <v>348</v>
      </c>
      <c r="V23" s="1635">
        <v>2024</v>
      </c>
      <c r="W23" s="1636">
        <v>2976</v>
      </c>
      <c r="X23" s="1637" t="s">
        <v>2192</v>
      </c>
      <c r="Y23" s="632"/>
      <c r="AA23" s="822" t="s">
        <v>189</v>
      </c>
      <c r="AB23" s="820">
        <v>16.172212694965044</v>
      </c>
      <c r="AC23" s="825">
        <v>180.36</v>
      </c>
      <c r="AD23" s="825">
        <v>3766690.3356666476</v>
      </c>
      <c r="AE23" s="743">
        <v>44430</v>
      </c>
      <c r="AF23" s="743">
        <v>44430</v>
      </c>
      <c r="AG23" s="820">
        <v>0</v>
      </c>
      <c r="AH23" s="632"/>
      <c r="AI23" s="743">
        <v>41472</v>
      </c>
      <c r="AJ23" s="743">
        <v>42641</v>
      </c>
      <c r="AK23" s="743" t="s">
        <v>289</v>
      </c>
      <c r="AL23" s="743"/>
      <c r="AM23" s="743"/>
      <c r="AN23" s="1633">
        <v>415113.21</v>
      </c>
      <c r="AO23" s="235"/>
      <c r="AP23" s="17"/>
      <c r="AR23" s="824" t="s">
        <v>365</v>
      </c>
      <c r="AS23" s="235"/>
      <c r="AT23" s="235"/>
      <c r="AX23" s="235"/>
    </row>
    <row r="24" spans="1:50" s="9" customFormat="1" ht="31.5">
      <c r="A24" s="632" t="s">
        <v>360</v>
      </c>
      <c r="B24" s="632" t="s">
        <v>366</v>
      </c>
      <c r="C24" s="632">
        <v>6898</v>
      </c>
      <c r="D24" s="632" t="s">
        <v>367</v>
      </c>
      <c r="E24" s="632" t="s">
        <v>282</v>
      </c>
      <c r="F24" s="632" t="s">
        <v>368</v>
      </c>
      <c r="G24" s="632" t="s">
        <v>346</v>
      </c>
      <c r="H24" s="632">
        <v>9.9699999999999997E-2</v>
      </c>
      <c r="I24" s="632" t="s">
        <v>189</v>
      </c>
      <c r="J24" s="632">
        <v>111</v>
      </c>
      <c r="K24" s="632"/>
      <c r="L24" s="632"/>
      <c r="M24" s="817">
        <v>0</v>
      </c>
      <c r="N24" s="1631"/>
      <c r="O24" s="1631" t="str">
        <f t="shared" si="9"/>
        <v>ReH 2.995/2021</v>
      </c>
      <c r="P24" s="817">
        <v>7.1800000000000003E-2</v>
      </c>
      <c r="Q24" s="1631">
        <v>32515799.777980469</v>
      </c>
      <c r="R24" s="1634">
        <v>44531</v>
      </c>
      <c r="S24" s="1631" t="str">
        <f t="shared" si="10"/>
        <v>Desp. 521/2022</v>
      </c>
      <c r="T24" s="632" t="s">
        <v>369</v>
      </c>
      <c r="U24" s="743" t="s">
        <v>348</v>
      </c>
      <c r="V24" s="1635">
        <v>2024</v>
      </c>
      <c r="W24" s="1636">
        <v>2949</v>
      </c>
      <c r="X24" s="1637" t="s">
        <v>2196</v>
      </c>
      <c r="Y24" s="632"/>
      <c r="AA24" s="822" t="s">
        <v>189</v>
      </c>
      <c r="AB24" s="820">
        <v>77.349128723029523</v>
      </c>
      <c r="AC24" s="825">
        <v>180.36</v>
      </c>
      <c r="AD24" s="825">
        <v>9354913.9292200413</v>
      </c>
      <c r="AE24" s="743">
        <v>44430</v>
      </c>
      <c r="AF24" s="743">
        <v>44430</v>
      </c>
      <c r="AG24" s="820">
        <v>0</v>
      </c>
      <c r="AH24" s="632"/>
      <c r="AI24" s="743">
        <v>41472</v>
      </c>
      <c r="AJ24" s="743">
        <v>42641</v>
      </c>
      <c r="AK24" s="743" t="s">
        <v>289</v>
      </c>
      <c r="AL24" s="743"/>
      <c r="AM24" s="743"/>
      <c r="AN24" s="1633"/>
      <c r="AO24" s="235"/>
      <c r="AP24" s="17"/>
      <c r="AR24" s="824" t="s">
        <v>370</v>
      </c>
      <c r="AS24" s="235"/>
      <c r="AT24" s="235"/>
      <c r="AX24" s="235"/>
    </row>
    <row r="25" spans="1:50" s="9" customFormat="1" ht="31.5">
      <c r="A25" s="632" t="s">
        <v>371</v>
      </c>
      <c r="B25" s="632" t="s">
        <v>372</v>
      </c>
      <c r="C25" s="632">
        <v>5352</v>
      </c>
      <c r="D25" s="632" t="s">
        <v>373</v>
      </c>
      <c r="E25" s="632" t="s">
        <v>282</v>
      </c>
      <c r="F25" s="632" t="s">
        <v>374</v>
      </c>
      <c r="G25" s="632" t="s">
        <v>346</v>
      </c>
      <c r="H25" s="632">
        <v>9.9699999999999997E-2</v>
      </c>
      <c r="I25" s="632" t="s">
        <v>189</v>
      </c>
      <c r="J25" s="632">
        <v>111</v>
      </c>
      <c r="K25" s="632"/>
      <c r="L25" s="632"/>
      <c r="M25" s="817">
        <v>0</v>
      </c>
      <c r="N25" s="1631"/>
      <c r="O25" s="1631" t="str">
        <f t="shared" si="9"/>
        <v>ReH 2.995/2021</v>
      </c>
      <c r="P25" s="817">
        <v>8.72E-2</v>
      </c>
      <c r="Q25" s="1631">
        <v>27692113.474028908</v>
      </c>
      <c r="R25" s="1634">
        <v>44531</v>
      </c>
      <c r="S25" s="1631" t="str">
        <f t="shared" si="10"/>
        <v>Desp. 521/2022</v>
      </c>
      <c r="T25" s="632" t="s">
        <v>375</v>
      </c>
      <c r="U25" s="743" t="s">
        <v>376</v>
      </c>
      <c r="V25" s="1635">
        <v>2024</v>
      </c>
      <c r="W25" s="1636">
        <v>2940</v>
      </c>
      <c r="X25" s="1637" t="s">
        <v>2196</v>
      </c>
      <c r="Y25" s="632"/>
      <c r="AA25" s="822" t="s">
        <v>189</v>
      </c>
      <c r="AB25" s="820">
        <v>22.580552842543515</v>
      </c>
      <c r="AC25" s="825">
        <v>180.36</v>
      </c>
      <c r="AD25" s="825">
        <v>16232843.86472071</v>
      </c>
      <c r="AE25" s="743">
        <v>44430</v>
      </c>
      <c r="AF25" s="743">
        <v>44430</v>
      </c>
      <c r="AG25" s="820">
        <v>0</v>
      </c>
      <c r="AH25" s="632"/>
      <c r="AI25" s="743">
        <v>41472</v>
      </c>
      <c r="AJ25" s="743">
        <v>42641</v>
      </c>
      <c r="AK25" s="743" t="s">
        <v>289</v>
      </c>
      <c r="AL25" s="743"/>
      <c r="AM25" s="743"/>
      <c r="AN25" s="1633"/>
      <c r="AO25" s="235"/>
      <c r="AP25" s="17"/>
      <c r="AR25" s="824" t="s">
        <v>371</v>
      </c>
      <c r="AS25" s="235"/>
      <c r="AT25" s="235"/>
      <c r="AX25" s="235"/>
    </row>
    <row r="26" spans="1:50" s="9" customFormat="1" ht="31.5">
      <c r="A26" s="632" t="s">
        <v>185</v>
      </c>
      <c r="B26" s="632" t="s">
        <v>377</v>
      </c>
      <c r="C26" s="632">
        <v>5353</v>
      </c>
      <c r="D26" s="632" t="s">
        <v>378</v>
      </c>
      <c r="E26" s="632" t="s">
        <v>282</v>
      </c>
      <c r="F26" s="632" t="s">
        <v>379</v>
      </c>
      <c r="G26" s="632" t="s">
        <v>346</v>
      </c>
      <c r="H26" s="632">
        <v>9.9699999999999997E-2</v>
      </c>
      <c r="I26" s="632" t="s">
        <v>189</v>
      </c>
      <c r="J26" s="632">
        <v>111</v>
      </c>
      <c r="K26" s="632"/>
      <c r="L26" s="632"/>
      <c r="M26" s="817">
        <v>0</v>
      </c>
      <c r="N26" s="1631"/>
      <c r="O26" s="1631" t="str">
        <f t="shared" si="9"/>
        <v>ReH 2.995/2021</v>
      </c>
      <c r="P26" s="817">
        <v>5.5899999999999998E-2</v>
      </c>
      <c r="Q26" s="1632">
        <v>21470201.670165978</v>
      </c>
      <c r="R26" s="1634">
        <v>44531</v>
      </c>
      <c r="S26" s="1631" t="str">
        <f t="shared" si="10"/>
        <v>Desp. 521/2022</v>
      </c>
      <c r="T26" s="632" t="s">
        <v>380</v>
      </c>
      <c r="U26" s="743" t="s">
        <v>381</v>
      </c>
      <c r="V26" s="1635">
        <v>2024</v>
      </c>
      <c r="W26" s="1636">
        <v>2950</v>
      </c>
      <c r="X26" s="1637" t="s">
        <v>2196</v>
      </c>
      <c r="Y26" s="632"/>
      <c r="AA26" s="822" t="s">
        <v>189</v>
      </c>
      <c r="AB26" s="820">
        <v>133.2436333697292</v>
      </c>
      <c r="AC26" s="825">
        <v>180.36</v>
      </c>
      <c r="AD26" s="825">
        <v>755772.02907041553</v>
      </c>
      <c r="AE26" s="743">
        <v>44430</v>
      </c>
      <c r="AF26" s="743">
        <v>44430</v>
      </c>
      <c r="AG26" s="820">
        <v>0</v>
      </c>
      <c r="AH26" s="632"/>
      <c r="AI26" s="743">
        <v>41472</v>
      </c>
      <c r="AJ26" s="743">
        <v>42641</v>
      </c>
      <c r="AK26" s="743" t="s">
        <v>289</v>
      </c>
      <c r="AL26" s="743"/>
      <c r="AM26" s="743"/>
      <c r="AN26" s="1633">
        <v>1175911.3899999999</v>
      </c>
      <c r="AO26" s="235"/>
      <c r="AP26" s="17"/>
      <c r="AR26" s="824" t="s">
        <v>182</v>
      </c>
      <c r="AS26" s="235"/>
      <c r="AT26" s="235"/>
      <c r="AX26" s="235"/>
    </row>
    <row r="27" spans="1:50" s="9" customFormat="1" ht="31.5">
      <c r="A27" s="632" t="s">
        <v>382</v>
      </c>
      <c r="B27" s="632" t="s">
        <v>383</v>
      </c>
      <c r="C27" s="632">
        <v>5355</v>
      </c>
      <c r="D27" s="632" t="s">
        <v>384</v>
      </c>
      <c r="E27" s="632" t="s">
        <v>282</v>
      </c>
      <c r="F27" s="632" t="s">
        <v>385</v>
      </c>
      <c r="G27" s="632" t="s">
        <v>346</v>
      </c>
      <c r="H27" s="632">
        <v>9.9699999999999997E-2</v>
      </c>
      <c r="I27" s="632" t="s">
        <v>189</v>
      </c>
      <c r="J27" s="632">
        <v>111</v>
      </c>
      <c r="K27" s="632"/>
      <c r="L27" s="632"/>
      <c r="M27" s="817">
        <v>0</v>
      </c>
      <c r="N27" s="1631"/>
      <c r="O27" s="1631" t="str">
        <f t="shared" si="9"/>
        <v>ReH 2.995/2021</v>
      </c>
      <c r="P27" s="817">
        <v>9.4600000000000004E-2</v>
      </c>
      <c r="Q27" s="1631">
        <v>8199512.497046981</v>
      </c>
      <c r="R27" s="1634">
        <v>44531</v>
      </c>
      <c r="S27" s="1631" t="str">
        <f t="shared" si="10"/>
        <v>Desp. 521/2022</v>
      </c>
      <c r="T27" s="632" t="s">
        <v>386</v>
      </c>
      <c r="U27" s="743" t="s">
        <v>387</v>
      </c>
      <c r="V27" s="1635">
        <v>2025</v>
      </c>
      <c r="W27" s="1636">
        <v>2957</v>
      </c>
      <c r="X27" s="1637" t="s">
        <v>2196</v>
      </c>
      <c r="Y27" s="632"/>
      <c r="AA27" s="822" t="s">
        <v>189</v>
      </c>
      <c r="AB27" s="820">
        <v>52.855625463016914</v>
      </c>
      <c r="AC27" s="825">
        <v>180.36</v>
      </c>
      <c r="AD27" s="825">
        <v>3264076.527192608</v>
      </c>
      <c r="AE27" s="743">
        <v>44430</v>
      </c>
      <c r="AF27" s="743">
        <v>44430</v>
      </c>
      <c r="AG27" s="820">
        <v>0</v>
      </c>
      <c r="AH27" s="632"/>
      <c r="AI27" s="743">
        <v>41365</v>
      </c>
      <c r="AJ27" s="743">
        <v>42641</v>
      </c>
      <c r="AK27" s="743" t="s">
        <v>289</v>
      </c>
      <c r="AL27" s="743"/>
      <c r="AM27" s="743"/>
      <c r="AN27" s="1633"/>
      <c r="AO27" s="235"/>
      <c r="AP27" s="17"/>
      <c r="AR27" s="824" t="s">
        <v>388</v>
      </c>
      <c r="AS27" s="235"/>
      <c r="AT27" s="235"/>
      <c r="AX27" s="235"/>
    </row>
    <row r="28" spans="1:50" s="9" customFormat="1" ht="31.5">
      <c r="A28" s="632" t="s">
        <v>389</v>
      </c>
      <c r="B28" s="632" t="s">
        <v>390</v>
      </c>
      <c r="C28" s="632">
        <v>5363</v>
      </c>
      <c r="D28" s="632" t="s">
        <v>391</v>
      </c>
      <c r="E28" s="632" t="s">
        <v>282</v>
      </c>
      <c r="F28" s="632" t="s">
        <v>392</v>
      </c>
      <c r="G28" s="632" t="s">
        <v>346</v>
      </c>
      <c r="H28" s="632">
        <v>9.9699999999999997E-2</v>
      </c>
      <c r="I28" s="632" t="s">
        <v>189</v>
      </c>
      <c r="J28" s="632">
        <v>111</v>
      </c>
      <c r="K28" s="632"/>
      <c r="L28" s="632"/>
      <c r="M28" s="817">
        <v>0</v>
      </c>
      <c r="N28" s="1631"/>
      <c r="O28" s="1631" t="str">
        <f t="shared" si="9"/>
        <v>ReH 2.995/2021</v>
      </c>
      <c r="P28" s="817">
        <v>8.7799999999999989E-2</v>
      </c>
      <c r="Q28" s="1631">
        <v>9453809.4927214365</v>
      </c>
      <c r="R28" s="1634">
        <v>44531</v>
      </c>
      <c r="S28" s="1631" t="str">
        <f t="shared" si="10"/>
        <v>Desp. 521/2022</v>
      </c>
      <c r="T28" s="632" t="s">
        <v>393</v>
      </c>
      <c r="U28" s="743" t="s">
        <v>348</v>
      </c>
      <c r="V28" s="1635">
        <v>2024</v>
      </c>
      <c r="W28" s="1636">
        <v>2947</v>
      </c>
      <c r="X28" s="1637" t="s">
        <v>2196</v>
      </c>
      <c r="Y28" s="632"/>
      <c r="AA28" s="822" t="s">
        <v>189</v>
      </c>
      <c r="AB28" s="820">
        <v>58.247314361695402</v>
      </c>
      <c r="AC28" s="825">
        <v>180.36</v>
      </c>
      <c r="AD28" s="825">
        <v>2499952.1881573107</v>
      </c>
      <c r="AE28" s="743">
        <v>44430</v>
      </c>
      <c r="AF28" s="743">
        <v>44430</v>
      </c>
      <c r="AG28" s="820">
        <v>0</v>
      </c>
      <c r="AH28" s="632"/>
      <c r="AI28" s="743">
        <v>41472</v>
      </c>
      <c r="AJ28" s="743">
        <v>42641</v>
      </c>
      <c r="AK28" s="743" t="s">
        <v>289</v>
      </c>
      <c r="AL28" s="743"/>
      <c r="AM28" s="743"/>
      <c r="AN28" s="1633"/>
      <c r="AO28" s="235"/>
      <c r="AP28" s="17"/>
      <c r="AR28" s="824" t="s">
        <v>185</v>
      </c>
      <c r="AS28" s="235"/>
      <c r="AT28" s="235"/>
      <c r="AX28" s="235"/>
    </row>
    <row r="29" spans="1:50" s="9" customFormat="1" ht="31.5">
      <c r="A29" s="632" t="s">
        <v>394</v>
      </c>
      <c r="B29" s="632" t="s">
        <v>395</v>
      </c>
      <c r="C29" s="632">
        <v>5364</v>
      </c>
      <c r="D29" s="632" t="s">
        <v>396</v>
      </c>
      <c r="E29" s="632" t="s">
        <v>282</v>
      </c>
      <c r="F29" s="632" t="s">
        <v>397</v>
      </c>
      <c r="G29" s="632" t="s">
        <v>346</v>
      </c>
      <c r="H29" s="632">
        <v>9.9699999999999997E-2</v>
      </c>
      <c r="I29" s="632" t="s">
        <v>189</v>
      </c>
      <c r="J29" s="632">
        <v>111</v>
      </c>
      <c r="K29" s="632"/>
      <c r="L29" s="632"/>
      <c r="M29" s="817">
        <v>0</v>
      </c>
      <c r="N29" s="1631"/>
      <c r="O29" s="1631" t="str">
        <f t="shared" si="9"/>
        <v>ReH 2.995/2021</v>
      </c>
      <c r="P29" s="817">
        <v>8.8100000000000012E-2</v>
      </c>
      <c r="Q29" s="1631">
        <v>28651980.425397582</v>
      </c>
      <c r="R29" s="1634">
        <v>44531</v>
      </c>
      <c r="S29" s="1631" t="str">
        <f t="shared" si="10"/>
        <v>Desp. 521/2022</v>
      </c>
      <c r="T29" s="632" t="s">
        <v>398</v>
      </c>
      <c r="U29" s="743" t="s">
        <v>399</v>
      </c>
      <c r="V29" s="632">
        <v>2022</v>
      </c>
      <c r="W29" s="1636">
        <v>2951</v>
      </c>
      <c r="X29" s="1637" t="s">
        <v>2196</v>
      </c>
      <c r="Y29" s="632"/>
      <c r="AA29" s="822" t="s">
        <v>189</v>
      </c>
      <c r="AB29" s="820">
        <v>179.67819908532709</v>
      </c>
      <c r="AC29" s="825">
        <v>180.36</v>
      </c>
      <c r="AD29" s="825">
        <v>1205667.8282342954</v>
      </c>
      <c r="AE29" s="743">
        <v>44430</v>
      </c>
      <c r="AF29" s="743">
        <v>44430</v>
      </c>
      <c r="AG29" s="820">
        <v>0</v>
      </c>
      <c r="AH29" s="632"/>
      <c r="AI29" s="743">
        <v>41365</v>
      </c>
      <c r="AJ29" s="743">
        <v>42641</v>
      </c>
      <c r="AK29" s="743" t="s">
        <v>289</v>
      </c>
      <c r="AL29" s="743"/>
      <c r="AM29" s="743"/>
      <c r="AN29" s="1633"/>
      <c r="AO29" s="235"/>
      <c r="AP29" s="17"/>
      <c r="AR29" s="824" t="s">
        <v>382</v>
      </c>
      <c r="AS29" s="235"/>
      <c r="AT29" s="235"/>
      <c r="AX29" s="235"/>
    </row>
    <row r="30" spans="1:50" s="9" customFormat="1" ht="31.5">
      <c r="A30" s="632" t="s">
        <v>400</v>
      </c>
      <c r="B30" s="632" t="s">
        <v>401</v>
      </c>
      <c r="C30" s="632">
        <v>5365</v>
      </c>
      <c r="D30" s="632" t="s">
        <v>402</v>
      </c>
      <c r="E30" s="632" t="s">
        <v>282</v>
      </c>
      <c r="F30" s="632" t="s">
        <v>403</v>
      </c>
      <c r="G30" s="632" t="s">
        <v>346</v>
      </c>
      <c r="H30" s="632">
        <v>9.9699999999999997E-2</v>
      </c>
      <c r="I30" s="632" t="s">
        <v>189</v>
      </c>
      <c r="J30" s="632">
        <v>111</v>
      </c>
      <c r="K30" s="632"/>
      <c r="L30" s="632"/>
      <c r="M30" s="817">
        <v>0</v>
      </c>
      <c r="N30" s="1631"/>
      <c r="O30" s="1631" t="str">
        <f t="shared" si="9"/>
        <v>ReH 2.995/2021</v>
      </c>
      <c r="P30" s="817">
        <v>8.5999999999999993E-2</v>
      </c>
      <c r="Q30" s="1631">
        <v>22196667.859687008</v>
      </c>
      <c r="R30" s="1634">
        <v>44531</v>
      </c>
      <c r="S30" s="1631" t="str">
        <f t="shared" si="10"/>
        <v>Desp. 521/2022</v>
      </c>
      <c r="T30" s="632" t="s">
        <v>404</v>
      </c>
      <c r="U30" s="743" t="s">
        <v>348</v>
      </c>
      <c r="V30" s="1635">
        <v>2024</v>
      </c>
      <c r="W30" s="1636">
        <v>2941</v>
      </c>
      <c r="X30" s="1637" t="s">
        <v>2196</v>
      </c>
      <c r="Y30" s="632"/>
      <c r="AA30" s="822" t="s">
        <v>189</v>
      </c>
      <c r="AB30" s="820">
        <v>91.699587599428298</v>
      </c>
      <c r="AC30" s="825">
        <v>180.36</v>
      </c>
      <c r="AD30" s="825">
        <v>3495955.8527844017</v>
      </c>
      <c r="AE30" s="743">
        <v>44430</v>
      </c>
      <c r="AF30" s="743">
        <v>44430</v>
      </c>
      <c r="AG30" s="820">
        <v>0</v>
      </c>
      <c r="AH30" s="632"/>
      <c r="AI30" s="743">
        <v>41472</v>
      </c>
      <c r="AJ30" s="743">
        <v>42641</v>
      </c>
      <c r="AK30" s="743" t="s">
        <v>289</v>
      </c>
      <c r="AL30" s="743"/>
      <c r="AM30" s="743"/>
      <c r="AN30" s="1633"/>
      <c r="AO30" s="235"/>
      <c r="AP30" s="17"/>
      <c r="AR30" s="824" t="s">
        <v>389</v>
      </c>
      <c r="AS30" s="235"/>
      <c r="AT30" s="235"/>
      <c r="AX30" s="235"/>
    </row>
    <row r="31" spans="1:50" s="9" customFormat="1" ht="31.5">
      <c r="A31" s="632" t="s">
        <v>405</v>
      </c>
      <c r="B31" s="632" t="s">
        <v>406</v>
      </c>
      <c r="C31" s="632">
        <v>5368</v>
      </c>
      <c r="D31" s="632" t="s">
        <v>407</v>
      </c>
      <c r="E31" s="632" t="s">
        <v>282</v>
      </c>
      <c r="F31" s="632" t="s">
        <v>408</v>
      </c>
      <c r="G31" s="632" t="s">
        <v>346</v>
      </c>
      <c r="H31" s="632">
        <v>9.9699999999999997E-2</v>
      </c>
      <c r="I31" s="632" t="s">
        <v>189</v>
      </c>
      <c r="J31" s="632">
        <v>111</v>
      </c>
      <c r="K31" s="632"/>
      <c r="L31" s="632"/>
      <c r="M31" s="817">
        <v>0</v>
      </c>
      <c r="N31" s="1631"/>
      <c r="O31" s="1631" t="str">
        <f t="shared" si="9"/>
        <v>ReH 2.995/2021</v>
      </c>
      <c r="P31" s="817">
        <v>0.15049999999999999</v>
      </c>
      <c r="Q31" s="1632">
        <v>35954089.405949146</v>
      </c>
      <c r="R31" s="1634">
        <v>44531</v>
      </c>
      <c r="S31" s="1631" t="str">
        <f t="shared" si="10"/>
        <v>Desp. 521/2022</v>
      </c>
      <c r="T31" s="632" t="s">
        <v>409</v>
      </c>
      <c r="U31" s="743" t="s">
        <v>348</v>
      </c>
      <c r="V31" s="1635">
        <v>2024</v>
      </c>
      <c r="W31" s="1636">
        <v>2953</v>
      </c>
      <c r="X31" s="1637" t="s">
        <v>2196</v>
      </c>
      <c r="Y31" s="632"/>
      <c r="AA31" s="822" t="s">
        <v>189</v>
      </c>
      <c r="AB31" s="820">
        <v>61.746716264073157</v>
      </c>
      <c r="AC31" s="825">
        <v>180.36</v>
      </c>
      <c r="AD31" s="825">
        <v>18151717.219335504</v>
      </c>
      <c r="AE31" s="743">
        <v>44430</v>
      </c>
      <c r="AF31" s="743">
        <v>44430</v>
      </c>
      <c r="AG31" s="820">
        <v>0</v>
      </c>
      <c r="AH31" s="632"/>
      <c r="AI31" s="743">
        <v>41472</v>
      </c>
      <c r="AJ31" s="743">
        <v>42641</v>
      </c>
      <c r="AK31" s="743" t="s">
        <v>289</v>
      </c>
      <c r="AL31" s="743"/>
      <c r="AM31" s="743"/>
      <c r="AN31" s="1633"/>
      <c r="AO31" s="235"/>
      <c r="AP31" s="17"/>
      <c r="AR31" s="824" t="s">
        <v>175</v>
      </c>
      <c r="AS31" s="235"/>
      <c r="AT31" s="235"/>
      <c r="AX31" s="235"/>
    </row>
    <row r="32" spans="1:50" s="9" customFormat="1" ht="31.5">
      <c r="A32" s="632" t="s">
        <v>410</v>
      </c>
      <c r="B32" s="632" t="s">
        <v>411</v>
      </c>
      <c r="C32" s="632">
        <v>5369</v>
      </c>
      <c r="D32" s="632" t="s">
        <v>412</v>
      </c>
      <c r="E32" s="632" t="s">
        <v>282</v>
      </c>
      <c r="F32" s="632" t="s">
        <v>413</v>
      </c>
      <c r="G32" s="632" t="s">
        <v>346</v>
      </c>
      <c r="H32" s="632">
        <v>9.9699999999999997E-2</v>
      </c>
      <c r="I32" s="632" t="s">
        <v>189</v>
      </c>
      <c r="J32" s="632">
        <v>111</v>
      </c>
      <c r="K32" s="632"/>
      <c r="L32" s="632"/>
      <c r="M32" s="817">
        <v>0</v>
      </c>
      <c r="N32" s="1631"/>
      <c r="O32" s="1631" t="str">
        <f t="shared" si="9"/>
        <v>ReH 2.995/2021</v>
      </c>
      <c r="P32" s="817">
        <v>8.4100000000000008E-2</v>
      </c>
      <c r="Q32" s="1632">
        <v>13590865.443045003</v>
      </c>
      <c r="R32" s="1634">
        <v>44531</v>
      </c>
      <c r="S32" s="1631" t="str">
        <f t="shared" si="10"/>
        <v>Desp. 521/2022</v>
      </c>
      <c r="T32" s="632" t="s">
        <v>414</v>
      </c>
      <c r="U32" s="743" t="s">
        <v>387</v>
      </c>
      <c r="V32" s="1635">
        <v>2025</v>
      </c>
      <c r="W32" s="1636">
        <v>2943</v>
      </c>
      <c r="X32" s="1637" t="s">
        <v>2196</v>
      </c>
      <c r="Y32" s="632"/>
      <c r="AA32" s="822" t="s">
        <v>189</v>
      </c>
      <c r="AB32" s="820">
        <v>81.509152888329083</v>
      </c>
      <c r="AC32" s="825">
        <v>180.36</v>
      </c>
      <c r="AD32" s="825">
        <v>2315515.5721165724</v>
      </c>
      <c r="AE32" s="743">
        <v>44430</v>
      </c>
      <c r="AF32" s="743">
        <v>44430</v>
      </c>
      <c r="AG32" s="820">
        <v>0</v>
      </c>
      <c r="AH32" s="632"/>
      <c r="AI32" s="743">
        <v>41365</v>
      </c>
      <c r="AJ32" s="743">
        <v>42641</v>
      </c>
      <c r="AK32" s="743" t="s">
        <v>289</v>
      </c>
      <c r="AL32" s="743"/>
      <c r="AM32" s="743"/>
      <c r="AN32" s="1633"/>
      <c r="AO32" s="235"/>
      <c r="AP32" s="17"/>
      <c r="AR32" s="824" t="s">
        <v>296</v>
      </c>
      <c r="AS32" s="235"/>
      <c r="AT32" s="235"/>
      <c r="AX32" s="235"/>
    </row>
    <row r="33" spans="1:50" s="9" customFormat="1" ht="31.5">
      <c r="A33" s="632" t="s">
        <v>188</v>
      </c>
      <c r="B33" s="632" t="s">
        <v>415</v>
      </c>
      <c r="C33" s="632">
        <v>5370</v>
      </c>
      <c r="D33" s="632" t="s">
        <v>416</v>
      </c>
      <c r="E33" s="632" t="s">
        <v>282</v>
      </c>
      <c r="F33" s="632" t="s">
        <v>417</v>
      </c>
      <c r="G33" s="632" t="s">
        <v>346</v>
      </c>
      <c r="H33" s="632">
        <v>9.9699999999999997E-2</v>
      </c>
      <c r="I33" s="632" t="s">
        <v>189</v>
      </c>
      <c r="J33" s="632">
        <v>111</v>
      </c>
      <c r="K33" s="632"/>
      <c r="L33" s="632"/>
      <c r="M33" s="817">
        <v>0</v>
      </c>
      <c r="N33" s="1631"/>
      <c r="O33" s="1631" t="str">
        <f t="shared" si="9"/>
        <v>ReH 2.995/2021</v>
      </c>
      <c r="P33" s="817">
        <v>0.1076</v>
      </c>
      <c r="Q33" s="1632">
        <v>60899756.095931061</v>
      </c>
      <c r="R33" s="1634">
        <v>44531</v>
      </c>
      <c r="S33" s="1631" t="str">
        <f t="shared" si="10"/>
        <v>Desp. 521/2022</v>
      </c>
      <c r="T33" s="632" t="s">
        <v>418</v>
      </c>
      <c r="U33" s="743" t="s">
        <v>348</v>
      </c>
      <c r="V33" s="1635">
        <v>2024</v>
      </c>
      <c r="W33" s="1636">
        <v>2937</v>
      </c>
      <c r="X33" s="1637" t="s">
        <v>2196</v>
      </c>
      <c r="Y33" s="632"/>
      <c r="AA33" s="822" t="s">
        <v>189</v>
      </c>
      <c r="AB33" s="820">
        <v>214.41662426644362</v>
      </c>
      <c r="AC33" s="825">
        <v>180.36</v>
      </c>
      <c r="AD33" s="825">
        <v>0</v>
      </c>
      <c r="AE33" s="743">
        <v>44430</v>
      </c>
      <c r="AF33" s="743">
        <v>44430</v>
      </c>
      <c r="AG33" s="820">
        <v>0</v>
      </c>
      <c r="AH33" s="632"/>
      <c r="AI33" s="743">
        <v>41472</v>
      </c>
      <c r="AJ33" s="743">
        <v>42641</v>
      </c>
      <c r="AK33" s="743" t="s">
        <v>289</v>
      </c>
      <c r="AL33" s="743"/>
      <c r="AM33" s="743"/>
      <c r="AN33" s="1633">
        <v>9419991.3800000008</v>
      </c>
      <c r="AO33" s="235"/>
      <c r="AP33" s="17"/>
      <c r="AR33" s="824" t="s">
        <v>302</v>
      </c>
      <c r="AS33" s="235"/>
      <c r="AT33" s="235"/>
      <c r="AX33" s="235"/>
    </row>
    <row r="34" spans="1:50" s="9" customFormat="1" ht="31.5">
      <c r="A34" s="632" t="s">
        <v>419</v>
      </c>
      <c r="B34" s="632" t="s">
        <v>420</v>
      </c>
      <c r="C34" s="632">
        <v>5371</v>
      </c>
      <c r="D34" s="632" t="s">
        <v>421</v>
      </c>
      <c r="E34" s="632" t="s">
        <v>282</v>
      </c>
      <c r="F34" s="632" t="s">
        <v>422</v>
      </c>
      <c r="G34" s="632" t="s">
        <v>346</v>
      </c>
      <c r="H34" s="632">
        <v>9.9699999999999997E-2</v>
      </c>
      <c r="I34" s="632" t="s">
        <v>189</v>
      </c>
      <c r="J34" s="632">
        <v>111</v>
      </c>
      <c r="K34" s="632" t="s">
        <v>423</v>
      </c>
      <c r="L34" s="632">
        <v>144</v>
      </c>
      <c r="M34" s="817">
        <v>0</v>
      </c>
      <c r="N34" s="1631"/>
      <c r="O34" s="1631" t="str">
        <f t="shared" si="9"/>
        <v>ReH 2.995/2021</v>
      </c>
      <c r="P34" s="817">
        <v>9.5000000000000001E-2</v>
      </c>
      <c r="Q34" s="1631">
        <v>19126030.720523704</v>
      </c>
      <c r="R34" s="1634">
        <v>44531</v>
      </c>
      <c r="S34" s="1631" t="str">
        <f t="shared" si="10"/>
        <v>Desp. 521/2022</v>
      </c>
      <c r="T34" s="632" t="s">
        <v>424</v>
      </c>
      <c r="U34" s="743" t="s">
        <v>425</v>
      </c>
      <c r="V34" s="632">
        <v>2022</v>
      </c>
      <c r="W34" s="1636">
        <v>2948</v>
      </c>
      <c r="X34" s="1637" t="s">
        <v>2196</v>
      </c>
      <c r="Y34" s="632"/>
      <c r="AA34" s="822" t="s">
        <v>189</v>
      </c>
      <c r="AB34" s="820">
        <v>144.17854635765113</v>
      </c>
      <c r="AC34" s="825">
        <v>180.36</v>
      </c>
      <c r="AD34" s="825">
        <v>3162343.6648914311</v>
      </c>
      <c r="AE34" s="743">
        <v>44430</v>
      </c>
      <c r="AF34" s="743">
        <v>44430</v>
      </c>
      <c r="AG34" s="820">
        <v>0</v>
      </c>
      <c r="AH34" s="632"/>
      <c r="AI34" s="743">
        <v>41365</v>
      </c>
      <c r="AJ34" s="743">
        <v>42641</v>
      </c>
      <c r="AK34" s="743" t="s">
        <v>289</v>
      </c>
      <c r="AL34" s="743"/>
      <c r="AM34" s="743"/>
      <c r="AN34" s="1633"/>
      <c r="AO34" s="235"/>
      <c r="AP34" s="17"/>
      <c r="AR34" s="824" t="s">
        <v>308</v>
      </c>
      <c r="AS34" s="235"/>
      <c r="AT34" s="235"/>
      <c r="AX34" s="235"/>
    </row>
    <row r="35" spans="1:50" s="9" customFormat="1" ht="31.5">
      <c r="A35" s="632" t="s">
        <v>426</v>
      </c>
      <c r="B35" s="632" t="s">
        <v>427</v>
      </c>
      <c r="C35" s="632">
        <v>5373</v>
      </c>
      <c r="D35" s="632" t="s">
        <v>428</v>
      </c>
      <c r="E35" s="632" t="s">
        <v>282</v>
      </c>
      <c r="F35" s="632" t="s">
        <v>429</v>
      </c>
      <c r="G35" s="632" t="s">
        <v>346</v>
      </c>
      <c r="H35" s="632">
        <v>9.9699999999999997E-2</v>
      </c>
      <c r="I35" s="632" t="s">
        <v>189</v>
      </c>
      <c r="J35" s="632">
        <v>111</v>
      </c>
      <c r="K35" s="632"/>
      <c r="L35" s="632"/>
      <c r="M35" s="817">
        <v>0</v>
      </c>
      <c r="N35" s="1631"/>
      <c r="O35" s="1631" t="str">
        <f t="shared" si="9"/>
        <v>ReH 2.995/2021</v>
      </c>
      <c r="P35" s="817">
        <v>0.1487</v>
      </c>
      <c r="Q35" s="1631">
        <v>2738505.6826723199</v>
      </c>
      <c r="R35" s="1634">
        <v>44531</v>
      </c>
      <c r="S35" s="1631" t="str">
        <f t="shared" si="10"/>
        <v>Desp. 521/2022</v>
      </c>
      <c r="T35" s="632" t="s">
        <v>430</v>
      </c>
      <c r="U35" s="743" t="s">
        <v>381</v>
      </c>
      <c r="V35" s="1635">
        <v>2024</v>
      </c>
      <c r="W35" s="1636">
        <v>2942</v>
      </c>
      <c r="X35" s="1637" t="s">
        <v>2196</v>
      </c>
      <c r="Y35" s="632"/>
      <c r="AA35" s="822" t="s">
        <v>189</v>
      </c>
      <c r="AB35" s="820">
        <v>63.276120153090822</v>
      </c>
      <c r="AC35" s="825">
        <v>180.36</v>
      </c>
      <c r="AD35" s="825">
        <v>1357439.1316492993</v>
      </c>
      <c r="AE35" s="743">
        <v>44430</v>
      </c>
      <c r="AF35" s="743">
        <v>44430</v>
      </c>
      <c r="AG35" s="820">
        <v>0</v>
      </c>
      <c r="AH35" s="632"/>
      <c r="AI35" s="743">
        <v>41472</v>
      </c>
      <c r="AJ35" s="743">
        <v>42641</v>
      </c>
      <c r="AK35" s="743" t="s">
        <v>289</v>
      </c>
      <c r="AL35" s="743"/>
      <c r="AM35" s="743"/>
      <c r="AN35" s="1633"/>
      <c r="AO35" s="235"/>
      <c r="AP35" s="17"/>
      <c r="AR35" s="824" t="s">
        <v>315</v>
      </c>
      <c r="AS35" s="235"/>
      <c r="AT35" s="235"/>
      <c r="AX35" s="235"/>
    </row>
    <row r="36" spans="1:50" s="9" customFormat="1" ht="31.5">
      <c r="A36" s="632" t="s">
        <v>431</v>
      </c>
      <c r="B36" s="632" t="s">
        <v>432</v>
      </c>
      <c r="C36" s="632">
        <v>7016</v>
      </c>
      <c r="D36" s="632" t="s">
        <v>433</v>
      </c>
      <c r="E36" s="632" t="s">
        <v>282</v>
      </c>
      <c r="F36" s="632" t="s">
        <v>434</v>
      </c>
      <c r="G36" s="632" t="s">
        <v>346</v>
      </c>
      <c r="H36" s="632">
        <v>9.9699999999999997E-2</v>
      </c>
      <c r="I36" s="632" t="s">
        <v>189</v>
      </c>
      <c r="J36" s="632">
        <v>111</v>
      </c>
      <c r="K36" s="632"/>
      <c r="L36" s="632"/>
      <c r="M36" s="817">
        <v>0</v>
      </c>
      <c r="N36" s="1631"/>
      <c r="O36" s="1631" t="str">
        <f t="shared" si="9"/>
        <v>ReH 2.995/2021</v>
      </c>
      <c r="P36" s="817">
        <v>0.14050000000000001</v>
      </c>
      <c r="Q36" s="1632">
        <v>17300202.805932775</v>
      </c>
      <c r="R36" s="1634">
        <v>44531</v>
      </c>
      <c r="S36" s="1631" t="str">
        <f t="shared" si="10"/>
        <v>Desp. 521/2022</v>
      </c>
      <c r="T36" s="632" t="s">
        <v>435</v>
      </c>
      <c r="U36" s="743" t="s">
        <v>348</v>
      </c>
      <c r="V36" s="1635">
        <v>2024</v>
      </c>
      <c r="W36" s="1636">
        <v>2956</v>
      </c>
      <c r="X36" s="1637" t="s">
        <v>2196</v>
      </c>
      <c r="Y36" s="632"/>
      <c r="AA36" s="822" t="s">
        <v>189</v>
      </c>
      <c r="AB36" s="820">
        <v>49.410527393388534</v>
      </c>
      <c r="AC36" s="825">
        <v>180.36</v>
      </c>
      <c r="AD36" s="825">
        <v>6872759.7273220662</v>
      </c>
      <c r="AE36" s="743">
        <v>44430</v>
      </c>
      <c r="AF36" s="743">
        <v>44430</v>
      </c>
      <c r="AG36" s="820">
        <v>0</v>
      </c>
      <c r="AH36" s="632"/>
      <c r="AI36" s="743">
        <v>41472</v>
      </c>
      <c r="AJ36" s="743">
        <v>42641</v>
      </c>
      <c r="AK36" s="743" t="s">
        <v>289</v>
      </c>
      <c r="AL36" s="743"/>
      <c r="AM36" s="743"/>
      <c r="AN36" s="1633"/>
      <c r="AO36" s="235"/>
      <c r="AP36" s="17"/>
      <c r="AR36" s="824" t="s">
        <v>436</v>
      </c>
      <c r="AS36" s="235"/>
      <c r="AT36" s="235"/>
      <c r="AX36" s="235"/>
    </row>
    <row r="37" spans="1:50" s="9" customFormat="1" ht="31.5">
      <c r="A37" s="632" t="s">
        <v>175</v>
      </c>
      <c r="B37" s="632" t="s">
        <v>437</v>
      </c>
      <c r="C37" s="632">
        <v>2763</v>
      </c>
      <c r="D37" s="632" t="s">
        <v>438</v>
      </c>
      <c r="E37" s="632" t="s">
        <v>282</v>
      </c>
      <c r="F37" s="632" t="s">
        <v>439</v>
      </c>
      <c r="G37" s="632" t="s">
        <v>440</v>
      </c>
      <c r="H37" s="632">
        <v>9.9699999999999997E-2</v>
      </c>
      <c r="I37" s="632" t="s">
        <v>206</v>
      </c>
      <c r="J37" s="632">
        <v>167</v>
      </c>
      <c r="K37" s="632"/>
      <c r="L37" s="632"/>
      <c r="M37" s="817">
        <v>0</v>
      </c>
      <c r="N37" s="1631"/>
      <c r="O37" s="1631" t="str">
        <f t="shared" si="9"/>
        <v>ReH 2.995/2021</v>
      </c>
      <c r="P37" s="817">
        <v>0.21060000000000001</v>
      </c>
      <c r="Q37" s="1631">
        <v>40296212.128956385</v>
      </c>
      <c r="R37" s="1634">
        <v>44531</v>
      </c>
      <c r="S37" s="1631" t="str">
        <f t="shared" si="10"/>
        <v>Desp. 521/2022</v>
      </c>
      <c r="T37" s="632" t="s">
        <v>441</v>
      </c>
      <c r="U37" s="743" t="s">
        <v>442</v>
      </c>
      <c r="V37" s="632">
        <v>2022</v>
      </c>
      <c r="W37" s="1636">
        <v>2917</v>
      </c>
      <c r="X37" s="1637" t="s">
        <v>2194</v>
      </c>
      <c r="Y37" s="632"/>
      <c r="AA37" s="822" t="s">
        <v>206</v>
      </c>
      <c r="AB37" s="820">
        <v>29.55</v>
      </c>
      <c r="AC37" s="825">
        <v>108.15</v>
      </c>
      <c r="AD37" s="825">
        <v>14515437.369999999</v>
      </c>
      <c r="AE37" s="743">
        <v>43270</v>
      </c>
      <c r="AF37" s="743">
        <v>43270</v>
      </c>
      <c r="AG37" s="820">
        <v>0</v>
      </c>
      <c r="AH37" s="632"/>
      <c r="AI37" s="743">
        <v>41365</v>
      </c>
      <c r="AJ37" s="743">
        <v>42551</v>
      </c>
      <c r="AK37" s="743" t="s">
        <v>289</v>
      </c>
      <c r="AL37" s="743"/>
      <c r="AM37" s="743"/>
      <c r="AN37" s="1633">
        <v>2202975.46</v>
      </c>
      <c r="AO37" s="235"/>
      <c r="AP37" s="17"/>
      <c r="AR37" s="824" t="s">
        <v>394</v>
      </c>
      <c r="AS37" s="235"/>
      <c r="AT37" s="235"/>
      <c r="AX37" s="235"/>
    </row>
    <row r="38" spans="1:50" s="9" customFormat="1" ht="31.5">
      <c r="A38" s="632" t="s">
        <v>436</v>
      </c>
      <c r="B38" s="632" t="s">
        <v>443</v>
      </c>
      <c r="C38" s="632">
        <v>2381</v>
      </c>
      <c r="D38" s="632" t="s">
        <v>444</v>
      </c>
      <c r="E38" s="632" t="s">
        <v>282</v>
      </c>
      <c r="F38" s="632" t="s">
        <v>445</v>
      </c>
      <c r="G38" s="632" t="s">
        <v>440</v>
      </c>
      <c r="H38" s="632">
        <v>9.9699999999999997E-2</v>
      </c>
      <c r="I38" s="632" t="s">
        <v>206</v>
      </c>
      <c r="J38" s="632">
        <v>167</v>
      </c>
      <c r="K38" s="632"/>
      <c r="L38" s="632"/>
      <c r="M38" s="817">
        <v>0</v>
      </c>
      <c r="N38" s="1631"/>
      <c r="O38" s="1631" t="str">
        <f t="shared" si="9"/>
        <v>ReH 2.995/2021</v>
      </c>
      <c r="P38" s="817">
        <v>0.1535</v>
      </c>
      <c r="Q38" s="1631">
        <v>57163108.857696883</v>
      </c>
      <c r="R38" s="1634">
        <v>44531</v>
      </c>
      <c r="S38" s="1631" t="str">
        <f t="shared" si="10"/>
        <v>Desp. 521/2022</v>
      </c>
      <c r="T38" s="632" t="s">
        <v>446</v>
      </c>
      <c r="U38" s="743" t="s">
        <v>447</v>
      </c>
      <c r="V38" s="1635">
        <v>2025</v>
      </c>
      <c r="W38" s="1636">
        <v>2904</v>
      </c>
      <c r="X38" s="1637" t="s">
        <v>2194</v>
      </c>
      <c r="Y38" s="632"/>
      <c r="AA38" s="822" t="s">
        <v>206</v>
      </c>
      <c r="AB38" s="820">
        <v>18.75</v>
      </c>
      <c r="AC38" s="825">
        <v>108.15</v>
      </c>
      <c r="AD38" s="825">
        <v>22607799.66</v>
      </c>
      <c r="AE38" s="743">
        <v>43270</v>
      </c>
      <c r="AF38" s="743">
        <v>43270</v>
      </c>
      <c r="AG38" s="820">
        <v>69.23</v>
      </c>
      <c r="AH38" s="743">
        <v>42917</v>
      </c>
      <c r="AI38" s="743">
        <v>41365</v>
      </c>
      <c r="AJ38" s="743">
        <v>42551</v>
      </c>
      <c r="AK38" s="743" t="s">
        <v>289</v>
      </c>
      <c r="AL38" s="743"/>
      <c r="AM38" s="743"/>
      <c r="AN38" s="1633"/>
      <c r="AO38" s="235"/>
      <c r="AP38" s="17"/>
      <c r="AR38" s="824" t="s">
        <v>321</v>
      </c>
      <c r="AS38" s="235"/>
      <c r="AT38" s="235"/>
      <c r="AX38" s="235"/>
    </row>
    <row r="39" spans="1:50" s="9" customFormat="1" ht="31.5">
      <c r="A39" s="632" t="s">
        <v>448</v>
      </c>
      <c r="B39" s="632" t="s">
        <v>449</v>
      </c>
      <c r="C39" s="632">
        <v>3223</v>
      </c>
      <c r="D39" s="632" t="s">
        <v>450</v>
      </c>
      <c r="E39" s="632" t="s">
        <v>282</v>
      </c>
      <c r="F39" s="632" t="s">
        <v>451</v>
      </c>
      <c r="G39" s="632" t="s">
        <v>440</v>
      </c>
      <c r="H39" s="632">
        <v>9.9699999999999997E-2</v>
      </c>
      <c r="I39" s="632" t="s">
        <v>206</v>
      </c>
      <c r="J39" s="632">
        <v>167</v>
      </c>
      <c r="K39" s="632" t="s">
        <v>352</v>
      </c>
      <c r="L39" s="632">
        <v>110</v>
      </c>
      <c r="M39" s="817">
        <v>0</v>
      </c>
      <c r="N39" s="1631"/>
      <c r="O39" s="1631" t="str">
        <f t="shared" si="9"/>
        <v>ReH 2.995/2021</v>
      </c>
      <c r="P39" s="817">
        <v>0.1507</v>
      </c>
      <c r="Q39" s="1631">
        <v>44907656.56835518</v>
      </c>
      <c r="R39" s="1634">
        <v>44531</v>
      </c>
      <c r="S39" s="1631" t="str">
        <f t="shared" si="10"/>
        <v>Desp. 521/2022</v>
      </c>
      <c r="T39" s="632" t="s">
        <v>452</v>
      </c>
      <c r="U39" s="743" t="s">
        <v>453</v>
      </c>
      <c r="V39" s="1635">
        <v>2025</v>
      </c>
      <c r="W39" s="1636">
        <v>2914</v>
      </c>
      <c r="X39" s="1637" t="s">
        <v>2194</v>
      </c>
      <c r="Y39" s="632"/>
      <c r="AA39" s="822" t="s">
        <v>206</v>
      </c>
      <c r="AB39" s="820">
        <v>23.94</v>
      </c>
      <c r="AC39" s="825">
        <v>131.34</v>
      </c>
      <c r="AD39" s="825">
        <v>17583006.989999998</v>
      </c>
      <c r="AE39" s="743">
        <v>43209</v>
      </c>
      <c r="AF39" s="743">
        <v>43270</v>
      </c>
      <c r="AG39" s="820">
        <v>0</v>
      </c>
      <c r="AH39" s="632"/>
      <c r="AI39" s="743">
        <v>41472</v>
      </c>
      <c r="AJ39" s="743">
        <v>42486</v>
      </c>
      <c r="AK39" s="743" t="s">
        <v>289</v>
      </c>
      <c r="AL39" s="743"/>
      <c r="AM39" s="743"/>
      <c r="AN39" s="1633"/>
      <c r="AO39" s="235"/>
      <c r="AP39" s="17"/>
      <c r="AR39" s="824" t="s">
        <v>400</v>
      </c>
      <c r="AS39" s="235"/>
      <c r="AT39" s="235"/>
      <c r="AX39" s="235"/>
    </row>
    <row r="40" spans="1:50" s="9" customFormat="1" ht="31.5">
      <c r="A40" s="632" t="s">
        <v>201</v>
      </c>
      <c r="B40" s="632" t="s">
        <v>454</v>
      </c>
      <c r="C40" s="632">
        <v>7371</v>
      </c>
      <c r="D40" s="632" t="s">
        <v>455</v>
      </c>
      <c r="E40" s="632" t="s">
        <v>282</v>
      </c>
      <c r="F40" s="632" t="s">
        <v>456</v>
      </c>
      <c r="G40" s="632" t="s">
        <v>440</v>
      </c>
      <c r="H40" s="632">
        <v>9.9699999999999997E-2</v>
      </c>
      <c r="I40" s="632" t="s">
        <v>206</v>
      </c>
      <c r="J40" s="632">
        <v>167</v>
      </c>
      <c r="K40" s="632"/>
      <c r="L40" s="632"/>
      <c r="M40" s="817">
        <v>0</v>
      </c>
      <c r="N40" s="1631"/>
      <c r="O40" s="1631" t="str">
        <f t="shared" si="9"/>
        <v>ReH 2.995/2021</v>
      </c>
      <c r="P40" s="817">
        <v>0.15609999999999999</v>
      </c>
      <c r="Q40" s="1631">
        <v>93567555.592848957</v>
      </c>
      <c r="R40" s="1634">
        <v>44531</v>
      </c>
      <c r="S40" s="1631" t="str">
        <f t="shared" si="10"/>
        <v>Desp. 521/2022</v>
      </c>
      <c r="T40" s="632" t="s">
        <v>457</v>
      </c>
      <c r="U40" s="743" t="s">
        <v>458</v>
      </c>
      <c r="V40" s="632">
        <v>2022</v>
      </c>
      <c r="W40" s="1636">
        <v>2916</v>
      </c>
      <c r="X40" s="1637" t="s">
        <v>2194</v>
      </c>
      <c r="Y40" s="632"/>
      <c r="AA40" s="822" t="s">
        <v>206</v>
      </c>
      <c r="AB40" s="820">
        <v>68.319999999999993</v>
      </c>
      <c r="AC40" s="825">
        <v>131.34</v>
      </c>
      <c r="AD40" s="825">
        <v>13728441.029999999</v>
      </c>
      <c r="AE40" s="743">
        <v>43209</v>
      </c>
      <c r="AF40" s="743">
        <v>43270</v>
      </c>
      <c r="AG40" s="820">
        <v>0</v>
      </c>
      <c r="AH40" s="632"/>
      <c r="AI40" s="743">
        <v>41365</v>
      </c>
      <c r="AJ40" s="743">
        <v>42547</v>
      </c>
      <c r="AK40" s="743" t="s">
        <v>289</v>
      </c>
      <c r="AL40" s="743"/>
      <c r="AM40" s="743"/>
      <c r="AN40" s="1633">
        <v>6350526.4100000001</v>
      </c>
      <c r="AO40" s="235"/>
      <c r="AP40" s="17"/>
      <c r="AR40" s="824" t="s">
        <v>328</v>
      </c>
      <c r="AS40" s="235"/>
      <c r="AT40" s="235"/>
      <c r="AX40" s="235"/>
    </row>
    <row r="41" spans="1:50" s="9" customFormat="1" ht="31.5">
      <c r="A41" s="632" t="s">
        <v>459</v>
      </c>
      <c r="B41" s="632" t="s">
        <v>460</v>
      </c>
      <c r="C41" s="632">
        <v>3627</v>
      </c>
      <c r="D41" s="632" t="s">
        <v>461</v>
      </c>
      <c r="E41" s="632" t="s">
        <v>282</v>
      </c>
      <c r="F41" s="632" t="s">
        <v>462</v>
      </c>
      <c r="G41" s="632" t="s">
        <v>440</v>
      </c>
      <c r="H41" s="632">
        <v>9.9699999999999997E-2</v>
      </c>
      <c r="I41" s="632" t="s">
        <v>206</v>
      </c>
      <c r="J41" s="632">
        <v>167</v>
      </c>
      <c r="K41" s="632"/>
      <c r="L41" s="632"/>
      <c r="M41" s="817">
        <v>0</v>
      </c>
      <c r="N41" s="1631"/>
      <c r="O41" s="1631" t="str">
        <f t="shared" si="9"/>
        <v>ReH 2.995/2021</v>
      </c>
      <c r="P41" s="817">
        <v>0.1338</v>
      </c>
      <c r="Q41" s="1631">
        <v>35123897.452622667</v>
      </c>
      <c r="R41" s="1634">
        <v>44531</v>
      </c>
      <c r="S41" s="1631" t="str">
        <f t="shared" si="10"/>
        <v>Desp. 521/2022</v>
      </c>
      <c r="T41" s="632" t="s">
        <v>463</v>
      </c>
      <c r="U41" s="743" t="s">
        <v>458</v>
      </c>
      <c r="V41" s="1635">
        <v>2025</v>
      </c>
      <c r="W41" s="1636">
        <v>2909</v>
      </c>
      <c r="X41" s="1637" t="s">
        <v>2194</v>
      </c>
      <c r="Y41" s="632"/>
      <c r="AA41" s="822" t="s">
        <v>206</v>
      </c>
      <c r="AB41" s="820">
        <v>13.93</v>
      </c>
      <c r="AC41" s="825">
        <v>108.15</v>
      </c>
      <c r="AD41" s="825">
        <v>18556964.23</v>
      </c>
      <c r="AE41" s="743">
        <v>43270</v>
      </c>
      <c r="AF41" s="743">
        <v>43270</v>
      </c>
      <c r="AG41" s="820">
        <v>0</v>
      </c>
      <c r="AH41" s="632"/>
      <c r="AI41" s="743">
        <v>41365</v>
      </c>
      <c r="AJ41" s="743">
        <v>42551</v>
      </c>
      <c r="AK41" s="743" t="s">
        <v>289</v>
      </c>
      <c r="AL41" s="743"/>
      <c r="AM41" s="743"/>
      <c r="AN41" s="1633"/>
      <c r="AO41" s="235"/>
      <c r="AP41" s="17"/>
      <c r="AR41" s="824" t="s">
        <v>332</v>
      </c>
      <c r="AS41" s="235"/>
      <c r="AT41" s="235"/>
      <c r="AX41" s="235"/>
    </row>
    <row r="42" spans="1:50" s="9" customFormat="1" ht="31.5">
      <c r="A42" s="632" t="s">
        <v>464</v>
      </c>
      <c r="B42" s="632" t="s">
        <v>465</v>
      </c>
      <c r="C42" s="632">
        <v>2351</v>
      </c>
      <c r="D42" s="632" t="s">
        <v>466</v>
      </c>
      <c r="E42" s="632" t="s">
        <v>282</v>
      </c>
      <c r="F42" s="632" t="s">
        <v>467</v>
      </c>
      <c r="G42" s="632" t="s">
        <v>440</v>
      </c>
      <c r="H42" s="632">
        <v>9.9699999999999997E-2</v>
      </c>
      <c r="I42" s="632" t="s">
        <v>206</v>
      </c>
      <c r="J42" s="632">
        <v>167</v>
      </c>
      <c r="K42" s="632"/>
      <c r="L42" s="632"/>
      <c r="M42" s="817">
        <v>0</v>
      </c>
      <c r="N42" s="1631"/>
      <c r="O42" s="1631" t="str">
        <f t="shared" si="9"/>
        <v>ReH 2.995/2021</v>
      </c>
      <c r="P42" s="817">
        <v>0.1832</v>
      </c>
      <c r="Q42" s="1631">
        <v>118984269.89510354</v>
      </c>
      <c r="R42" s="1634">
        <v>44531</v>
      </c>
      <c r="S42" s="1631" t="str">
        <f t="shared" si="10"/>
        <v>Desp. 521/2022</v>
      </c>
      <c r="T42" s="632" t="s">
        <v>468</v>
      </c>
      <c r="U42" s="743" t="s">
        <v>469</v>
      </c>
      <c r="V42" s="1635">
        <v>2025</v>
      </c>
      <c r="W42" s="1636">
        <v>2912</v>
      </c>
      <c r="X42" s="1637" t="s">
        <v>2194</v>
      </c>
      <c r="Y42" s="632"/>
      <c r="AA42" s="822" t="s">
        <v>206</v>
      </c>
      <c r="AB42" s="820">
        <v>22.64</v>
      </c>
      <c r="AC42" s="825">
        <v>108.15</v>
      </c>
      <c r="AD42" s="825">
        <v>55770868.960000001</v>
      </c>
      <c r="AE42" s="743">
        <v>43270</v>
      </c>
      <c r="AF42" s="743">
        <v>43270</v>
      </c>
      <c r="AG42" s="820">
        <v>0</v>
      </c>
      <c r="AH42" s="632"/>
      <c r="AI42" s="743">
        <v>41365</v>
      </c>
      <c r="AJ42" s="743">
        <v>42551</v>
      </c>
      <c r="AK42" s="743" t="s">
        <v>289</v>
      </c>
      <c r="AL42" s="743"/>
      <c r="AM42" s="743"/>
      <c r="AN42" s="1633"/>
      <c r="AO42" s="235"/>
      <c r="AP42" s="17"/>
      <c r="AR42" s="824" t="s">
        <v>470</v>
      </c>
      <c r="AS42" s="235"/>
      <c r="AT42" s="235"/>
      <c r="AX42" s="235"/>
    </row>
    <row r="43" spans="1:50" s="9" customFormat="1" ht="31.5">
      <c r="A43" s="632" t="s">
        <v>174</v>
      </c>
      <c r="B43" s="632" t="s">
        <v>471</v>
      </c>
      <c r="C43" s="632">
        <v>598</v>
      </c>
      <c r="D43" s="632" t="s">
        <v>472</v>
      </c>
      <c r="E43" s="632" t="s">
        <v>282</v>
      </c>
      <c r="F43" s="632" t="s">
        <v>473</v>
      </c>
      <c r="G43" s="632" t="s">
        <v>440</v>
      </c>
      <c r="H43" s="632">
        <v>9.9699999999999997E-2</v>
      </c>
      <c r="I43" s="632" t="s">
        <v>206</v>
      </c>
      <c r="J43" s="632">
        <v>167</v>
      </c>
      <c r="K43" s="632"/>
      <c r="L43" s="632"/>
      <c r="M43" s="817">
        <v>0</v>
      </c>
      <c r="N43" s="1631"/>
      <c r="O43" s="1631" t="str">
        <f t="shared" si="9"/>
        <v>ReH 2.995/2021</v>
      </c>
      <c r="P43" s="817">
        <v>0.4078</v>
      </c>
      <c r="Q43" s="1631">
        <v>48668444.767228298</v>
      </c>
      <c r="R43" s="1634">
        <v>44531</v>
      </c>
      <c r="S43" s="1631" t="str">
        <f t="shared" si="10"/>
        <v>Desp. 521/2022</v>
      </c>
      <c r="T43" s="632" t="s">
        <v>474</v>
      </c>
      <c r="U43" s="743" t="s">
        <v>458</v>
      </c>
      <c r="V43" s="632">
        <v>2022</v>
      </c>
      <c r="W43" s="1636">
        <v>2917</v>
      </c>
      <c r="X43" s="1637" t="s">
        <v>2194</v>
      </c>
      <c r="Y43" s="632"/>
      <c r="AA43" s="822" t="s">
        <v>206</v>
      </c>
      <c r="AB43" s="820">
        <v>20.55</v>
      </c>
      <c r="AC43" s="825">
        <v>108.15</v>
      </c>
      <c r="AD43" s="825">
        <v>16127887.460000001</v>
      </c>
      <c r="AE43" s="743">
        <v>43270</v>
      </c>
      <c r="AF43" s="743">
        <v>43270</v>
      </c>
      <c r="AG43" s="820">
        <v>0</v>
      </c>
      <c r="AH43" s="632"/>
      <c r="AI43" s="743">
        <v>41365</v>
      </c>
      <c r="AJ43" s="743">
        <v>42551</v>
      </c>
      <c r="AK43" s="743" t="s">
        <v>289</v>
      </c>
      <c r="AL43" s="743"/>
      <c r="AM43" s="743"/>
      <c r="AN43" s="1633">
        <v>3110206.14</v>
      </c>
      <c r="AO43" s="235"/>
      <c r="AP43" s="17"/>
      <c r="AR43" s="824" t="s">
        <v>405</v>
      </c>
      <c r="AS43" s="235"/>
      <c r="AT43" s="235"/>
      <c r="AX43" s="235"/>
    </row>
    <row r="44" spans="1:50" s="9" customFormat="1" ht="31.5">
      <c r="A44" s="632" t="s">
        <v>475</v>
      </c>
      <c r="B44" s="632" t="s">
        <v>476</v>
      </c>
      <c r="C44" s="632">
        <v>2783</v>
      </c>
      <c r="D44" s="632" t="s">
        <v>477</v>
      </c>
      <c r="E44" s="632" t="s">
        <v>282</v>
      </c>
      <c r="F44" s="632" t="s">
        <v>478</v>
      </c>
      <c r="G44" s="632" t="s">
        <v>440</v>
      </c>
      <c r="H44" s="632">
        <v>9.9699999999999997E-2</v>
      </c>
      <c r="I44" s="632" t="s">
        <v>206</v>
      </c>
      <c r="J44" s="632">
        <v>167</v>
      </c>
      <c r="K44" s="632"/>
      <c r="L44" s="632"/>
      <c r="M44" s="817">
        <v>0</v>
      </c>
      <c r="N44" s="1631"/>
      <c r="O44" s="1631" t="str">
        <f t="shared" si="9"/>
        <v>ReH 2.995/2021</v>
      </c>
      <c r="P44" s="817">
        <v>0.17430000000000001</v>
      </c>
      <c r="Q44" s="1631">
        <v>23632870.756335247</v>
      </c>
      <c r="R44" s="1634">
        <v>44531</v>
      </c>
      <c r="S44" s="1631" t="str">
        <f t="shared" si="10"/>
        <v>Desp. 521/2022</v>
      </c>
      <c r="T44" s="632" t="s">
        <v>479</v>
      </c>
      <c r="U44" s="743" t="s">
        <v>458</v>
      </c>
      <c r="V44" s="632">
        <v>2022</v>
      </c>
      <c r="W44" s="1636">
        <v>2911</v>
      </c>
      <c r="X44" s="1637" t="s">
        <v>2194</v>
      </c>
      <c r="Y44" s="632"/>
      <c r="AA44" s="822" t="s">
        <v>206</v>
      </c>
      <c r="AB44" s="820">
        <v>26.42</v>
      </c>
      <c r="AC44" s="825">
        <v>108.15</v>
      </c>
      <c r="AD44" s="825">
        <v>7627285.8200000003</v>
      </c>
      <c r="AE44" s="743">
        <v>43270</v>
      </c>
      <c r="AF44" s="743">
        <v>43270</v>
      </c>
      <c r="AG44" s="820">
        <v>0</v>
      </c>
      <c r="AH44" s="632"/>
      <c r="AI44" s="743">
        <v>41365</v>
      </c>
      <c r="AJ44" s="743">
        <v>42551</v>
      </c>
      <c r="AK44" s="743" t="s">
        <v>289</v>
      </c>
      <c r="AL44" s="743"/>
      <c r="AM44" s="743"/>
      <c r="AN44" s="1633"/>
      <c r="AO44" s="235"/>
      <c r="AP44" s="17"/>
      <c r="AR44" s="824" t="s">
        <v>448</v>
      </c>
      <c r="AS44" s="235"/>
      <c r="AT44" s="235"/>
      <c r="AX44" s="235"/>
    </row>
    <row r="45" spans="1:50" s="9" customFormat="1" ht="31.5">
      <c r="A45" s="632" t="s">
        <v>355</v>
      </c>
      <c r="B45" s="632" t="s">
        <v>480</v>
      </c>
      <c r="C45" s="632">
        <v>4248</v>
      </c>
      <c r="D45" s="632" t="s">
        <v>481</v>
      </c>
      <c r="E45" s="632" t="s">
        <v>282</v>
      </c>
      <c r="F45" s="632" t="s">
        <v>482</v>
      </c>
      <c r="G45" s="632" t="s">
        <v>483</v>
      </c>
      <c r="H45" s="632">
        <v>9.9699999999999997E-2</v>
      </c>
      <c r="I45" s="632" t="s">
        <v>484</v>
      </c>
      <c r="J45" s="632">
        <v>132</v>
      </c>
      <c r="K45" s="632"/>
      <c r="L45" s="632"/>
      <c r="M45" s="817">
        <v>0</v>
      </c>
      <c r="N45" s="1631"/>
      <c r="O45" s="1631" t="str">
        <f t="shared" si="9"/>
        <v>ReH 2.995/2021</v>
      </c>
      <c r="P45" s="817">
        <v>0.2072</v>
      </c>
      <c r="Q45" s="1631">
        <v>5741724.6974191396</v>
      </c>
      <c r="R45" s="1634">
        <v>44531</v>
      </c>
      <c r="S45" s="1631" t="str">
        <f t="shared" si="10"/>
        <v>Desp. 521/2022</v>
      </c>
      <c r="T45" s="632" t="s">
        <v>485</v>
      </c>
      <c r="U45" s="743" t="s">
        <v>348</v>
      </c>
      <c r="V45" s="1635">
        <v>2024</v>
      </c>
      <c r="W45" s="1636">
        <v>2908</v>
      </c>
      <c r="X45" s="1637" t="s">
        <v>2194</v>
      </c>
      <c r="Y45" s="632"/>
      <c r="AA45" s="822" t="s">
        <v>484</v>
      </c>
      <c r="AB45" s="820">
        <v>58.392923981821539</v>
      </c>
      <c r="AC45" s="825">
        <v>117.43916412021785</v>
      </c>
      <c r="AD45" s="825">
        <v>1371216.9263933776</v>
      </c>
      <c r="AE45" s="743">
        <v>44371</v>
      </c>
      <c r="AF45" s="743">
        <v>44371</v>
      </c>
      <c r="AG45" s="820">
        <v>0</v>
      </c>
      <c r="AH45" s="632"/>
      <c r="AI45" s="743">
        <v>41472</v>
      </c>
      <c r="AJ45" s="743">
        <v>42551</v>
      </c>
      <c r="AK45" s="743" t="s">
        <v>289</v>
      </c>
      <c r="AL45" s="743"/>
      <c r="AM45" s="743"/>
      <c r="AN45" s="1633"/>
      <c r="AO45" s="235"/>
      <c r="AP45" s="17"/>
      <c r="AR45" s="824" t="s">
        <v>201</v>
      </c>
      <c r="AS45" s="235"/>
      <c r="AT45" s="235"/>
      <c r="AX45" s="235"/>
    </row>
    <row r="46" spans="1:50" s="9" customFormat="1" ht="31.5">
      <c r="A46" s="632" t="s">
        <v>182</v>
      </c>
      <c r="B46" s="632" t="s">
        <v>486</v>
      </c>
      <c r="C46" s="632">
        <v>5274</v>
      </c>
      <c r="D46" s="632" t="s">
        <v>487</v>
      </c>
      <c r="E46" s="632" t="s">
        <v>282</v>
      </c>
      <c r="F46" s="632" t="s">
        <v>488</v>
      </c>
      <c r="G46" s="632" t="s">
        <v>489</v>
      </c>
      <c r="H46" s="632">
        <v>9.9699999999999997E-2</v>
      </c>
      <c r="I46" s="632" t="s">
        <v>163</v>
      </c>
      <c r="J46" s="632">
        <v>103</v>
      </c>
      <c r="K46" s="632"/>
      <c r="L46" s="632"/>
      <c r="M46" s="817">
        <v>0.128</v>
      </c>
      <c r="N46" s="1631"/>
      <c r="O46" s="1631" t="str">
        <f t="shared" si="9"/>
        <v>ReH 2.995/2021</v>
      </c>
      <c r="P46" s="817">
        <v>7.9699999999999993E-2</v>
      </c>
      <c r="Q46" s="1632">
        <v>9559924.0871568415</v>
      </c>
      <c r="R46" s="1634">
        <v>44531</v>
      </c>
      <c r="S46" s="1631" t="str">
        <f t="shared" si="10"/>
        <v>Desp. 521/2022</v>
      </c>
      <c r="T46" s="632" t="s">
        <v>491</v>
      </c>
      <c r="U46" s="743" t="s">
        <v>287</v>
      </c>
      <c r="V46" s="1635">
        <v>2024</v>
      </c>
      <c r="W46" s="1636">
        <v>2865</v>
      </c>
      <c r="X46" s="1637" t="s">
        <v>2195</v>
      </c>
      <c r="Y46" s="632"/>
      <c r="AA46" s="822" t="s">
        <v>505</v>
      </c>
      <c r="AB46" s="820">
        <v>49.06</v>
      </c>
      <c r="AC46" s="825">
        <v>187.05</v>
      </c>
      <c r="AD46" s="825">
        <v>95315.39</v>
      </c>
      <c r="AE46" s="743">
        <v>43174</v>
      </c>
      <c r="AF46" s="743">
        <v>43174</v>
      </c>
      <c r="AG46" s="820">
        <v>0</v>
      </c>
      <c r="AH46" s="632"/>
      <c r="AI46" s="743">
        <v>41472</v>
      </c>
      <c r="AJ46" s="743">
        <v>42451</v>
      </c>
      <c r="AK46" s="743" t="s">
        <v>289</v>
      </c>
      <c r="AL46" s="743"/>
      <c r="AM46" s="743"/>
      <c r="AN46" s="1633">
        <v>940401.96</v>
      </c>
      <c r="AO46" s="235"/>
      <c r="AP46" s="17"/>
      <c r="AR46" s="824" t="s">
        <v>492</v>
      </c>
      <c r="AS46" s="235"/>
      <c r="AT46" s="235"/>
      <c r="AX46" s="235"/>
    </row>
    <row r="47" spans="1:50" s="9" customFormat="1" ht="31.5">
      <c r="A47" s="632" t="s">
        <v>370</v>
      </c>
      <c r="B47" s="632" t="s">
        <v>493</v>
      </c>
      <c r="C47" s="632">
        <v>5377</v>
      </c>
      <c r="D47" s="632" t="s">
        <v>494</v>
      </c>
      <c r="E47" s="632" t="s">
        <v>282</v>
      </c>
      <c r="F47" s="632" t="s">
        <v>495</v>
      </c>
      <c r="G47" s="632" t="s">
        <v>496</v>
      </c>
      <c r="H47" s="632">
        <v>3.7699999999999997E-2</v>
      </c>
      <c r="I47" s="632" t="s">
        <v>497</v>
      </c>
      <c r="J47" s="632">
        <v>155</v>
      </c>
      <c r="K47" s="632"/>
      <c r="L47" s="632"/>
      <c r="M47" s="817">
        <v>0</v>
      </c>
      <c r="N47" s="1631"/>
      <c r="O47" s="1631" t="str">
        <f t="shared" si="9"/>
        <v>ReH 2.995/2021</v>
      </c>
      <c r="P47" s="817">
        <v>6.2799999999999995E-2</v>
      </c>
      <c r="Q47" s="1631">
        <v>5170019.3743311316</v>
      </c>
      <c r="R47" s="1634">
        <v>44531</v>
      </c>
      <c r="S47" s="1631" t="str">
        <f t="shared" si="10"/>
        <v>Desp. 521/2022</v>
      </c>
      <c r="T47" s="632" t="s">
        <v>498</v>
      </c>
      <c r="U47" s="743" t="s">
        <v>499</v>
      </c>
      <c r="V47" s="1635">
        <v>2024</v>
      </c>
      <c r="W47" s="1636">
        <v>2872</v>
      </c>
      <c r="X47" s="1637" t="s">
        <v>2193</v>
      </c>
      <c r="Y47" s="821">
        <v>1.15E-2</v>
      </c>
      <c r="Z47" s="822">
        <v>-0.02</v>
      </c>
      <c r="AA47" s="822" t="s">
        <v>194</v>
      </c>
      <c r="AB47" s="820">
        <v>43</v>
      </c>
      <c r="AC47" s="825">
        <v>122.01</v>
      </c>
      <c r="AD47" s="825">
        <v>807332.96</v>
      </c>
      <c r="AE47" s="743">
        <v>43212</v>
      </c>
      <c r="AF47" s="743">
        <v>43212</v>
      </c>
      <c r="AG47" s="820">
        <v>0</v>
      </c>
      <c r="AH47" s="632"/>
      <c r="AI47" s="743">
        <v>41472</v>
      </c>
      <c r="AJ47" s="743">
        <v>42489</v>
      </c>
      <c r="AK47" s="743" t="s">
        <v>289</v>
      </c>
      <c r="AL47" s="743"/>
      <c r="AM47" s="743"/>
      <c r="AN47" s="1633"/>
      <c r="AO47" s="235"/>
      <c r="AP47" s="17"/>
      <c r="AR47" s="824" t="s">
        <v>410</v>
      </c>
      <c r="AS47" s="235"/>
      <c r="AT47" s="235"/>
      <c r="AX47" s="235"/>
    </row>
    <row r="48" spans="1:50" s="9" customFormat="1" ht="31.5">
      <c r="A48" s="632" t="s">
        <v>365</v>
      </c>
      <c r="B48" s="632" t="s">
        <v>500</v>
      </c>
      <c r="C48" s="632">
        <v>5279</v>
      </c>
      <c r="D48" s="632" t="s">
        <v>501</v>
      </c>
      <c r="E48" s="632" t="s">
        <v>282</v>
      </c>
      <c r="F48" s="632" t="s">
        <v>502</v>
      </c>
      <c r="G48" s="632" t="s">
        <v>489</v>
      </c>
      <c r="H48" s="632">
        <v>9.9699999999999997E-2</v>
      </c>
      <c r="I48" s="632" t="s">
        <v>163</v>
      </c>
      <c r="J48" s="632">
        <v>103</v>
      </c>
      <c r="K48" s="632"/>
      <c r="L48" s="632"/>
      <c r="M48" s="817">
        <v>0.1166</v>
      </c>
      <c r="N48" s="1631"/>
      <c r="O48" s="1631" t="str">
        <f t="shared" si="9"/>
        <v>ReH 2.995/2021</v>
      </c>
      <c r="P48" s="821">
        <v>0.4052</v>
      </c>
      <c r="Q48" s="1631">
        <v>25601019.68723011</v>
      </c>
      <c r="R48" s="1634">
        <v>44531</v>
      </c>
      <c r="S48" s="1631" t="str">
        <f t="shared" si="10"/>
        <v>Desp. 521/2022</v>
      </c>
      <c r="T48" s="742" t="s">
        <v>503</v>
      </c>
      <c r="U48" s="743" t="s">
        <v>504</v>
      </c>
      <c r="V48" s="632">
        <v>2022</v>
      </c>
      <c r="W48" s="1636">
        <v>2866</v>
      </c>
      <c r="X48" s="1637" t="s">
        <v>2195</v>
      </c>
      <c r="Y48" s="821"/>
      <c r="AA48" s="822" t="s">
        <v>505</v>
      </c>
      <c r="AB48" s="826">
        <v>29.23</v>
      </c>
      <c r="AC48" s="825">
        <v>183.67</v>
      </c>
      <c r="AD48" s="825">
        <v>3906806.73</v>
      </c>
      <c r="AE48" s="743">
        <v>42809</v>
      </c>
      <c r="AF48" s="743">
        <v>42809</v>
      </c>
      <c r="AG48" s="743" t="s">
        <v>506</v>
      </c>
      <c r="AH48" s="632"/>
      <c r="AI48" s="743"/>
      <c r="AJ48" s="743"/>
      <c r="AK48" s="743" t="s">
        <v>507</v>
      </c>
      <c r="AL48" s="743">
        <v>43374</v>
      </c>
      <c r="AM48" s="821">
        <v>0.2465</v>
      </c>
      <c r="AN48" s="1633">
        <v>939575.3</v>
      </c>
      <c r="AO48" s="235"/>
      <c r="AP48" s="17"/>
      <c r="AR48" s="824" t="s">
        <v>508</v>
      </c>
      <c r="AS48" s="235"/>
      <c r="AT48" s="235"/>
      <c r="AX48" s="235"/>
    </row>
    <row r="49" spans="1:50" s="9" customFormat="1" ht="31.5">
      <c r="A49" s="632" t="s">
        <v>196</v>
      </c>
      <c r="B49" s="632" t="s">
        <v>509</v>
      </c>
      <c r="C49" s="632">
        <v>6603</v>
      </c>
      <c r="D49" s="632" t="s">
        <v>510</v>
      </c>
      <c r="E49" s="632" t="s">
        <v>282</v>
      </c>
      <c r="F49" s="632" t="s">
        <v>511</v>
      </c>
      <c r="G49" s="632" t="s">
        <v>489</v>
      </c>
      <c r="H49" s="632">
        <v>9.9699999999999997E-2</v>
      </c>
      <c r="I49" s="632" t="s">
        <v>163</v>
      </c>
      <c r="J49" s="632">
        <v>103</v>
      </c>
      <c r="K49" s="632"/>
      <c r="L49" s="632"/>
      <c r="M49" s="817">
        <v>0</v>
      </c>
      <c r="N49" s="1631"/>
      <c r="O49" s="1631" t="str">
        <f t="shared" si="9"/>
        <v>ReH 2.995/2021</v>
      </c>
      <c r="P49" s="821">
        <v>0.4052</v>
      </c>
      <c r="Q49" s="1631">
        <v>10809195.059114244</v>
      </c>
      <c r="R49" s="1634">
        <v>44531</v>
      </c>
      <c r="S49" s="1631" t="str">
        <f t="shared" si="10"/>
        <v>Desp. 521/2022</v>
      </c>
      <c r="T49" s="742" t="s">
        <v>512</v>
      </c>
      <c r="U49" s="743" t="s">
        <v>513</v>
      </c>
      <c r="V49" s="632">
        <v>2022</v>
      </c>
      <c r="W49" s="1636">
        <v>2867</v>
      </c>
      <c r="X49" s="1637" t="s">
        <v>2195</v>
      </c>
      <c r="Y49" s="821"/>
      <c r="AA49" s="822" t="s">
        <v>505</v>
      </c>
      <c r="AB49" s="826">
        <v>30.78</v>
      </c>
      <c r="AC49" s="825">
        <v>183.67</v>
      </c>
      <c r="AD49" s="825">
        <v>1224360.38437886</v>
      </c>
      <c r="AE49" s="743">
        <v>42809</v>
      </c>
      <c r="AF49" s="743">
        <v>42809</v>
      </c>
      <c r="AG49" s="743" t="s">
        <v>506</v>
      </c>
      <c r="AH49" s="632"/>
      <c r="AI49" s="743"/>
      <c r="AJ49" s="743"/>
      <c r="AK49" s="743" t="s">
        <v>507</v>
      </c>
      <c r="AL49" s="743">
        <v>43405</v>
      </c>
      <c r="AM49" s="827">
        <v>0</v>
      </c>
      <c r="AN49" s="1633">
        <v>234949.9</v>
      </c>
      <c r="AO49" s="235"/>
      <c r="AP49" s="17"/>
      <c r="AR49" s="824" t="s">
        <v>338</v>
      </c>
      <c r="AS49" s="235"/>
      <c r="AT49" s="235"/>
      <c r="AX49" s="235"/>
    </row>
    <row r="50" spans="1:50" s="9" customFormat="1" ht="31.5">
      <c r="A50" s="632" t="s">
        <v>388</v>
      </c>
      <c r="B50" s="632" t="s">
        <v>514</v>
      </c>
      <c r="C50" s="632">
        <v>504</v>
      </c>
      <c r="D50" s="632" t="s">
        <v>515</v>
      </c>
      <c r="E50" s="632" t="s">
        <v>282</v>
      </c>
      <c r="F50" s="632" t="s">
        <v>516</v>
      </c>
      <c r="G50" s="632" t="s">
        <v>440</v>
      </c>
      <c r="H50" s="632">
        <v>9.9699999999999997E-2</v>
      </c>
      <c r="I50" s="632" t="s">
        <v>206</v>
      </c>
      <c r="J50" s="632">
        <v>167</v>
      </c>
      <c r="K50" s="632"/>
      <c r="L50" s="632"/>
      <c r="M50" s="817">
        <v>0</v>
      </c>
      <c r="N50" s="1631"/>
      <c r="O50" s="1631" t="str">
        <f t="shared" si="9"/>
        <v>ReH 2.995/2021</v>
      </c>
      <c r="P50" s="821">
        <v>0.36820000000000003</v>
      </c>
      <c r="Q50" s="1631">
        <v>34114621.739632338</v>
      </c>
      <c r="R50" s="1634">
        <v>44531</v>
      </c>
      <c r="S50" s="1631" t="str">
        <f t="shared" si="10"/>
        <v>Desp. 521/2022</v>
      </c>
      <c r="T50" s="742" t="s">
        <v>517</v>
      </c>
      <c r="U50" s="743" t="s">
        <v>518</v>
      </c>
      <c r="V50" s="632">
        <v>2022</v>
      </c>
      <c r="W50" s="1636">
        <v>2906</v>
      </c>
      <c r="X50" s="1637" t="s">
        <v>2194</v>
      </c>
      <c r="Y50" s="821"/>
      <c r="AA50" s="822" t="s">
        <v>206</v>
      </c>
      <c r="AB50" s="826">
        <v>13.9</v>
      </c>
      <c r="AC50" s="825">
        <v>108.15</v>
      </c>
      <c r="AD50" s="825">
        <v>16697250.359999999</v>
      </c>
      <c r="AE50" s="743">
        <v>43270</v>
      </c>
      <c r="AF50" s="743">
        <v>43270</v>
      </c>
      <c r="AG50" s="743" t="s">
        <v>506</v>
      </c>
      <c r="AH50" s="632"/>
      <c r="AI50" s="743"/>
      <c r="AJ50" s="743"/>
      <c r="AK50" s="743" t="s">
        <v>507</v>
      </c>
      <c r="AL50" s="743">
        <v>43405</v>
      </c>
      <c r="AM50" s="743"/>
      <c r="AN50" s="1633"/>
      <c r="AO50" s="235"/>
      <c r="AP50" s="17"/>
      <c r="AR50" s="824" t="s">
        <v>519</v>
      </c>
      <c r="AS50" s="235"/>
      <c r="AT50" s="235"/>
      <c r="AX50" s="235"/>
    </row>
    <row r="51" spans="1:50" s="9" customFormat="1" ht="31.5">
      <c r="A51" s="632" t="s">
        <v>492</v>
      </c>
      <c r="B51" s="632" t="s">
        <v>520</v>
      </c>
      <c r="C51" s="632">
        <v>527</v>
      </c>
      <c r="D51" s="632" t="s">
        <v>521</v>
      </c>
      <c r="E51" s="632" t="s">
        <v>282</v>
      </c>
      <c r="F51" s="632" t="s">
        <v>522</v>
      </c>
      <c r="G51" s="632" t="s">
        <v>440</v>
      </c>
      <c r="H51" s="632">
        <v>3.7699999999999997E-2</v>
      </c>
      <c r="I51" s="632" t="s">
        <v>206</v>
      </c>
      <c r="J51" s="632">
        <v>167</v>
      </c>
      <c r="K51" s="632"/>
      <c r="L51" s="632"/>
      <c r="M51" s="817">
        <v>0</v>
      </c>
      <c r="N51" s="1631"/>
      <c r="O51" s="1631" t="str">
        <f t="shared" si="9"/>
        <v>ReH 2.995/2021</v>
      </c>
      <c r="P51" s="821">
        <v>0.36820000000000003</v>
      </c>
      <c r="Q51" s="1631">
        <v>19676334.273381419</v>
      </c>
      <c r="R51" s="1634">
        <v>44531</v>
      </c>
      <c r="S51" s="1631" t="str">
        <f t="shared" si="10"/>
        <v>Desp. 521/2022</v>
      </c>
      <c r="T51" s="742" t="s">
        <v>523</v>
      </c>
      <c r="U51" s="743" t="s">
        <v>524</v>
      </c>
      <c r="V51" s="632">
        <v>2022</v>
      </c>
      <c r="W51" s="1636">
        <v>2907</v>
      </c>
      <c r="X51" s="1637" t="s">
        <v>2194</v>
      </c>
      <c r="Y51" s="821"/>
      <c r="AA51" s="822" t="s">
        <v>206</v>
      </c>
      <c r="AB51" s="826">
        <v>17.5</v>
      </c>
      <c r="AC51" s="825">
        <v>108.15</v>
      </c>
      <c r="AD51" s="825">
        <v>8473358.1899999995</v>
      </c>
      <c r="AE51" s="743">
        <v>43270</v>
      </c>
      <c r="AF51" s="743">
        <v>43270</v>
      </c>
      <c r="AG51" s="743" t="s">
        <v>506</v>
      </c>
      <c r="AH51" s="632"/>
      <c r="AI51" s="743"/>
      <c r="AJ51" s="743"/>
      <c r="AK51" s="743" t="s">
        <v>507</v>
      </c>
      <c r="AL51" s="743">
        <v>43405</v>
      </c>
      <c r="AM51" s="743"/>
      <c r="AN51" s="1633"/>
      <c r="AO51" s="235"/>
      <c r="AP51" s="17"/>
      <c r="AR51" s="824" t="s">
        <v>188</v>
      </c>
      <c r="AS51" s="235"/>
      <c r="AT51" s="235"/>
      <c r="AX51" s="235"/>
    </row>
    <row r="52" spans="1:50" s="9" customFormat="1" ht="31.5">
      <c r="A52" s="632" t="s">
        <v>290</v>
      </c>
      <c r="B52" s="632" t="s">
        <v>525</v>
      </c>
      <c r="C52" s="632">
        <v>11825</v>
      </c>
      <c r="D52" s="632" t="s">
        <v>526</v>
      </c>
      <c r="E52" s="632" t="s">
        <v>282</v>
      </c>
      <c r="F52" s="632" t="s">
        <v>527</v>
      </c>
      <c r="G52" s="632" t="s">
        <v>483</v>
      </c>
      <c r="H52" s="632">
        <v>9.9699999999999997E-2</v>
      </c>
      <c r="I52" s="632" t="s">
        <v>528</v>
      </c>
      <c r="J52" s="632">
        <v>132</v>
      </c>
      <c r="K52" s="632"/>
      <c r="L52" s="632"/>
      <c r="M52" s="819">
        <v>0</v>
      </c>
      <c r="N52" s="1631"/>
      <c r="O52" s="1631" t="str">
        <f t="shared" si="9"/>
        <v>ReH 2.995/2021</v>
      </c>
      <c r="P52" s="821">
        <v>0.30030000000000001</v>
      </c>
      <c r="Q52" s="1631">
        <v>3990174.7268110593</v>
      </c>
      <c r="R52" s="1634">
        <v>44531</v>
      </c>
      <c r="S52" s="1631" t="str">
        <f t="shared" si="10"/>
        <v>Desp. 521/2022</v>
      </c>
      <c r="T52" s="742" t="s">
        <v>529</v>
      </c>
      <c r="U52" s="743" t="s">
        <v>530</v>
      </c>
      <c r="V52" s="632">
        <v>2022</v>
      </c>
      <c r="W52" s="1636">
        <v>2905</v>
      </c>
      <c r="X52" s="1637" t="s">
        <v>2194</v>
      </c>
      <c r="Y52" s="821"/>
      <c r="AA52" s="822" t="s">
        <v>484</v>
      </c>
      <c r="AB52" s="826">
        <v>108.32837360722637</v>
      </c>
      <c r="AC52" s="825">
        <v>117.43916412021785</v>
      </c>
      <c r="AD52" s="825">
        <v>0</v>
      </c>
      <c r="AE52" s="743">
        <v>44371</v>
      </c>
      <c r="AF52" s="743">
        <v>44371</v>
      </c>
      <c r="AG52" s="743" t="s">
        <v>506</v>
      </c>
      <c r="AH52" s="632"/>
      <c r="AI52" s="743"/>
      <c r="AJ52" s="743"/>
      <c r="AK52" s="743" t="s">
        <v>507</v>
      </c>
      <c r="AL52" s="743">
        <v>43405</v>
      </c>
      <c r="AM52" s="743"/>
      <c r="AN52" s="1633"/>
      <c r="AO52" s="235"/>
      <c r="AP52" s="17"/>
      <c r="AR52" s="824" t="s">
        <v>419</v>
      </c>
      <c r="AS52" s="235"/>
      <c r="AT52" s="235"/>
      <c r="AX52" s="235"/>
    </row>
    <row r="53" spans="1:50" s="9" customFormat="1" ht="31.5">
      <c r="A53" s="632" t="s">
        <v>508</v>
      </c>
      <c r="B53" s="632" t="s">
        <v>531</v>
      </c>
      <c r="C53" s="632">
        <v>5375</v>
      </c>
      <c r="D53" s="632" t="s">
        <v>532</v>
      </c>
      <c r="E53" s="632" t="s">
        <v>282</v>
      </c>
      <c r="F53" s="632" t="s">
        <v>533</v>
      </c>
      <c r="G53" s="632" t="s">
        <v>284</v>
      </c>
      <c r="H53" s="632">
        <v>9.9699999999999997E-2</v>
      </c>
      <c r="I53" s="632" t="s">
        <v>534</v>
      </c>
      <c r="J53" s="632">
        <v>145</v>
      </c>
      <c r="K53" s="632" t="s">
        <v>535</v>
      </c>
      <c r="L53" s="632">
        <v>136</v>
      </c>
      <c r="M53" s="819">
        <v>0</v>
      </c>
      <c r="N53" s="1631"/>
      <c r="O53" s="1631" t="str">
        <f t="shared" si="9"/>
        <v>ReH 2.995/2021</v>
      </c>
      <c r="P53" s="821">
        <v>0.26960000000000001</v>
      </c>
      <c r="Q53" s="1631">
        <v>9179104.7891964447</v>
      </c>
      <c r="R53" s="1634">
        <v>44531</v>
      </c>
      <c r="S53" s="1631" t="str">
        <f t="shared" si="10"/>
        <v>Desp. 521/2022</v>
      </c>
      <c r="T53" s="742" t="s">
        <v>536</v>
      </c>
      <c r="U53" s="743" t="s">
        <v>537</v>
      </c>
      <c r="V53" s="632">
        <v>2022</v>
      </c>
      <c r="W53" s="1636">
        <v>2945</v>
      </c>
      <c r="X53" s="1637" t="s">
        <v>2196</v>
      </c>
      <c r="Y53" s="821"/>
      <c r="AA53" s="822" t="s">
        <v>534</v>
      </c>
      <c r="AB53" s="826">
        <v>56.75</v>
      </c>
      <c r="AC53" s="825">
        <v>133.91999999999999</v>
      </c>
      <c r="AD53" s="825">
        <v>1818143.6</v>
      </c>
      <c r="AE53" s="743">
        <v>43678</v>
      </c>
      <c r="AF53" s="743">
        <v>43678</v>
      </c>
      <c r="AG53" s="743" t="s">
        <v>506</v>
      </c>
      <c r="AH53" s="632"/>
      <c r="AI53" s="743"/>
      <c r="AJ53" s="743"/>
      <c r="AK53" s="743" t="s">
        <v>507</v>
      </c>
      <c r="AL53" s="743">
        <v>43466</v>
      </c>
      <c r="AM53" s="743"/>
      <c r="AN53" s="1633"/>
      <c r="AO53" s="235"/>
      <c r="AP53" s="17"/>
      <c r="AR53" s="824" t="s">
        <v>459</v>
      </c>
      <c r="AS53" s="235"/>
      <c r="AT53" s="235"/>
      <c r="AX53" s="235"/>
    </row>
    <row r="54" spans="1:50" s="9" customFormat="1" ht="31.5">
      <c r="A54" s="632" t="s">
        <v>186</v>
      </c>
      <c r="B54" s="632" t="s">
        <v>538</v>
      </c>
      <c r="C54" s="632">
        <v>5356</v>
      </c>
      <c r="D54" s="632" t="s">
        <v>539</v>
      </c>
      <c r="E54" s="632" t="s">
        <v>282</v>
      </c>
      <c r="F54" s="632" t="s">
        <v>540</v>
      </c>
      <c r="G54" s="632" t="s">
        <v>346</v>
      </c>
      <c r="H54" s="632">
        <v>9.9699999999999997E-2</v>
      </c>
      <c r="I54" s="632" t="s">
        <v>541</v>
      </c>
      <c r="J54" s="632">
        <v>111</v>
      </c>
      <c r="K54" s="632"/>
      <c r="L54" s="632"/>
      <c r="M54" s="819">
        <v>0</v>
      </c>
      <c r="N54" s="1631"/>
      <c r="O54" s="1631" t="str">
        <f t="shared" si="9"/>
        <v>ReH 2.995/2021</v>
      </c>
      <c r="P54" s="821">
        <v>0.26719999999999999</v>
      </c>
      <c r="Q54" s="1631">
        <v>12311896.529185077</v>
      </c>
      <c r="R54" s="1634">
        <v>44531</v>
      </c>
      <c r="S54" s="1631" t="str">
        <f t="shared" si="10"/>
        <v>Desp. 521/2022</v>
      </c>
      <c r="T54" s="742" t="s">
        <v>542</v>
      </c>
      <c r="U54" s="743" t="s">
        <v>543</v>
      </c>
      <c r="V54" s="632">
        <v>2022</v>
      </c>
      <c r="W54" s="1636">
        <v>2938</v>
      </c>
      <c r="X54" s="1637" t="s">
        <v>2196</v>
      </c>
      <c r="Y54" s="821"/>
      <c r="AA54" s="822" t="s">
        <v>541</v>
      </c>
      <c r="AB54" s="826">
        <v>349.3569320960537</v>
      </c>
      <c r="AC54" s="825">
        <v>180.36</v>
      </c>
      <c r="AD54" s="825">
        <v>0</v>
      </c>
      <c r="AE54" s="743">
        <v>44430</v>
      </c>
      <c r="AF54" s="743">
        <v>44430</v>
      </c>
      <c r="AG54" s="743" t="s">
        <v>506</v>
      </c>
      <c r="AH54" s="632"/>
      <c r="AI54" s="743"/>
      <c r="AJ54" s="743"/>
      <c r="AK54" s="743" t="s">
        <v>507</v>
      </c>
      <c r="AL54" s="743">
        <v>43435</v>
      </c>
      <c r="AM54" s="743"/>
      <c r="AN54" s="1633"/>
      <c r="AO54" s="235"/>
      <c r="AP54" s="17"/>
      <c r="AR54" s="824" t="s">
        <v>426</v>
      </c>
      <c r="AS54" s="235"/>
      <c r="AT54" s="235"/>
      <c r="AX54" s="235"/>
    </row>
    <row r="55" spans="1:50" s="9" customFormat="1" ht="31.5">
      <c r="A55" s="632" t="s">
        <v>470</v>
      </c>
      <c r="B55" s="632" t="s">
        <v>544</v>
      </c>
      <c r="C55" s="632">
        <v>7883</v>
      </c>
      <c r="D55" s="632" t="s">
        <v>545</v>
      </c>
      <c r="E55" s="632" t="s">
        <v>282</v>
      </c>
      <c r="F55" s="632" t="s">
        <v>546</v>
      </c>
      <c r="G55" s="632" t="s">
        <v>346</v>
      </c>
      <c r="H55" s="632">
        <v>9.9699999999999997E-2</v>
      </c>
      <c r="I55" s="632" t="s">
        <v>541</v>
      </c>
      <c r="J55" s="632">
        <v>111</v>
      </c>
      <c r="K55" s="632"/>
      <c r="L55" s="632"/>
      <c r="M55" s="819">
        <v>0</v>
      </c>
      <c r="N55" s="1631"/>
      <c r="O55" s="1631" t="str">
        <f t="shared" si="9"/>
        <v>ReH 2.995/2021</v>
      </c>
      <c r="P55" s="821">
        <v>0.26719999999999999</v>
      </c>
      <c r="Q55" s="1631">
        <v>2747645.1312338929</v>
      </c>
      <c r="R55" s="1634">
        <v>44531</v>
      </c>
      <c r="S55" s="1631" t="str">
        <f t="shared" si="10"/>
        <v>Desp. 521/2022</v>
      </c>
      <c r="T55" s="742" t="s">
        <v>547</v>
      </c>
      <c r="U55" s="743" t="s">
        <v>548</v>
      </c>
      <c r="V55" s="632">
        <v>2022</v>
      </c>
      <c r="W55" s="1636">
        <v>2952</v>
      </c>
      <c r="X55" s="1637" t="s">
        <v>2196</v>
      </c>
      <c r="Y55" s="821"/>
      <c r="AA55" s="822" t="s">
        <v>541</v>
      </c>
      <c r="AB55" s="826">
        <v>66.75041888804266</v>
      </c>
      <c r="AC55" s="825">
        <v>180.36</v>
      </c>
      <c r="AD55" s="825">
        <v>1128622.9917918474</v>
      </c>
      <c r="AE55" s="743">
        <v>44430</v>
      </c>
      <c r="AF55" s="743">
        <v>44430</v>
      </c>
      <c r="AG55" s="743" t="s">
        <v>506</v>
      </c>
      <c r="AH55" s="632"/>
      <c r="AI55" s="743"/>
      <c r="AJ55" s="743"/>
      <c r="AK55" s="743" t="s">
        <v>507</v>
      </c>
      <c r="AL55" s="743">
        <v>43435</v>
      </c>
      <c r="AM55" s="743"/>
      <c r="AN55" s="1633"/>
      <c r="AO55" s="235"/>
      <c r="AP55" s="17"/>
      <c r="AR55" s="824" t="s">
        <v>11</v>
      </c>
      <c r="AS55" s="235"/>
      <c r="AT55" s="235"/>
      <c r="AX55" s="235"/>
    </row>
    <row r="56" spans="1:50" s="9" customFormat="1" ht="31.5">
      <c r="A56" s="632" t="s">
        <v>519</v>
      </c>
      <c r="B56" s="632" t="s">
        <v>549</v>
      </c>
      <c r="C56" s="632">
        <v>11763</v>
      </c>
      <c r="D56" s="632" t="s">
        <v>550</v>
      </c>
      <c r="E56" s="632" t="s">
        <v>282</v>
      </c>
      <c r="F56" s="632" t="s">
        <v>551</v>
      </c>
      <c r="G56" s="632" t="s">
        <v>346</v>
      </c>
      <c r="H56" s="632">
        <v>9.9699999999999997E-2</v>
      </c>
      <c r="I56" s="632" t="s">
        <v>541</v>
      </c>
      <c r="J56" s="632">
        <v>111</v>
      </c>
      <c r="K56" s="632"/>
      <c r="L56" s="632"/>
      <c r="M56" s="819">
        <v>0</v>
      </c>
      <c r="N56" s="1631"/>
      <c r="O56" s="1631" t="str">
        <f t="shared" si="9"/>
        <v>ReH 2.995/2021</v>
      </c>
      <c r="P56" s="821">
        <v>0.26719999999999999</v>
      </c>
      <c r="Q56" s="1631">
        <v>4273903.2129018996</v>
      </c>
      <c r="R56" s="1634">
        <v>44531</v>
      </c>
      <c r="S56" s="1631" t="str">
        <f t="shared" si="10"/>
        <v>Desp. 521/2022</v>
      </c>
      <c r="T56" s="742" t="s">
        <v>552</v>
      </c>
      <c r="U56" s="743" t="s">
        <v>553</v>
      </c>
      <c r="V56" s="632">
        <v>2022</v>
      </c>
      <c r="W56" s="1636">
        <v>2954</v>
      </c>
      <c r="X56" s="1637" t="s">
        <v>2196</v>
      </c>
      <c r="Y56" s="821"/>
      <c r="AA56" s="822" t="s">
        <v>541</v>
      </c>
      <c r="AB56" s="826">
        <v>340.16724180581309</v>
      </c>
      <c r="AC56" s="825">
        <v>180.36</v>
      </c>
      <c r="AD56" s="825">
        <v>0</v>
      </c>
      <c r="AE56" s="743">
        <v>44430</v>
      </c>
      <c r="AF56" s="743">
        <v>44430</v>
      </c>
      <c r="AG56" s="743" t="s">
        <v>506</v>
      </c>
      <c r="AH56" s="632"/>
      <c r="AI56" s="743"/>
      <c r="AJ56" s="743"/>
      <c r="AK56" s="743" t="s">
        <v>507</v>
      </c>
      <c r="AL56" s="743">
        <v>43466</v>
      </c>
      <c r="AM56" s="743"/>
      <c r="AN56" s="1633"/>
      <c r="AO56" s="235"/>
      <c r="AP56" s="17"/>
      <c r="AR56" s="632" t="s">
        <v>10</v>
      </c>
      <c r="AS56" s="235"/>
      <c r="AT56" s="235"/>
      <c r="AX56" s="235"/>
    </row>
    <row r="57" spans="1:50" s="9" customFormat="1" ht="31.5">
      <c r="A57" s="632" t="s">
        <v>554</v>
      </c>
      <c r="B57" s="632" t="s">
        <v>555</v>
      </c>
      <c r="C57" s="632">
        <v>5374</v>
      </c>
      <c r="D57" s="632" t="s">
        <v>556</v>
      </c>
      <c r="E57" s="632" t="s">
        <v>282</v>
      </c>
      <c r="F57" s="632" t="s">
        <v>557</v>
      </c>
      <c r="G57" s="632" t="s">
        <v>346</v>
      </c>
      <c r="H57" s="632">
        <v>9.9699999999999997E-2</v>
      </c>
      <c r="I57" s="632" t="s">
        <v>541</v>
      </c>
      <c r="J57" s="632">
        <v>111</v>
      </c>
      <c r="K57" s="632"/>
      <c r="L57" s="632"/>
      <c r="M57" s="819">
        <v>0</v>
      </c>
      <c r="N57" s="1631"/>
      <c r="O57" s="1631" t="str">
        <f t="shared" si="9"/>
        <v>ReH 2.995/2021</v>
      </c>
      <c r="P57" s="821">
        <v>0.26719999999999999</v>
      </c>
      <c r="Q57" s="1631">
        <v>14887159.462181535</v>
      </c>
      <c r="R57" s="1634">
        <v>44531</v>
      </c>
      <c r="S57" s="1631" t="str">
        <f t="shared" si="10"/>
        <v>Desp. 521/2022</v>
      </c>
      <c r="T57" s="742" t="s">
        <v>558</v>
      </c>
      <c r="U57" s="743" t="s">
        <v>559</v>
      </c>
      <c r="V57" s="632">
        <v>2022</v>
      </c>
      <c r="W57" s="1636">
        <v>2955</v>
      </c>
      <c r="X57" s="1637" t="s">
        <v>2196</v>
      </c>
      <c r="Y57" s="821"/>
      <c r="AA57" s="822" t="s">
        <v>541</v>
      </c>
      <c r="AB57" s="826">
        <v>42.479589945809131</v>
      </c>
      <c r="AC57" s="825">
        <v>180.36</v>
      </c>
      <c r="AD57" s="825">
        <v>4958818.1676888634</v>
      </c>
      <c r="AE57" s="743">
        <v>44430</v>
      </c>
      <c r="AF57" s="743">
        <v>44430</v>
      </c>
      <c r="AG57" s="743" t="s">
        <v>506</v>
      </c>
      <c r="AH57" s="632"/>
      <c r="AI57" s="743"/>
      <c r="AJ57" s="743"/>
      <c r="AK57" s="743" t="s">
        <v>507</v>
      </c>
      <c r="AL57" s="743">
        <v>43435</v>
      </c>
      <c r="AM57" s="743"/>
      <c r="AN57" s="1633"/>
      <c r="AO57" s="235"/>
      <c r="AP57" s="17"/>
      <c r="AR57" s="911" t="s">
        <v>560</v>
      </c>
      <c r="AS57" s="235"/>
      <c r="AT57" s="235"/>
      <c r="AX57" s="235"/>
    </row>
    <row r="58" spans="1:50" s="9" customFormat="1" ht="31.5">
      <c r="A58" s="632" t="s">
        <v>10</v>
      </c>
      <c r="B58" s="632" t="s">
        <v>561</v>
      </c>
      <c r="C58" s="632">
        <v>5346</v>
      </c>
      <c r="D58" s="632" t="s">
        <v>562</v>
      </c>
      <c r="E58" s="632" t="s">
        <v>282</v>
      </c>
      <c r="F58" s="632" t="s">
        <v>563</v>
      </c>
      <c r="G58" s="632" t="s">
        <v>440</v>
      </c>
      <c r="H58" s="632">
        <v>9.9699999999999997E-2</v>
      </c>
      <c r="I58" s="632" t="s">
        <v>352</v>
      </c>
      <c r="J58" s="632">
        <v>110</v>
      </c>
      <c r="K58" s="632"/>
      <c r="L58" s="632"/>
      <c r="M58" s="819">
        <v>0</v>
      </c>
      <c r="N58" s="1631"/>
      <c r="O58" s="1631" t="str">
        <f t="shared" si="9"/>
        <v>ReH 2.995/2021</v>
      </c>
      <c r="P58" s="821">
        <v>0.29220000000000002</v>
      </c>
      <c r="Q58" s="1631">
        <v>12150493.896013878</v>
      </c>
      <c r="R58" s="1634">
        <v>44531</v>
      </c>
      <c r="S58" s="1631" t="str">
        <f t="shared" si="10"/>
        <v>Desp. 521/2022</v>
      </c>
      <c r="T58" s="632" t="s">
        <v>564</v>
      </c>
      <c r="U58" s="743" t="s">
        <v>565</v>
      </c>
      <c r="V58" s="632">
        <v>2022</v>
      </c>
      <c r="W58" s="1636">
        <v>2993</v>
      </c>
      <c r="X58" s="1637" t="s">
        <v>2191</v>
      </c>
      <c r="Y58" s="632"/>
      <c r="AA58" s="822" t="s">
        <v>352</v>
      </c>
      <c r="AB58" s="1631">
        <v>12.14</v>
      </c>
      <c r="AC58" s="1640">
        <v>127.47</v>
      </c>
      <c r="AD58" s="1640">
        <v>10002090.66</v>
      </c>
      <c r="AE58" s="1641">
        <v>44501</v>
      </c>
      <c r="AF58" s="1641">
        <v>44522</v>
      </c>
      <c r="AG58" s="743"/>
      <c r="AH58" s="632"/>
      <c r="AI58" s="743"/>
      <c r="AJ58" s="743"/>
      <c r="AK58" s="743" t="s">
        <v>507</v>
      </c>
      <c r="AL58" s="743">
        <v>43525</v>
      </c>
      <c r="AM58" s="743"/>
      <c r="AN58" s="1633"/>
      <c r="AO58" s="235"/>
      <c r="AP58" s="17"/>
      <c r="AR58" s="824" t="s">
        <v>431</v>
      </c>
      <c r="AS58" s="235"/>
      <c r="AT58" s="235"/>
      <c r="AX58" s="235"/>
    </row>
    <row r="59" spans="1:50" s="9" customFormat="1" ht="31.5">
      <c r="A59" s="632" t="s">
        <v>11</v>
      </c>
      <c r="B59" s="632" t="s">
        <v>566</v>
      </c>
      <c r="C59" s="632">
        <v>5345</v>
      </c>
      <c r="D59" s="632" t="s">
        <v>567</v>
      </c>
      <c r="E59" s="632" t="s">
        <v>282</v>
      </c>
      <c r="F59" s="632" t="s">
        <v>568</v>
      </c>
      <c r="G59" s="632" t="s">
        <v>440</v>
      </c>
      <c r="H59" s="632">
        <v>9.9699999999999997E-2</v>
      </c>
      <c r="I59" s="632" t="s">
        <v>352</v>
      </c>
      <c r="J59" s="632">
        <v>110</v>
      </c>
      <c r="K59" s="632"/>
      <c r="L59" s="632"/>
      <c r="M59" s="819">
        <v>0</v>
      </c>
      <c r="N59" s="1631"/>
      <c r="O59" s="1631" t="str">
        <f t="shared" si="9"/>
        <v>ReH 2.995/2021</v>
      </c>
      <c r="P59" s="821">
        <v>0.29220000000000002</v>
      </c>
      <c r="Q59" s="1631">
        <v>12126674.039789611</v>
      </c>
      <c r="R59" s="1634">
        <v>44531</v>
      </c>
      <c r="S59" s="1631" t="str">
        <f t="shared" si="10"/>
        <v>Desp. 521/2022</v>
      </c>
      <c r="T59" s="632" t="s">
        <v>569</v>
      </c>
      <c r="U59" s="743" t="s">
        <v>570</v>
      </c>
      <c r="V59" s="632">
        <v>2022</v>
      </c>
      <c r="W59" s="1636">
        <v>2999</v>
      </c>
      <c r="X59" s="1637" t="s">
        <v>2191</v>
      </c>
      <c r="Y59" s="632"/>
      <c r="AA59" s="822" t="s">
        <v>352</v>
      </c>
      <c r="AB59" s="1631">
        <v>24.63</v>
      </c>
      <c r="AC59" s="1640">
        <v>127.47</v>
      </c>
      <c r="AD59" s="1640">
        <v>5510422.0099999998</v>
      </c>
      <c r="AE59" s="1641">
        <v>44197</v>
      </c>
      <c r="AF59" s="1641">
        <v>44522</v>
      </c>
      <c r="AG59" s="743"/>
      <c r="AH59" s="632"/>
      <c r="AI59" s="743"/>
      <c r="AJ59" s="743"/>
      <c r="AK59" s="743" t="s">
        <v>507</v>
      </c>
      <c r="AL59" s="743">
        <v>43525</v>
      </c>
      <c r="AM59" s="743"/>
      <c r="AN59" s="1633"/>
      <c r="AO59" s="235"/>
      <c r="AP59" s="17"/>
      <c r="AR59" s="824" t="s">
        <v>464</v>
      </c>
      <c r="AS59" s="235"/>
      <c r="AT59" s="235"/>
      <c r="AX59" s="235"/>
    </row>
    <row r="60" spans="1:50" s="9" customFormat="1" ht="31.5">
      <c r="A60" s="632" t="s">
        <v>327</v>
      </c>
      <c r="B60" s="632" t="s">
        <v>571</v>
      </c>
      <c r="C60" s="632">
        <v>7467</v>
      </c>
      <c r="D60" s="632" t="s">
        <v>572</v>
      </c>
      <c r="E60" s="632" t="s">
        <v>282</v>
      </c>
      <c r="F60" s="632" t="s">
        <v>573</v>
      </c>
      <c r="G60" s="632" t="s">
        <v>284</v>
      </c>
      <c r="H60" s="632">
        <v>9.9699999999999997E-2</v>
      </c>
      <c r="I60" s="632" t="s">
        <v>150</v>
      </c>
      <c r="J60" s="632">
        <v>136</v>
      </c>
      <c r="K60" s="632" t="s">
        <v>164</v>
      </c>
      <c r="L60" s="632">
        <v>145</v>
      </c>
      <c r="M60" s="819">
        <v>0</v>
      </c>
      <c r="N60" s="1631"/>
      <c r="O60" s="1631" t="str">
        <f t="shared" si="9"/>
        <v>ReH 2.995/2021</v>
      </c>
      <c r="P60" s="821">
        <v>0.31130000000000002</v>
      </c>
      <c r="Q60" s="1631">
        <v>26138615.684229702</v>
      </c>
      <c r="R60" s="1634">
        <v>44531</v>
      </c>
      <c r="S60" s="1631" t="str">
        <f t="shared" si="10"/>
        <v>Desp. 521/2022</v>
      </c>
      <c r="T60" s="632" t="s">
        <v>574</v>
      </c>
      <c r="U60" s="743" t="s">
        <v>575</v>
      </c>
      <c r="V60" s="632">
        <v>2023</v>
      </c>
      <c r="W60" s="1636">
        <v>2871</v>
      </c>
      <c r="X60" s="1637" t="s">
        <v>2193</v>
      </c>
      <c r="Y60" s="632"/>
      <c r="AA60" s="822" t="s">
        <v>150</v>
      </c>
      <c r="AB60" s="820">
        <v>109.7</v>
      </c>
      <c r="AC60" s="825">
        <v>237.88</v>
      </c>
      <c r="AD60" s="825">
        <v>7537395.7800000003</v>
      </c>
      <c r="AE60" s="743">
        <v>43198</v>
      </c>
      <c r="AF60" s="743">
        <v>43198</v>
      </c>
      <c r="AG60" s="743"/>
      <c r="AH60" s="632"/>
      <c r="AI60" s="743"/>
      <c r="AJ60" s="743"/>
      <c r="AK60" s="743" t="s">
        <v>507</v>
      </c>
      <c r="AL60" s="743">
        <v>43614</v>
      </c>
      <c r="AM60" s="828">
        <v>0</v>
      </c>
      <c r="AN60" s="1633"/>
      <c r="AR60" s="824" t="s">
        <v>174</v>
      </c>
      <c r="AS60" s="235"/>
      <c r="AT60" s="235"/>
      <c r="AX60" s="235"/>
    </row>
    <row r="61" spans="1:50" ht="31.5">
      <c r="A61" s="511" t="s">
        <v>320</v>
      </c>
      <c r="B61" s="511" t="s">
        <v>576</v>
      </c>
      <c r="C61" s="511">
        <v>5343</v>
      </c>
      <c r="D61" s="632" t="s">
        <v>577</v>
      </c>
      <c r="E61" s="511" t="s">
        <v>282</v>
      </c>
      <c r="F61" s="511" t="s">
        <v>578</v>
      </c>
      <c r="G61" s="511" t="s">
        <v>440</v>
      </c>
      <c r="H61" s="511">
        <v>9.9699999999999997E-2</v>
      </c>
      <c r="I61" s="511" t="s">
        <v>206</v>
      </c>
      <c r="J61" s="511">
        <v>167</v>
      </c>
      <c r="K61" s="511" t="s">
        <v>579</v>
      </c>
      <c r="L61" s="511">
        <v>164</v>
      </c>
      <c r="M61" s="881">
        <v>0</v>
      </c>
      <c r="N61" s="1633"/>
      <c r="O61" s="1631" t="str">
        <f t="shared" si="9"/>
        <v>ReH 2.995/2021</v>
      </c>
      <c r="P61" s="882">
        <v>0.3589</v>
      </c>
      <c r="Q61" s="1633">
        <v>45272621.042895459</v>
      </c>
      <c r="R61" s="1634">
        <v>44531</v>
      </c>
      <c r="S61" s="1631" t="str">
        <f t="shared" si="10"/>
        <v>Desp. 521/2022</v>
      </c>
      <c r="T61" s="743">
        <v>43831</v>
      </c>
      <c r="U61" s="883" t="s">
        <v>580</v>
      </c>
      <c r="V61" s="511">
        <v>2022</v>
      </c>
      <c r="W61" s="1638">
        <v>2913</v>
      </c>
      <c r="X61" s="1639" t="s">
        <v>2194</v>
      </c>
      <c r="Y61" s="511"/>
      <c r="AA61" s="884" t="s">
        <v>206</v>
      </c>
      <c r="AB61" s="880">
        <v>16.32</v>
      </c>
      <c r="AC61" s="885">
        <v>131.34</v>
      </c>
      <c r="AD61" s="885">
        <v>22619960.88284716</v>
      </c>
      <c r="AE61" s="883">
        <v>43209</v>
      </c>
      <c r="AF61" s="883">
        <v>43270</v>
      </c>
      <c r="AG61" s="511"/>
      <c r="AH61" s="883"/>
      <c r="AI61" s="883"/>
      <c r="AJ61" s="883"/>
      <c r="AK61" s="743" t="s">
        <v>581</v>
      </c>
      <c r="AL61" s="883">
        <v>44105</v>
      </c>
      <c r="AM61" s="883"/>
      <c r="AN61" s="1633"/>
      <c r="AR61" s="632" t="s">
        <v>475</v>
      </c>
      <c r="AS61" s="874"/>
      <c r="AX61" s="874"/>
    </row>
    <row r="62" spans="1:50">
      <c r="AD62" s="786"/>
    </row>
    <row r="64" spans="1:50">
      <c r="B64">
        <v>6896</v>
      </c>
    </row>
    <row r="66" spans="1:14">
      <c r="A66" s="657" t="s">
        <v>582</v>
      </c>
    </row>
    <row r="68" spans="1:14">
      <c r="A68" s="512" t="s">
        <v>583</v>
      </c>
      <c r="B68" s="512" t="s">
        <v>27</v>
      </c>
      <c r="C68" s="512" t="s">
        <v>584</v>
      </c>
      <c r="D68" s="512" t="s">
        <v>585</v>
      </c>
      <c r="E68" s="512" t="s">
        <v>586</v>
      </c>
      <c r="F68" s="512" t="s">
        <v>587</v>
      </c>
      <c r="G68" s="512" t="s">
        <v>588</v>
      </c>
      <c r="H68" s="512" t="s">
        <v>589</v>
      </c>
      <c r="I68" s="512" t="s">
        <v>590</v>
      </c>
      <c r="J68" s="512" t="s">
        <v>591</v>
      </c>
      <c r="K68" s="518" t="s">
        <v>592</v>
      </c>
      <c r="L68" s="512" t="s">
        <v>593</v>
      </c>
      <c r="M68" s="518" t="s">
        <v>594</v>
      </c>
      <c r="N68" s="518" t="s">
        <v>2202</v>
      </c>
    </row>
    <row r="69" spans="1:14">
      <c r="A69" s="483" t="s">
        <v>279</v>
      </c>
      <c r="B69" s="632" t="s">
        <v>285</v>
      </c>
      <c r="C69" s="483">
        <v>104</v>
      </c>
      <c r="D69" s="483">
        <v>391</v>
      </c>
      <c r="E69" s="483" t="s">
        <v>595</v>
      </c>
      <c r="F69" s="483" t="str">
        <f>CONCATENATE(DescontosTE[[#This Row],[Permissionária]],DescontosTE[[#This Row],[codsariSUP]],DescontosTE[[#This Row],[Classe]])</f>
        <v>Cedrap391A4</v>
      </c>
      <c r="G69" s="513">
        <v>0.85740000000000005</v>
      </c>
      <c r="H69" s="513">
        <v>0.64305000000000001</v>
      </c>
      <c r="I69" s="513">
        <v>0.33069999999999999</v>
      </c>
      <c r="J69" s="515">
        <v>0.33069999999999999</v>
      </c>
      <c r="K69" s="684">
        <v>0.26350000000000001</v>
      </c>
      <c r="L69" s="886">
        <v>0</v>
      </c>
      <c r="M69" s="886">
        <v>0</v>
      </c>
    </row>
    <row r="70" spans="1:14">
      <c r="A70" s="483" t="s">
        <v>279</v>
      </c>
      <c r="B70" s="483" t="s">
        <v>164</v>
      </c>
      <c r="C70" s="483">
        <v>145</v>
      </c>
      <c r="D70" s="483">
        <v>385</v>
      </c>
      <c r="E70" s="483" t="s">
        <v>595</v>
      </c>
      <c r="F70" s="483" t="str">
        <f>CONCATENATE(DescontosTE[[#This Row],[Permissionária]],DescontosTE[[#This Row],[codsariSUP]],DescontosTE[[#This Row],[Classe]])</f>
        <v>Cedrap385A4</v>
      </c>
      <c r="G70" s="513">
        <v>0.81920000000000004</v>
      </c>
      <c r="H70" s="513">
        <v>0.61440000000000006</v>
      </c>
      <c r="I70" s="513">
        <v>0.33069999999999999</v>
      </c>
      <c r="J70" s="515">
        <v>0.33069999999999999</v>
      </c>
      <c r="K70" s="684">
        <v>0.26350000000000001</v>
      </c>
      <c r="L70" s="886">
        <v>0</v>
      </c>
      <c r="M70" s="886">
        <v>0</v>
      </c>
    </row>
    <row r="71" spans="1:14">
      <c r="A71" s="483" t="s">
        <v>187</v>
      </c>
      <c r="B71" s="483" t="s">
        <v>164</v>
      </c>
      <c r="C71" s="483">
        <v>145</v>
      </c>
      <c r="D71" s="483">
        <v>385</v>
      </c>
      <c r="E71" s="483" t="s">
        <v>595</v>
      </c>
      <c r="F71" s="483" t="str">
        <f>CONCATENATE(DescontosTE[[#This Row],[Permissionária]],DescontosTE[[#This Row],[codsariSUP]],DescontosTE[[#This Row],[Classe]])</f>
        <v>Cedri385A4</v>
      </c>
      <c r="G71" s="513">
        <v>0.62490000000000001</v>
      </c>
      <c r="H71" s="513">
        <v>0.46867500000000001</v>
      </c>
      <c r="I71" s="513">
        <v>0.45379999999999998</v>
      </c>
      <c r="J71" s="515">
        <v>0.45379999999999998</v>
      </c>
      <c r="K71" s="684">
        <v>0</v>
      </c>
      <c r="L71" s="886">
        <v>0</v>
      </c>
      <c r="M71" s="886">
        <v>0</v>
      </c>
    </row>
    <row r="72" spans="1:14">
      <c r="A72" s="483" t="s">
        <v>314</v>
      </c>
      <c r="B72" s="483" t="s">
        <v>189</v>
      </c>
      <c r="C72" s="483">
        <v>111</v>
      </c>
      <c r="D72" s="483">
        <v>5697</v>
      </c>
      <c r="E72" s="483" t="s">
        <v>595</v>
      </c>
      <c r="F72" s="483" t="str">
        <f>CONCATENATE(DescontosTE[[#This Row],[Permissionária]],DescontosTE[[#This Row],[codsariSUP]],DescontosTE[[#This Row],[Classe]])</f>
        <v>Cejama5697A4</v>
      </c>
      <c r="G72" s="513">
        <v>0.53426551936078681</v>
      </c>
      <c r="H72" s="513">
        <v>0.40069913952059011</v>
      </c>
      <c r="I72" s="513">
        <v>0.40069913952059011</v>
      </c>
      <c r="J72" s="515">
        <v>0.4007</v>
      </c>
      <c r="K72" s="684">
        <v>0.22989999999999999</v>
      </c>
      <c r="L72" s="886">
        <v>0</v>
      </c>
      <c r="M72" s="886">
        <v>0</v>
      </c>
    </row>
    <row r="73" spans="1:14">
      <c r="A73" s="483" t="s">
        <v>314</v>
      </c>
      <c r="B73" s="489" t="s">
        <v>405</v>
      </c>
      <c r="C73" s="483">
        <v>228</v>
      </c>
      <c r="D73" s="483">
        <v>5368</v>
      </c>
      <c r="E73" s="483" t="s">
        <v>595</v>
      </c>
      <c r="F73" s="483" t="str">
        <f>CONCATENATE(DescontosTE[[#This Row],[Permissionária]],DescontosTE[[#This Row],[codsariSUP]],DescontosTE[[#This Row],[Classe]])</f>
        <v>Cejama5368A4</v>
      </c>
      <c r="G73" s="684">
        <v>0</v>
      </c>
      <c r="H73" s="684">
        <v>0</v>
      </c>
      <c r="I73" s="684">
        <v>0</v>
      </c>
      <c r="J73" s="514">
        <v>0</v>
      </c>
      <c r="K73" s="684">
        <v>0</v>
      </c>
      <c r="L73" s="886">
        <v>0</v>
      </c>
      <c r="M73" s="886">
        <v>0</v>
      </c>
    </row>
    <row r="74" spans="1:14">
      <c r="A74" s="483" t="s">
        <v>9</v>
      </c>
      <c r="B74" s="483" t="s">
        <v>596</v>
      </c>
      <c r="C74" s="483">
        <v>110</v>
      </c>
      <c r="D74" s="483">
        <v>5707</v>
      </c>
      <c r="E74" s="483" t="s">
        <v>595</v>
      </c>
      <c r="F74" s="483" t="str">
        <f>CONCATENATE(DescontosTE[[#This Row],[Permissionária]],DescontosTE[[#This Row],[codsariSUP]],DescontosTE[[#This Row],[Classe]])</f>
        <v>Ceprag5707A4</v>
      </c>
      <c r="G74" s="513">
        <v>0.57969814099024475</v>
      </c>
      <c r="H74" s="513">
        <v>0.57969814099024475</v>
      </c>
      <c r="I74" s="513">
        <v>0.57969814099024475</v>
      </c>
      <c r="J74" s="513">
        <v>0.57969814099024475</v>
      </c>
      <c r="K74" s="684">
        <v>0.30859999999999999</v>
      </c>
      <c r="L74" s="886">
        <v>0</v>
      </c>
      <c r="M74" s="1642">
        <v>0</v>
      </c>
    </row>
    <row r="75" spans="1:14">
      <c r="A75" s="483" t="s">
        <v>9</v>
      </c>
      <c r="B75" s="483" t="s">
        <v>189</v>
      </c>
      <c r="C75" s="483">
        <v>111</v>
      </c>
      <c r="D75" s="483">
        <v>5697</v>
      </c>
      <c r="E75" s="483" t="s">
        <v>597</v>
      </c>
      <c r="F75" s="483" t="str">
        <f>CONCATENATE(DescontosTE[[#This Row],[Permissionária]],DescontosTE[[#This Row],[codsariSUP]],DescontosTE[[#This Row],[Classe]])</f>
        <v>Ceprag5697A3</v>
      </c>
      <c r="G75" s="513">
        <v>0.54564975934838955</v>
      </c>
      <c r="H75" s="513">
        <v>0.54564975934838955</v>
      </c>
      <c r="I75" s="513">
        <v>0.54564975934838955</v>
      </c>
      <c r="J75" s="513">
        <v>0.54564975934838955</v>
      </c>
      <c r="K75" s="684">
        <v>0.30859999999999999</v>
      </c>
      <c r="L75" s="886">
        <v>0.29099999999999998</v>
      </c>
      <c r="M75" s="1643">
        <v>0</v>
      </c>
    </row>
    <row r="76" spans="1:14">
      <c r="A76" s="483" t="s">
        <v>337</v>
      </c>
      <c r="B76" s="483" t="s">
        <v>189</v>
      </c>
      <c r="C76" s="483">
        <v>111</v>
      </c>
      <c r="D76" s="483">
        <v>5697</v>
      </c>
      <c r="E76" s="483" t="s">
        <v>595</v>
      </c>
      <c r="F76" s="483" t="str">
        <f>CONCATENATE(DescontosTE[[#This Row],[Permissionária]],DescontosTE[[#This Row],[codsariSUP]],DescontosTE[[#This Row],[Classe]])</f>
        <v>Ceraçá5697A4</v>
      </c>
      <c r="G76" s="513">
        <v>0.89512907191149349</v>
      </c>
      <c r="H76" s="513">
        <v>0.67134680393362012</v>
      </c>
      <c r="I76" s="513">
        <v>0.67134680393362012</v>
      </c>
      <c r="J76" s="515">
        <v>0.65039999999999998</v>
      </c>
      <c r="K76" s="684">
        <v>0.57469999999999999</v>
      </c>
      <c r="L76" s="886">
        <v>0.56379999999999997</v>
      </c>
      <c r="M76" s="1643">
        <v>0.54410000000000003</v>
      </c>
    </row>
    <row r="77" spans="1:14">
      <c r="A77" s="483" t="s">
        <v>184</v>
      </c>
      <c r="B77" s="483" t="s">
        <v>360</v>
      </c>
      <c r="C77" s="483">
        <v>220</v>
      </c>
      <c r="D77" s="483">
        <v>6898</v>
      </c>
      <c r="E77" s="483" t="s">
        <v>595</v>
      </c>
      <c r="F77" s="483" t="str">
        <f>CONCATENATE(DescontosTE[[#This Row],[Permissionária]],DescontosTE[[#This Row],[codsariSUP]],DescontosTE[[#This Row],[Classe]])</f>
        <v>Ceral Anitápolis6898A4</v>
      </c>
      <c r="G77" s="513">
        <v>0.90610167159661548</v>
      </c>
      <c r="H77" s="513">
        <v>0.67957625369746166</v>
      </c>
      <c r="I77" s="513">
        <v>0.222</v>
      </c>
      <c r="J77" s="515">
        <v>0.1933</v>
      </c>
      <c r="K77" s="684">
        <v>0.1933</v>
      </c>
      <c r="L77" s="886">
        <v>0</v>
      </c>
      <c r="M77" s="886">
        <v>0</v>
      </c>
    </row>
    <row r="78" spans="1:14">
      <c r="A78" s="483" t="s">
        <v>355</v>
      </c>
      <c r="B78" s="483" t="s">
        <v>598</v>
      </c>
      <c r="C78" s="483">
        <v>132</v>
      </c>
      <c r="D78" s="483">
        <v>2866</v>
      </c>
      <c r="E78" s="483" t="s">
        <v>595</v>
      </c>
      <c r="F78" s="483" t="str">
        <f>CONCATENATE(DescontosTE[[#This Row],[Permissionária]],DescontosTE[[#This Row],[codsariSUP]],DescontosTE[[#This Row],[Classe]])</f>
        <v>Ceral Dis2866A4</v>
      </c>
      <c r="G78" s="513">
        <v>0.73094654242275625</v>
      </c>
      <c r="H78" s="513">
        <v>0.54820990681706716</v>
      </c>
      <c r="I78" s="513">
        <v>0.40820000000000001</v>
      </c>
      <c r="J78" s="515">
        <v>0.40816629218792566</v>
      </c>
      <c r="K78" s="684">
        <v>0.38150000000000001</v>
      </c>
      <c r="L78" s="886">
        <v>0.2326</v>
      </c>
      <c r="M78" s="1643">
        <v>0.2326</v>
      </c>
    </row>
    <row r="79" spans="1:14">
      <c r="A79" s="483" t="s">
        <v>355</v>
      </c>
      <c r="B79" s="483" t="s">
        <v>598</v>
      </c>
      <c r="C79" s="483">
        <v>132</v>
      </c>
      <c r="D79" s="483">
        <v>2866</v>
      </c>
      <c r="E79" s="483" t="s">
        <v>599</v>
      </c>
      <c r="F79" s="483" t="str">
        <f>CONCATENATE(DescontosTE[[#This Row],[Permissionária]],DescontosTE[[#This Row],[codsariSUP]],DescontosTE[[#This Row],[Classe]])</f>
        <v>Ceral Dis2866A3a</v>
      </c>
      <c r="G79" s="513">
        <v>0.73094654242275625</v>
      </c>
      <c r="H79" s="513">
        <v>0.54820990681706716</v>
      </c>
      <c r="I79" s="513">
        <v>0.40820000000000001</v>
      </c>
      <c r="J79" s="515">
        <v>0.40816629218792566</v>
      </c>
      <c r="K79" s="684">
        <v>0.38150000000000001</v>
      </c>
      <c r="L79" s="886">
        <v>0.2326</v>
      </c>
      <c r="M79" s="1643">
        <v>0.2326</v>
      </c>
    </row>
    <row r="80" spans="1:14">
      <c r="A80" s="483" t="s">
        <v>360</v>
      </c>
      <c r="B80" s="483" t="s">
        <v>189</v>
      </c>
      <c r="C80" s="483">
        <v>111</v>
      </c>
      <c r="D80" s="483">
        <v>5697</v>
      </c>
      <c r="E80" s="483" t="s">
        <v>600</v>
      </c>
      <c r="F80" s="483" t="str">
        <f>CONCATENATE(DescontosTE[[#This Row],[Permissionária]],DescontosTE[[#This Row],[codsariSUP]],DescontosTE[[#This Row],[Classe]])</f>
        <v>Cerbranorte5697A2</v>
      </c>
      <c r="G80" s="513">
        <v>0.47579901659496004</v>
      </c>
      <c r="H80" s="513">
        <v>0.35684926244622006</v>
      </c>
      <c r="I80" s="513">
        <v>0.35684926244622006</v>
      </c>
      <c r="J80" s="515">
        <v>0.34470000000000001</v>
      </c>
      <c r="K80" s="684">
        <v>0.1027</v>
      </c>
      <c r="L80" s="886">
        <v>9.9400000000000002E-2</v>
      </c>
      <c r="M80" s="1643">
        <v>0</v>
      </c>
    </row>
    <row r="81" spans="1:14">
      <c r="A81" s="483" t="s">
        <v>360</v>
      </c>
      <c r="B81" s="483" t="s">
        <v>189</v>
      </c>
      <c r="C81" s="483">
        <v>111</v>
      </c>
      <c r="D81" s="483">
        <v>5697</v>
      </c>
      <c r="E81" s="483" t="s">
        <v>595</v>
      </c>
      <c r="F81" s="483" t="str">
        <f>CONCATENATE(DescontosTE[[#This Row],[Permissionária]],DescontosTE[[#This Row],[codsariSUP]],DescontosTE[[#This Row],[Classe]])</f>
        <v>Cerbranorte5697A4</v>
      </c>
      <c r="G81" s="513">
        <v>0.47579901659496004</v>
      </c>
      <c r="H81" s="513">
        <v>0.35684926244622006</v>
      </c>
      <c r="I81" s="513">
        <v>0.35684926244622006</v>
      </c>
      <c r="J81" s="515">
        <v>0.34470000000000001</v>
      </c>
      <c r="K81" s="684">
        <v>0.1027</v>
      </c>
      <c r="L81" s="886">
        <v>9.9400000000000002E-2</v>
      </c>
      <c r="M81" s="1643">
        <v>0</v>
      </c>
    </row>
    <row r="82" spans="1:14">
      <c r="A82" s="483" t="s">
        <v>370</v>
      </c>
      <c r="B82" s="483" t="s">
        <v>601</v>
      </c>
      <c r="C82" s="483">
        <v>155</v>
      </c>
      <c r="D82" s="483">
        <v>6587</v>
      </c>
      <c r="E82" s="483" t="s">
        <v>595</v>
      </c>
      <c r="F82" s="483" t="str">
        <f>CONCATENATE(DescontosTE[[#This Row],[Permissionária]],DescontosTE[[#This Row],[codsariSUP]],DescontosTE[[#This Row],[Classe]])</f>
        <v>Cercos6587A4</v>
      </c>
      <c r="G82" s="513">
        <v>0.71649852236828693</v>
      </c>
      <c r="H82" s="513">
        <v>0.5373738917762152</v>
      </c>
      <c r="I82" s="513">
        <v>0.35820000000000002</v>
      </c>
      <c r="J82" s="515">
        <v>0</v>
      </c>
      <c r="K82" s="684">
        <v>0</v>
      </c>
      <c r="L82" s="886">
        <v>0</v>
      </c>
      <c r="M82" s="886">
        <v>0</v>
      </c>
    </row>
    <row r="83" spans="1:14">
      <c r="A83" s="483" t="s">
        <v>371</v>
      </c>
      <c r="B83" s="483" t="s">
        <v>189</v>
      </c>
      <c r="C83" s="483">
        <v>111</v>
      </c>
      <c r="D83" s="483">
        <v>5697</v>
      </c>
      <c r="E83" s="483" t="s">
        <v>595</v>
      </c>
      <c r="F83" s="483" t="str">
        <f>CONCATENATE(DescontosTE[[#This Row],[Permissionária]],DescontosTE[[#This Row],[codsariSUP]],DescontosTE[[#This Row],[Classe]])</f>
        <v>Cerej5697A4</v>
      </c>
      <c r="G83" s="513">
        <v>0.89474492931776273</v>
      </c>
      <c r="H83" s="513">
        <v>0.6710586969883221</v>
      </c>
      <c r="I83" s="513">
        <v>0.6710586969883221</v>
      </c>
      <c r="J83" s="515">
        <v>0.67110000000000003</v>
      </c>
      <c r="K83" s="684">
        <v>0.67110000000000003</v>
      </c>
      <c r="L83" s="886">
        <v>0.63749999999999996</v>
      </c>
      <c r="M83" s="1643">
        <v>0.41699999999999998</v>
      </c>
    </row>
    <row r="84" spans="1:14">
      <c r="A84" s="483" t="s">
        <v>182</v>
      </c>
      <c r="B84" s="489" t="s">
        <v>163</v>
      </c>
      <c r="C84" s="483">
        <v>103</v>
      </c>
      <c r="D84" s="483">
        <v>383</v>
      </c>
      <c r="E84" s="483" t="s">
        <v>595</v>
      </c>
      <c r="F84" s="483" t="str">
        <f>CONCATENATE(DescontosTE[[#This Row],[Permissionária]],DescontosTE[[#This Row],[codsariSUP]],DescontosTE[[#This Row],[Classe]])</f>
        <v>Ceres383A4</v>
      </c>
      <c r="G84" s="513">
        <v>0.87464280342908707</v>
      </c>
      <c r="H84" s="513">
        <v>0.65598210257181533</v>
      </c>
      <c r="I84" s="513">
        <v>0.43730000000000002</v>
      </c>
      <c r="J84" s="513">
        <v>0.43730000000000002</v>
      </c>
      <c r="K84" s="684">
        <v>0.43730000000000002</v>
      </c>
      <c r="L84" s="886">
        <f>DescontosTE[[#This Row],[2019]]</f>
        <v>0.43730000000000002</v>
      </c>
      <c r="M84" s="1644">
        <f>DescontosTE[[#This Row],[2020]]</f>
        <v>0.43730000000000002</v>
      </c>
      <c r="N84" s="1644">
        <f>DescontosTE[[#This Row],[2020]]</f>
        <v>0.43730000000000002</v>
      </c>
    </row>
    <row r="85" spans="1:14">
      <c r="A85" s="483" t="s">
        <v>185</v>
      </c>
      <c r="B85" s="483" t="s">
        <v>189</v>
      </c>
      <c r="C85" s="483">
        <v>111</v>
      </c>
      <c r="D85" s="483">
        <v>5697</v>
      </c>
      <c r="E85" s="483" t="s">
        <v>595</v>
      </c>
      <c r="F85" s="483" t="str">
        <f>CONCATENATE(DescontosTE[[#This Row],[Permissionária]],DescontosTE[[#This Row],[codsariSUP]],DescontosTE[[#This Row],[Classe]])</f>
        <v>Cergal5697A4</v>
      </c>
      <c r="G85" s="513">
        <v>0.72464658881376764</v>
      </c>
      <c r="H85" s="513">
        <v>0.54348494161032579</v>
      </c>
      <c r="I85" s="513">
        <v>0.54348494161032579</v>
      </c>
      <c r="J85" s="515">
        <v>0.54349999999999998</v>
      </c>
      <c r="K85" s="684">
        <v>0.33379999999999999</v>
      </c>
      <c r="L85" s="886">
        <v>0.25619999999999998</v>
      </c>
      <c r="M85" s="1643">
        <v>0.25619999999999998</v>
      </c>
    </row>
    <row r="86" spans="1:14">
      <c r="A86" s="483" t="s">
        <v>382</v>
      </c>
      <c r="B86" s="483" t="s">
        <v>189</v>
      </c>
      <c r="C86" s="483">
        <v>111</v>
      </c>
      <c r="D86" s="483">
        <v>5697</v>
      </c>
      <c r="E86" s="483" t="s">
        <v>595</v>
      </c>
      <c r="F86" s="483" t="str">
        <f>CONCATENATE(DescontosTE[[#This Row],[Permissionária]],DescontosTE[[#This Row],[codsariSUP]],DescontosTE[[#This Row],[Classe]])</f>
        <v>Cergapa5697A4</v>
      </c>
      <c r="G86" s="513">
        <v>0.69825990373935576</v>
      </c>
      <c r="H86" s="513">
        <v>0.69825990373935576</v>
      </c>
      <c r="I86" s="513">
        <v>0.54749999999999999</v>
      </c>
      <c r="J86" s="515">
        <v>0.48209999999999997</v>
      </c>
      <c r="K86" s="684">
        <v>0.42549999999999999</v>
      </c>
      <c r="L86" s="886">
        <v>0.37969999999999998</v>
      </c>
      <c r="M86" s="1643">
        <v>0.36749999999999999</v>
      </c>
    </row>
    <row r="87" spans="1:14">
      <c r="A87" s="483" t="s">
        <v>389</v>
      </c>
      <c r="B87" s="483" t="s">
        <v>189</v>
      </c>
      <c r="C87" s="483">
        <v>111</v>
      </c>
      <c r="D87" s="483">
        <v>5697</v>
      </c>
      <c r="E87" s="483" t="s">
        <v>595</v>
      </c>
      <c r="F87" s="483" t="str">
        <f>CONCATENATE(DescontosTE[[#This Row],[Permissionária]],DescontosTE[[#This Row],[codsariSUP]],DescontosTE[[#This Row],[Classe]])</f>
        <v>Cergral5697A4</v>
      </c>
      <c r="G87" s="513">
        <v>0.7833435771358328</v>
      </c>
      <c r="H87" s="513">
        <v>0.5875076828518746</v>
      </c>
      <c r="I87" s="513">
        <v>0.5875076828518746</v>
      </c>
      <c r="J87" s="515">
        <v>0.58750000000000002</v>
      </c>
      <c r="K87" s="684">
        <v>0.56830000000000003</v>
      </c>
      <c r="L87" s="886">
        <v>0.55110000000000003</v>
      </c>
      <c r="M87" s="1643">
        <v>0.48010000000000003</v>
      </c>
    </row>
    <row r="88" spans="1:14">
      <c r="A88" s="483" t="s">
        <v>175</v>
      </c>
      <c r="B88" s="483" t="s">
        <v>206</v>
      </c>
      <c r="C88" s="610">
        <v>167</v>
      </c>
      <c r="D88" s="610">
        <v>396</v>
      </c>
      <c r="E88" s="483" t="s">
        <v>597</v>
      </c>
      <c r="F88" s="483" t="str">
        <f>CONCATENATE(DescontosTE[[#This Row],[Permissionária]],DescontosTE[[#This Row],[codsariSUP]],DescontosTE[[#This Row],[Classe]])</f>
        <v>Ceriluz396A3</v>
      </c>
      <c r="G88" s="513">
        <v>0.82731282784930849</v>
      </c>
      <c r="H88" s="513">
        <v>0.82731282784930849</v>
      </c>
      <c r="I88" s="513">
        <v>0.82731282784930849</v>
      </c>
      <c r="J88" s="515">
        <v>0.2782</v>
      </c>
      <c r="K88" s="684">
        <v>0.2782</v>
      </c>
      <c r="L88" s="886">
        <v>0.2132</v>
      </c>
      <c r="M88" s="1643">
        <v>0.2132</v>
      </c>
    </row>
    <row r="89" spans="1:14">
      <c r="A89" s="483" t="s">
        <v>175</v>
      </c>
      <c r="B89" s="483" t="s">
        <v>206</v>
      </c>
      <c r="C89" s="610">
        <v>167</v>
      </c>
      <c r="D89" s="610">
        <v>396</v>
      </c>
      <c r="E89" s="483" t="s">
        <v>595</v>
      </c>
      <c r="F89" s="483" t="str">
        <f>CONCATENATE(DescontosTE[[#This Row],[Permissionária]],DescontosTE[[#This Row],[codsariSUP]],DescontosTE[[#This Row],[Classe]])</f>
        <v>Ceriluz396A4</v>
      </c>
      <c r="G89" s="513">
        <v>0.73575345731998087</v>
      </c>
      <c r="H89" s="513">
        <v>0.73575345731998087</v>
      </c>
      <c r="I89" s="513">
        <v>0.73575345731998087</v>
      </c>
      <c r="J89" s="515">
        <v>0.2782</v>
      </c>
      <c r="K89" s="684">
        <v>0.2782</v>
      </c>
      <c r="L89" s="886">
        <v>0.2132</v>
      </c>
      <c r="M89" s="1643">
        <v>0.2132</v>
      </c>
    </row>
    <row r="90" spans="1:14">
      <c r="A90" s="483" t="s">
        <v>175</v>
      </c>
      <c r="B90" s="483" t="s">
        <v>206</v>
      </c>
      <c r="C90" s="610">
        <v>167</v>
      </c>
      <c r="D90" s="610">
        <v>396</v>
      </c>
      <c r="E90" s="483" t="s">
        <v>602</v>
      </c>
      <c r="F90" s="483" t="str">
        <f>CONCATENATE(DescontosTE[[#This Row],[Permissionária]],DescontosTE[[#This Row],[codsariSUP]],DescontosTE[[#This Row],[Classe]])</f>
        <v>Ceriluz396B</v>
      </c>
      <c r="G90" s="513">
        <v>0.73033677201026148</v>
      </c>
      <c r="H90" s="513">
        <v>0.73033677201026148</v>
      </c>
      <c r="I90" s="513">
        <v>0.73033677201026148</v>
      </c>
      <c r="J90" s="515">
        <v>0.2782</v>
      </c>
      <c r="K90" s="684">
        <v>0.2782</v>
      </c>
      <c r="L90" s="886">
        <v>0.2132</v>
      </c>
      <c r="M90" s="1643">
        <v>0.2132</v>
      </c>
    </row>
    <row r="91" spans="1:14">
      <c r="A91" s="483" t="s">
        <v>296</v>
      </c>
      <c r="B91" s="483" t="s">
        <v>178</v>
      </c>
      <c r="C91" s="483">
        <v>135</v>
      </c>
      <c r="D91" s="483">
        <v>2937</v>
      </c>
      <c r="E91" s="483" t="s">
        <v>595</v>
      </c>
      <c r="F91" s="483" t="str">
        <f>CONCATENATE(DescontosTE[[#This Row],[Permissionária]],DescontosTE[[#This Row],[codsariSUP]],DescontosTE[[#This Row],[Classe]])</f>
        <v>Cerim2937A4</v>
      </c>
      <c r="G91" s="513">
        <v>0.63275249814187795</v>
      </c>
      <c r="H91" s="513">
        <v>0.47456437360640846</v>
      </c>
      <c r="I91" s="513">
        <v>0.3463</v>
      </c>
      <c r="J91" s="515">
        <v>0.33600000000000002</v>
      </c>
      <c r="K91" s="813">
        <v>5.0599999999999999E-2</v>
      </c>
      <c r="L91" s="886">
        <v>0</v>
      </c>
      <c r="M91" s="886">
        <v>0</v>
      </c>
    </row>
    <row r="92" spans="1:14">
      <c r="A92" s="483" t="s">
        <v>302</v>
      </c>
      <c r="B92" s="483" t="s">
        <v>164</v>
      </c>
      <c r="C92" s="483">
        <v>145</v>
      </c>
      <c r="D92" s="483">
        <v>385</v>
      </c>
      <c r="E92" s="483" t="s">
        <v>599</v>
      </c>
      <c r="F92" s="483" t="str">
        <f>CONCATENATE(DescontosTE[[#This Row],[Permissionária]],DescontosTE[[#This Row],[codsariSUP]],DescontosTE[[#This Row],[Classe]])</f>
        <v>Ceripa385A3a</v>
      </c>
      <c r="G92" s="513">
        <v>0.76371671876684266</v>
      </c>
      <c r="H92" s="513">
        <v>0.57278753907513202</v>
      </c>
      <c r="I92" s="513">
        <v>0.38190000000000002</v>
      </c>
      <c r="J92" s="515">
        <v>1.2E-2</v>
      </c>
      <c r="K92" s="818">
        <v>1.2E-2</v>
      </c>
      <c r="L92" s="886">
        <f>DescontosTE[[#This Row],[2019]]</f>
        <v>1.2E-2</v>
      </c>
      <c r="M92" s="515">
        <f>DescontosTE[[#This Row],[2020]]</f>
        <v>1.2E-2</v>
      </c>
      <c r="N92" s="249">
        <v>1.2E-2</v>
      </c>
    </row>
    <row r="93" spans="1:14">
      <c r="A93" s="483" t="s">
        <v>302</v>
      </c>
      <c r="B93" s="483" t="s">
        <v>164</v>
      </c>
      <c r="C93" s="483">
        <v>145</v>
      </c>
      <c r="D93" s="483">
        <v>385</v>
      </c>
      <c r="E93" s="483" t="s">
        <v>595</v>
      </c>
      <c r="F93" s="483" t="str">
        <f>CONCATENATE(DescontosTE[[#This Row],[Permissionária]],DescontosTE[[#This Row],[codsariSUP]],DescontosTE[[#This Row],[Classe]])</f>
        <v>Ceripa385A4</v>
      </c>
      <c r="G93" s="513">
        <v>0.76627856834842611</v>
      </c>
      <c r="H93" s="513">
        <v>0.57470892626131964</v>
      </c>
      <c r="I93" s="513">
        <v>0.3831</v>
      </c>
      <c r="J93" s="515">
        <v>1.2E-2</v>
      </c>
      <c r="K93" s="818">
        <v>1.2E-2</v>
      </c>
      <c r="L93" s="886">
        <f>DescontosTE[[#This Row],[2019]]</f>
        <v>1.2E-2</v>
      </c>
      <c r="M93" s="515">
        <f>DescontosTE[[#This Row],[2020]]</f>
        <v>1.2E-2</v>
      </c>
      <c r="N93" s="249">
        <v>1.2E-2</v>
      </c>
    </row>
    <row r="94" spans="1:14">
      <c r="A94" s="483" t="s">
        <v>302</v>
      </c>
      <c r="B94" s="483" t="s">
        <v>204</v>
      </c>
      <c r="C94" s="483">
        <v>166</v>
      </c>
      <c r="D94" s="483">
        <v>72</v>
      </c>
      <c r="E94" s="483" t="s">
        <v>597</v>
      </c>
      <c r="F94" s="483" t="str">
        <f>CONCATENATE(DescontosTE[[#This Row],[Permissionária]],DescontosTE[[#This Row],[codsariSUP]],DescontosTE[[#This Row],[Classe]])</f>
        <v>Ceripa72A3</v>
      </c>
      <c r="G94" s="513">
        <v>0.85982875805455028</v>
      </c>
      <c r="H94" s="513">
        <v>0.64487156854091277</v>
      </c>
      <c r="I94" s="513">
        <v>0.4299</v>
      </c>
      <c r="J94" s="515">
        <v>1.2E-2</v>
      </c>
      <c r="K94" s="818">
        <v>1.2E-2</v>
      </c>
      <c r="L94" s="886">
        <f>DescontosTE[[#This Row],[2019]]</f>
        <v>1.2E-2</v>
      </c>
      <c r="M94" s="515">
        <f>DescontosTE[[#This Row],[2020]]</f>
        <v>1.2E-2</v>
      </c>
      <c r="N94" s="249">
        <v>1.2E-2</v>
      </c>
    </row>
    <row r="95" spans="1:14">
      <c r="A95" s="483" t="s">
        <v>302</v>
      </c>
      <c r="B95" s="483" t="s">
        <v>204</v>
      </c>
      <c r="C95" s="483">
        <v>166</v>
      </c>
      <c r="D95" s="483">
        <v>72</v>
      </c>
      <c r="E95" s="483" t="s">
        <v>599</v>
      </c>
      <c r="F95" s="483" t="str">
        <f>CONCATENATE(DescontosTE[[#This Row],[Permissionária]],DescontosTE[[#This Row],[codsariSUP]],DescontosTE[[#This Row],[Classe]])</f>
        <v>Ceripa72A3a</v>
      </c>
      <c r="G95" s="513">
        <v>0.72071674463765556</v>
      </c>
      <c r="H95" s="513">
        <v>0.5405375584782417</v>
      </c>
      <c r="I95" s="513">
        <v>0.3604</v>
      </c>
      <c r="J95" s="515">
        <v>1.2E-2</v>
      </c>
      <c r="K95" s="818">
        <v>1.2E-2</v>
      </c>
      <c r="L95" s="886">
        <f>DescontosTE[[#This Row],[2019]]</f>
        <v>1.2E-2</v>
      </c>
      <c r="M95" s="515">
        <f>DescontosTE[[#This Row],[2020]]</f>
        <v>1.2E-2</v>
      </c>
      <c r="N95" s="249">
        <v>1.2E-2</v>
      </c>
    </row>
    <row r="96" spans="1:14">
      <c r="A96" s="483" t="s">
        <v>302</v>
      </c>
      <c r="B96" s="483" t="s">
        <v>204</v>
      </c>
      <c r="C96" s="483">
        <v>166</v>
      </c>
      <c r="D96" s="483">
        <v>72</v>
      </c>
      <c r="E96" s="483" t="s">
        <v>595</v>
      </c>
      <c r="F96" s="483" t="str">
        <f>CONCATENATE(DescontosTE[[#This Row],[Permissionária]],DescontosTE[[#This Row],[codsariSUP]],DescontosTE[[#This Row],[Classe]])</f>
        <v>Ceripa72A4</v>
      </c>
      <c r="G96" s="513">
        <v>0.69352987907140973</v>
      </c>
      <c r="H96" s="513">
        <v>0.5201474093035573</v>
      </c>
      <c r="I96" s="513">
        <v>0.3468</v>
      </c>
      <c r="J96" s="515">
        <v>1.2E-2</v>
      </c>
      <c r="K96" s="818">
        <v>1.2E-2</v>
      </c>
      <c r="L96" s="886">
        <f>DescontosTE[[#This Row],[2019]]</f>
        <v>1.2E-2</v>
      </c>
      <c r="M96" s="515">
        <f>DescontosTE[[#This Row],[2020]]</f>
        <v>1.2E-2</v>
      </c>
      <c r="N96" s="249">
        <v>1.2E-2</v>
      </c>
    </row>
    <row r="97" spans="1:13">
      <c r="A97" s="483" t="s">
        <v>308</v>
      </c>
      <c r="B97" s="483" t="s">
        <v>312</v>
      </c>
      <c r="C97" s="483">
        <v>148</v>
      </c>
      <c r="D97" s="483">
        <v>390</v>
      </c>
      <c r="E97" s="483" t="s">
        <v>595</v>
      </c>
      <c r="F97" s="483" t="str">
        <f>CONCATENATE(DescontosTE[[#This Row],[Permissionária]],DescontosTE[[#This Row],[codsariSUP]],DescontosTE[[#This Row],[Classe]])</f>
        <v>Ceris390A4</v>
      </c>
      <c r="G97" s="513">
        <v>0.88419999999999999</v>
      </c>
      <c r="H97" s="513">
        <v>0.66315000000000002</v>
      </c>
      <c r="I97" s="513">
        <v>0.61850000000000005</v>
      </c>
      <c r="J97" s="515">
        <v>0.59560000000000002</v>
      </c>
      <c r="K97" s="684">
        <v>0.58150000000000002</v>
      </c>
      <c r="L97" s="886">
        <v>0.58150000000000002</v>
      </c>
      <c r="M97" s="1643">
        <v>0.58150000000000002</v>
      </c>
    </row>
    <row r="98" spans="1:13">
      <c r="A98" s="483" t="s">
        <v>603</v>
      </c>
      <c r="B98" s="632" t="s">
        <v>285</v>
      </c>
      <c r="C98" s="483">
        <v>104</v>
      </c>
      <c r="D98" s="483">
        <v>391</v>
      </c>
      <c r="E98" s="483" t="s">
        <v>595</v>
      </c>
      <c r="F98" s="483" t="str">
        <f>CONCATENATE(DescontosTE[[#This Row],[Permissionária]],DescontosTE[[#This Row],[codsariSUP]],DescontosTE[[#This Row],[Classe]])</f>
        <v>Cermc391A4</v>
      </c>
      <c r="G98" s="513">
        <v>0.36708496982469596</v>
      </c>
      <c r="H98" s="513">
        <v>0.275313727368522</v>
      </c>
      <c r="I98" s="513">
        <v>0.275313727368522</v>
      </c>
      <c r="J98" s="515">
        <v>0.22059999999999999</v>
      </c>
      <c r="K98" s="684">
        <v>0</v>
      </c>
      <c r="L98" s="886">
        <v>0</v>
      </c>
      <c r="M98" s="886">
        <v>0</v>
      </c>
    </row>
    <row r="99" spans="1:13">
      <c r="A99" s="483" t="s">
        <v>436</v>
      </c>
      <c r="B99" s="483" t="s">
        <v>206</v>
      </c>
      <c r="C99" s="610">
        <v>167</v>
      </c>
      <c r="D99" s="610">
        <v>396</v>
      </c>
      <c r="E99" s="483" t="s">
        <v>597</v>
      </c>
      <c r="F99" s="483" t="str">
        <f>CONCATENATE(DescontosTE[[#This Row],[Permissionária]],DescontosTE[[#This Row],[codsariSUP]],DescontosTE[[#This Row],[Classe]])</f>
        <v>Cermissões396A3</v>
      </c>
      <c r="G99" s="513">
        <v>0.5923752369117381</v>
      </c>
      <c r="H99" s="513">
        <v>0.5923752369117381</v>
      </c>
      <c r="I99" s="513">
        <v>0.44429999999999997</v>
      </c>
      <c r="J99" s="515">
        <v>0</v>
      </c>
      <c r="K99" s="684">
        <v>0</v>
      </c>
      <c r="L99" s="886">
        <v>0</v>
      </c>
      <c r="M99" s="886">
        <v>0</v>
      </c>
    </row>
    <row r="100" spans="1:13">
      <c r="A100" s="483" t="s">
        <v>436</v>
      </c>
      <c r="B100" s="483" t="s">
        <v>206</v>
      </c>
      <c r="C100" s="610">
        <v>167</v>
      </c>
      <c r="D100" s="610">
        <v>396</v>
      </c>
      <c r="E100" s="483" t="s">
        <v>595</v>
      </c>
      <c r="F100" s="483" t="str">
        <f>CONCATENATE(DescontosTE[[#This Row],[Permissionária]],DescontosTE[[#This Row],[codsariSUP]],DescontosTE[[#This Row],[Classe]])</f>
        <v>Cermissões396A4</v>
      </c>
      <c r="G100" s="513">
        <v>0.5923752369117381</v>
      </c>
      <c r="H100" s="513">
        <v>0.5923752369117381</v>
      </c>
      <c r="I100" s="513">
        <v>0.44429999999999997</v>
      </c>
      <c r="J100" s="515">
        <v>0</v>
      </c>
      <c r="K100" s="684">
        <v>0</v>
      </c>
      <c r="L100" s="886">
        <v>0</v>
      </c>
      <c r="M100" s="886">
        <v>0</v>
      </c>
    </row>
    <row r="101" spans="1:13">
      <c r="A101" s="483" t="s">
        <v>436</v>
      </c>
      <c r="B101" s="483" t="s">
        <v>206</v>
      </c>
      <c r="C101" s="610">
        <v>167</v>
      </c>
      <c r="D101" s="610">
        <v>396</v>
      </c>
      <c r="E101" s="483" t="s">
        <v>602</v>
      </c>
      <c r="F101" s="483" t="str">
        <f>CONCATENATE(DescontosTE[[#This Row],[Permissionária]],DescontosTE[[#This Row],[codsariSUP]],DescontosTE[[#This Row],[Classe]])</f>
        <v>Cermissões396B</v>
      </c>
      <c r="G101" s="513">
        <v>8.6300000000000002E-2</v>
      </c>
      <c r="H101" s="513">
        <v>8.6300000000000002E-2</v>
      </c>
      <c r="I101" s="513">
        <v>6.4699999999999994E-2</v>
      </c>
      <c r="J101" s="515">
        <v>0</v>
      </c>
      <c r="K101" s="684">
        <v>0</v>
      </c>
      <c r="L101" s="886">
        <v>0</v>
      </c>
      <c r="M101" s="886">
        <v>0</v>
      </c>
    </row>
    <row r="102" spans="1:13">
      <c r="A102" s="483" t="s">
        <v>394</v>
      </c>
      <c r="B102" s="483" t="s">
        <v>189</v>
      </c>
      <c r="C102" s="483">
        <v>111</v>
      </c>
      <c r="D102" s="483">
        <v>5697</v>
      </c>
      <c r="E102" s="483" t="s">
        <v>597</v>
      </c>
      <c r="F102" s="483" t="str">
        <f>CONCATENATE(DescontosTE[[#This Row],[Permissionária]],DescontosTE[[#This Row],[codsariSUP]],DescontosTE[[#This Row],[Classe]])</f>
        <v>Cermoful5697A3</v>
      </c>
      <c r="G102" s="513">
        <v>0.71025546094039238</v>
      </c>
      <c r="H102" s="513">
        <v>0.71025546094039238</v>
      </c>
      <c r="I102" s="513">
        <v>0.71025546094039238</v>
      </c>
      <c r="J102" s="515">
        <v>0.67859999999999998</v>
      </c>
      <c r="K102" s="684">
        <v>0.61480000000000001</v>
      </c>
      <c r="L102" s="886">
        <v>0.55579999999999996</v>
      </c>
      <c r="M102" s="1643">
        <v>0.53969999999999996</v>
      </c>
    </row>
    <row r="103" spans="1:13">
      <c r="A103" s="483" t="s">
        <v>394</v>
      </c>
      <c r="B103" s="483" t="s">
        <v>189</v>
      </c>
      <c r="C103" s="483">
        <v>111</v>
      </c>
      <c r="D103" s="483">
        <v>5697</v>
      </c>
      <c r="E103" s="483" t="s">
        <v>595</v>
      </c>
      <c r="F103" s="483" t="str">
        <f>CONCATENATE(DescontosTE[[#This Row],[Permissionária]],DescontosTE[[#This Row],[codsariSUP]],DescontosTE[[#This Row],[Classe]])</f>
        <v>Cermoful5697A4</v>
      </c>
      <c r="G103" s="513">
        <v>0.71025546094039238</v>
      </c>
      <c r="H103" s="513">
        <v>0.71025546094039238</v>
      </c>
      <c r="I103" s="513">
        <v>0.71025546094039238</v>
      </c>
      <c r="J103" s="515">
        <v>0.67859999999999998</v>
      </c>
      <c r="K103" s="684">
        <v>0.61480000000000001</v>
      </c>
      <c r="L103" s="886">
        <v>0.55579999999999996</v>
      </c>
      <c r="M103" s="1643">
        <v>0.53969999999999996</v>
      </c>
    </row>
    <row r="104" spans="1:13">
      <c r="A104" s="483" t="s">
        <v>321</v>
      </c>
      <c r="B104" s="489" t="s">
        <v>125</v>
      </c>
      <c r="C104" s="483">
        <v>165</v>
      </c>
      <c r="D104" s="483">
        <v>5216</v>
      </c>
      <c r="E104" s="483" t="s">
        <v>595</v>
      </c>
      <c r="F104" s="483" t="str">
        <f>CONCATENATE(DescontosTE[[#This Row],[Permissionária]],DescontosTE[[#This Row],[codsariSUP]],DescontosTE[[#This Row],[Classe]])</f>
        <v>Cernhe5216A4</v>
      </c>
      <c r="G104" s="513">
        <v>0.90173092774063557</v>
      </c>
      <c r="H104" s="513">
        <v>0.67629819580547668</v>
      </c>
      <c r="I104" s="513">
        <v>0.45090000000000002</v>
      </c>
      <c r="J104" s="515">
        <v>0</v>
      </c>
      <c r="K104" s="684">
        <v>0</v>
      </c>
      <c r="L104" s="886">
        <v>0</v>
      </c>
      <c r="M104" s="886">
        <v>0</v>
      </c>
    </row>
    <row r="105" spans="1:13">
      <c r="A105" s="483" t="s">
        <v>400</v>
      </c>
      <c r="B105" s="483" t="s">
        <v>189</v>
      </c>
      <c r="C105" s="483">
        <v>111</v>
      </c>
      <c r="D105" s="483">
        <v>5697</v>
      </c>
      <c r="E105" s="483" t="s">
        <v>599</v>
      </c>
      <c r="F105" s="483" t="str">
        <f>CONCATENATE(DescontosTE[[#This Row],[Permissionária]],DescontosTE[[#This Row],[codsariSUP]],DescontosTE[[#This Row],[Classe]])</f>
        <v>Cerpalo5697A3a</v>
      </c>
      <c r="G105" s="513">
        <v>0.89981561155500922</v>
      </c>
      <c r="H105" s="513">
        <v>0.67486170866625694</v>
      </c>
      <c r="I105" s="513">
        <v>0.59530000000000005</v>
      </c>
      <c r="J105" s="515">
        <v>0.59530000000000005</v>
      </c>
      <c r="K105" s="684">
        <v>0.44540000000000002</v>
      </c>
      <c r="L105" s="886">
        <v>0.44540000000000002</v>
      </c>
      <c r="M105" s="1643">
        <v>0.31740000000000002</v>
      </c>
    </row>
    <row r="106" spans="1:13">
      <c r="A106" s="483" t="s">
        <v>328</v>
      </c>
      <c r="B106" s="483" t="s">
        <v>150</v>
      </c>
      <c r="C106" s="483">
        <v>136</v>
      </c>
      <c r="D106" s="483">
        <v>63</v>
      </c>
      <c r="E106" s="483" t="s">
        <v>595</v>
      </c>
      <c r="F106" s="483" t="str">
        <f>CONCATENATE(DescontosTE[[#This Row],[Permissionária]],DescontosTE[[#This Row],[codsariSUP]],DescontosTE[[#This Row],[Classe]])</f>
        <v>Cerpro63A4</v>
      </c>
      <c r="G106" s="513">
        <v>0.90147665925690701</v>
      </c>
      <c r="H106" s="513">
        <v>0.67610749444268026</v>
      </c>
      <c r="I106" s="513">
        <v>0.45069999999999999</v>
      </c>
      <c r="J106" s="741">
        <v>0</v>
      </c>
      <c r="K106" s="684">
        <v>0</v>
      </c>
      <c r="L106" s="886">
        <v>0</v>
      </c>
      <c r="M106" s="886">
        <v>0</v>
      </c>
    </row>
    <row r="107" spans="1:13">
      <c r="A107" s="483" t="s">
        <v>604</v>
      </c>
      <c r="B107" s="489" t="s">
        <v>125</v>
      </c>
      <c r="C107" s="483">
        <v>165</v>
      </c>
      <c r="D107" s="483">
        <v>5216</v>
      </c>
      <c r="E107" s="489" t="s">
        <v>595</v>
      </c>
      <c r="F107" s="483" t="str">
        <f>CONCATENATE(DescontosTE[[#This Row],[Permissionária]],DescontosTE[[#This Row],[codsariSUP]],DescontosTE[[#This Row],[Classe]])</f>
        <v>Cerrp5216A4</v>
      </c>
      <c r="G107" s="513">
        <v>0.74668009891015652</v>
      </c>
      <c r="H107" s="513">
        <v>0.56001007418261739</v>
      </c>
      <c r="I107" s="513">
        <v>0.37330000000000002</v>
      </c>
      <c r="J107" s="741">
        <v>0.31390000000000001</v>
      </c>
      <c r="K107" s="684">
        <v>0.31390000000000001</v>
      </c>
      <c r="L107" s="886">
        <v>7.5600000000000001E-2</v>
      </c>
      <c r="M107" s="1643">
        <v>6.0199999999999997E-2</v>
      </c>
    </row>
    <row r="108" spans="1:13">
      <c r="A108" s="483" t="s">
        <v>604</v>
      </c>
      <c r="B108" s="483" t="s">
        <v>150</v>
      </c>
      <c r="C108" s="483">
        <v>136</v>
      </c>
      <c r="D108" s="483">
        <v>63</v>
      </c>
      <c r="E108" s="483" t="s">
        <v>595</v>
      </c>
      <c r="F108" s="483" t="str">
        <f>CONCATENATE(DescontosTE[[#This Row],[Permissionária]],DescontosTE[[#This Row],[codsariSUP]],DescontosTE[[#This Row],[Classe]])</f>
        <v>Cerrp63A4</v>
      </c>
      <c r="G108" s="513">
        <v>0.7457129247380121</v>
      </c>
      <c r="H108" s="513">
        <v>0.55928469355350907</v>
      </c>
      <c r="I108" s="513">
        <v>0.37290000000000001</v>
      </c>
      <c r="J108" s="741">
        <v>0.31390000000000001</v>
      </c>
      <c r="K108" s="684">
        <v>0.31390000000000001</v>
      </c>
      <c r="L108" s="886">
        <v>7.5600000000000001E-2</v>
      </c>
      <c r="M108" s="1643">
        <v>6.0199999999999997E-2</v>
      </c>
    </row>
    <row r="109" spans="1:13">
      <c r="A109" s="483" t="s">
        <v>405</v>
      </c>
      <c r="B109" s="483" t="s">
        <v>189</v>
      </c>
      <c r="C109" s="483">
        <v>111</v>
      </c>
      <c r="D109" s="483">
        <v>5697</v>
      </c>
      <c r="E109" s="483" t="s">
        <v>595</v>
      </c>
      <c r="F109" s="483" t="str">
        <f>CONCATENATE(DescontosTE[[#This Row],[Permissionária]],DescontosTE[[#This Row],[codsariSUP]],DescontosTE[[#This Row],[Classe]])</f>
        <v>Cersul5697A4</v>
      </c>
      <c r="G109" s="513">
        <v>0.6419022741241549</v>
      </c>
      <c r="H109" s="513">
        <v>0.48142670559311618</v>
      </c>
      <c r="I109" s="513">
        <v>0.48139999999999999</v>
      </c>
      <c r="J109" s="515">
        <v>0.48139999999999999</v>
      </c>
      <c r="K109" s="684">
        <v>0.48139999999999999</v>
      </c>
      <c r="L109" s="886">
        <v>0.48139999999999999</v>
      </c>
      <c r="M109" s="1643">
        <v>0.48139999999999999</v>
      </c>
    </row>
    <row r="110" spans="1:13">
      <c r="A110" s="483" t="s">
        <v>405</v>
      </c>
      <c r="B110" s="483" t="s">
        <v>189</v>
      </c>
      <c r="C110" s="483">
        <v>111</v>
      </c>
      <c r="D110" s="483">
        <v>5697</v>
      </c>
      <c r="E110" s="483" t="s">
        <v>597</v>
      </c>
      <c r="F110" s="483" t="str">
        <f>CONCATENATE(DescontosTE[[#This Row],[Permissionária]],DescontosTE[[#This Row],[codsariSUP]],DescontosTE[[#This Row],[Classe]])</f>
        <v>Cersul5697A3</v>
      </c>
      <c r="G110" s="513">
        <v>0.83597111247695144</v>
      </c>
      <c r="H110" s="513">
        <v>0.62697833435771355</v>
      </c>
      <c r="I110" s="513">
        <v>0.59899999999999998</v>
      </c>
      <c r="J110" s="515">
        <v>0.59009999999999996</v>
      </c>
      <c r="K110" s="684">
        <v>0.59009999999999996</v>
      </c>
      <c r="L110" s="886">
        <v>0.55869999999999997</v>
      </c>
      <c r="M110" s="1643">
        <v>0.55869999999999997</v>
      </c>
    </row>
    <row r="111" spans="1:13">
      <c r="A111" s="483" t="s">
        <v>448</v>
      </c>
      <c r="B111" s="483" t="s">
        <v>206</v>
      </c>
      <c r="C111" s="610">
        <v>167</v>
      </c>
      <c r="D111" s="483">
        <v>396</v>
      </c>
      <c r="E111" s="483" t="s">
        <v>597</v>
      </c>
      <c r="F111" s="483" t="str">
        <f>CONCATENATE(DescontosTE[[#This Row],[Permissionária]],DescontosTE[[#This Row],[codsariSUP]],DescontosTE[[#This Row],[Classe]])</f>
        <v>Certaja396A3</v>
      </c>
      <c r="G111" s="513">
        <v>0.8415330252786084</v>
      </c>
      <c r="H111" s="513">
        <v>0.63114976895895625</v>
      </c>
      <c r="I111" s="513">
        <v>0.42080000000000001</v>
      </c>
      <c r="J111" s="515">
        <v>0.21149999999999999</v>
      </c>
      <c r="K111" s="684">
        <v>0</v>
      </c>
      <c r="L111" s="886">
        <v>0</v>
      </c>
      <c r="M111" s="886">
        <v>0</v>
      </c>
    </row>
    <row r="112" spans="1:13">
      <c r="A112" s="483" t="s">
        <v>448</v>
      </c>
      <c r="B112" s="483" t="s">
        <v>206</v>
      </c>
      <c r="C112" s="610">
        <v>167</v>
      </c>
      <c r="D112" s="483">
        <v>396</v>
      </c>
      <c r="E112" s="483" t="s">
        <v>595</v>
      </c>
      <c r="F112" s="483" t="str">
        <f>CONCATENATE(DescontosTE[[#This Row],[Permissionária]],DescontosTE[[#This Row],[codsariSUP]],DescontosTE[[#This Row],[Classe]])</f>
        <v>Certaja396A4</v>
      </c>
      <c r="G112" s="513">
        <v>0.8415330252786084</v>
      </c>
      <c r="H112" s="513">
        <v>0.63114976895895625</v>
      </c>
      <c r="I112" s="513">
        <v>0.42080000000000001</v>
      </c>
      <c r="J112" s="515">
        <v>0.21149999999999999</v>
      </c>
      <c r="K112" s="684">
        <v>0</v>
      </c>
      <c r="L112" s="886">
        <v>0</v>
      </c>
      <c r="M112" s="886">
        <v>0</v>
      </c>
    </row>
    <row r="113" spans="1:13">
      <c r="A113" s="483" t="s">
        <v>448</v>
      </c>
      <c r="B113" s="483" t="s">
        <v>352</v>
      </c>
      <c r="C113" s="483">
        <v>110</v>
      </c>
      <c r="D113" s="483">
        <v>5707</v>
      </c>
      <c r="E113" s="483" t="s">
        <v>595</v>
      </c>
      <c r="F113" s="483" t="str">
        <f>CONCATENATE(DescontosTE[[#This Row],[Permissionária]],DescontosTE[[#This Row],[codsariSUP]],DescontosTE[[#This Row],[Classe]])</f>
        <v>Certaja5707A4</v>
      </c>
      <c r="G113" s="513">
        <v>0.8239405071230177</v>
      </c>
      <c r="H113" s="513">
        <v>0.61795538034226327</v>
      </c>
      <c r="I113" s="513">
        <v>0.41199999999999998</v>
      </c>
      <c r="J113" s="515">
        <v>0.21149999999999999</v>
      </c>
      <c r="K113" s="684">
        <v>0</v>
      </c>
      <c r="L113" s="886">
        <v>0</v>
      </c>
      <c r="M113" s="886">
        <v>0</v>
      </c>
    </row>
    <row r="114" spans="1:13">
      <c r="A114" s="483" t="s">
        <v>201</v>
      </c>
      <c r="B114" s="483" t="s">
        <v>206</v>
      </c>
      <c r="C114" s="610">
        <v>167</v>
      </c>
      <c r="D114" s="483">
        <v>396</v>
      </c>
      <c r="E114" s="483" t="s">
        <v>597</v>
      </c>
      <c r="F114" s="483" t="str">
        <f>CONCATENATE(DescontosTE[[#This Row],[Permissionária]],DescontosTE[[#This Row],[codsariSUP]],DescontosTE[[#This Row],[Classe]])</f>
        <v>Certel396A3</v>
      </c>
      <c r="G114" s="513">
        <v>0.60488390712570062</v>
      </c>
      <c r="H114" s="513">
        <v>0.60488390712570062</v>
      </c>
      <c r="I114" s="513">
        <v>0.60488390712570062</v>
      </c>
      <c r="J114" s="515">
        <v>0.58309999999999995</v>
      </c>
      <c r="K114" s="684">
        <v>0.48330000000000001</v>
      </c>
      <c r="L114" s="886">
        <v>0.35730000000000001</v>
      </c>
      <c r="M114" s="1643">
        <v>0.32969999999999999</v>
      </c>
    </row>
    <row r="115" spans="1:13">
      <c r="A115" s="483" t="s">
        <v>201</v>
      </c>
      <c r="B115" s="483" t="s">
        <v>206</v>
      </c>
      <c r="C115" s="610">
        <v>167</v>
      </c>
      <c r="D115" s="610">
        <v>396</v>
      </c>
      <c r="E115" s="483" t="s">
        <v>595</v>
      </c>
      <c r="F115" s="483" t="str">
        <f>CONCATENATE(DescontosTE[[#This Row],[Permissionária]],DescontosTE[[#This Row],[codsariSUP]],DescontosTE[[#This Row],[Classe]])</f>
        <v>Certel396A4</v>
      </c>
      <c r="G115" s="513">
        <v>0.54613733905579398</v>
      </c>
      <c r="H115" s="513">
        <v>0.54613733905579398</v>
      </c>
      <c r="I115" s="513">
        <v>0.54613733905579398</v>
      </c>
      <c r="J115" s="515">
        <v>0.54610000000000003</v>
      </c>
      <c r="K115" s="684">
        <v>0.48330000000000001</v>
      </c>
      <c r="L115" s="886">
        <v>0.35730000000000001</v>
      </c>
      <c r="M115" s="1643">
        <v>0.32969999999999999</v>
      </c>
    </row>
    <row r="116" spans="1:13">
      <c r="A116" s="483" t="s">
        <v>410</v>
      </c>
      <c r="B116" s="483" t="s">
        <v>189</v>
      </c>
      <c r="C116" s="483">
        <v>111</v>
      </c>
      <c r="D116" s="483">
        <v>5697</v>
      </c>
      <c r="E116" s="483" t="s">
        <v>595</v>
      </c>
      <c r="F116" s="483" t="str">
        <f>CONCATENATE(DescontosTE[[#This Row],[Permissionária]],DescontosTE[[#This Row],[codsariSUP]],DescontosTE[[#This Row],[Classe]])</f>
        <v>Certrel5697A4</v>
      </c>
      <c r="G116" s="513">
        <v>0.88707885968159939</v>
      </c>
      <c r="H116" s="513">
        <v>0.88707885968159939</v>
      </c>
      <c r="I116" s="513">
        <v>0.88707885968159939</v>
      </c>
      <c r="J116" s="515">
        <v>0.81359999999999999</v>
      </c>
      <c r="K116" s="684">
        <v>0.81359999999999999</v>
      </c>
      <c r="L116" s="886">
        <v>0.81359999999999999</v>
      </c>
      <c r="M116" s="1643">
        <v>0.61460000000000004</v>
      </c>
    </row>
    <row r="117" spans="1:13">
      <c r="A117" s="483" t="s">
        <v>338</v>
      </c>
      <c r="B117" s="483" t="s">
        <v>178</v>
      </c>
      <c r="C117" s="483">
        <v>135</v>
      </c>
      <c r="D117" s="483">
        <v>2937</v>
      </c>
      <c r="E117" s="483" t="s">
        <v>595</v>
      </c>
      <c r="F117" s="483" t="str">
        <f>CONCATENATE(DescontosTE[[#This Row],[Permissionária]],DescontosTE[[#This Row],[codsariSUP]],DescontosTE[[#This Row],[Classe]])</f>
        <v>Cetril2937A4</v>
      </c>
      <c r="G117" s="513">
        <v>0.50648278140226277</v>
      </c>
      <c r="H117" s="513">
        <v>0.37986208605169708</v>
      </c>
      <c r="I117" s="513">
        <v>0.1396</v>
      </c>
      <c r="J117" s="515">
        <v>0.1396</v>
      </c>
      <c r="K117" s="684">
        <v>0</v>
      </c>
      <c r="L117" s="886">
        <v>0</v>
      </c>
      <c r="M117" s="886">
        <v>0</v>
      </c>
    </row>
    <row r="118" spans="1:13">
      <c r="A118" s="483" t="s">
        <v>338</v>
      </c>
      <c r="B118" s="483" t="s">
        <v>164</v>
      </c>
      <c r="C118" s="483">
        <v>145</v>
      </c>
      <c r="D118" s="483">
        <v>385</v>
      </c>
      <c r="E118" s="483" t="s">
        <v>595</v>
      </c>
      <c r="F118" s="483" t="str">
        <f>CONCATENATE(DescontosTE[[#This Row],[Permissionária]],DescontosTE[[#This Row],[codsariSUP]],DescontosTE[[#This Row],[Classe]])</f>
        <v>Cetril385A4</v>
      </c>
      <c r="G118" s="513">
        <v>0.66580422595946531</v>
      </c>
      <c r="H118" s="513">
        <v>0.49935316946959896</v>
      </c>
      <c r="I118" s="513">
        <v>0.1396</v>
      </c>
      <c r="J118" s="515">
        <v>0.1396</v>
      </c>
      <c r="K118" s="684">
        <v>0</v>
      </c>
      <c r="L118" s="886">
        <v>0</v>
      </c>
      <c r="M118" s="886">
        <v>0</v>
      </c>
    </row>
    <row r="119" spans="1:13">
      <c r="A119" s="483" t="s">
        <v>188</v>
      </c>
      <c r="B119" s="483" t="s">
        <v>189</v>
      </c>
      <c r="C119" s="483">
        <v>111</v>
      </c>
      <c r="D119" s="483">
        <v>5697</v>
      </c>
      <c r="E119" s="483" t="s">
        <v>597</v>
      </c>
      <c r="F119" s="483" t="str">
        <f>CONCATENATE(DescontosTE[[#This Row],[Permissionária]],DescontosTE[[#This Row],[codsariSUP]],DescontosTE[[#This Row],[Classe]])</f>
        <v>Coopera5697A3</v>
      </c>
      <c r="G119" s="513">
        <v>0.78664720344191763</v>
      </c>
      <c r="H119" s="513">
        <v>0.58998540258143817</v>
      </c>
      <c r="I119" s="513">
        <v>0.58998540258143817</v>
      </c>
      <c r="J119" s="515">
        <v>0.59</v>
      </c>
      <c r="K119" s="684">
        <v>0.59</v>
      </c>
      <c r="L119" s="886">
        <v>0.59</v>
      </c>
      <c r="M119" s="1643">
        <v>0.59</v>
      </c>
    </row>
    <row r="120" spans="1:13">
      <c r="A120" s="483" t="s">
        <v>419</v>
      </c>
      <c r="B120" s="483" t="s">
        <v>189</v>
      </c>
      <c r="C120" s="483">
        <v>111</v>
      </c>
      <c r="D120" s="483">
        <v>5697</v>
      </c>
      <c r="E120" s="483" t="s">
        <v>595</v>
      </c>
      <c r="F120" s="483" t="str">
        <f>CONCATENATE(DescontosTE[[#This Row],[Permissionária]],DescontosTE[[#This Row],[codsariSUP]],DescontosTE[[#This Row],[Classe]])</f>
        <v>Coopercocal5697A4</v>
      </c>
      <c r="G120" s="513">
        <v>0.43784572833435764</v>
      </c>
      <c r="H120" s="513">
        <v>0.43784572833435764</v>
      </c>
      <c r="I120" s="513">
        <v>0.43780000000000002</v>
      </c>
      <c r="J120" s="515">
        <v>0.43780000000000002</v>
      </c>
      <c r="K120" s="684">
        <v>0.43780000000000002</v>
      </c>
      <c r="L120" s="886">
        <v>0.42730000000000001</v>
      </c>
      <c r="M120" s="1643">
        <v>0.42730000000000001</v>
      </c>
    </row>
    <row r="121" spans="1:13">
      <c r="A121" s="483" t="s">
        <v>419</v>
      </c>
      <c r="B121" s="483" t="s">
        <v>189</v>
      </c>
      <c r="C121" s="483">
        <v>111</v>
      </c>
      <c r="D121" s="483">
        <v>5697</v>
      </c>
      <c r="E121" s="483" t="s">
        <v>597</v>
      </c>
      <c r="F121" s="483" t="str">
        <f>CONCATENATE(DescontosTE[[#This Row],[Permissionária]],DescontosTE[[#This Row],[codsariSUP]],DescontosTE[[#This Row],[Classe]])</f>
        <v>Coopercocal5697A3</v>
      </c>
      <c r="G121" s="513">
        <v>0.74423786109403811</v>
      </c>
      <c r="H121" s="513">
        <v>0.74423786109403811</v>
      </c>
      <c r="I121" s="513">
        <v>0.66139999999999999</v>
      </c>
      <c r="J121" s="515">
        <v>0.6452</v>
      </c>
      <c r="K121" s="684">
        <v>0.4995</v>
      </c>
      <c r="L121" s="886">
        <v>0.42730000000000001</v>
      </c>
      <c r="M121" s="1643">
        <v>0.42730000000000001</v>
      </c>
    </row>
    <row r="122" spans="1:13">
      <c r="A122" s="483" t="s">
        <v>419</v>
      </c>
      <c r="B122" s="511" t="s">
        <v>423</v>
      </c>
      <c r="C122" s="511">
        <v>144</v>
      </c>
      <c r="D122" s="511">
        <v>86</v>
      </c>
      <c r="E122" s="483" t="s">
        <v>595</v>
      </c>
      <c r="F122" s="483" t="str">
        <f>CONCATENATE(DescontosTE[[#This Row],[Permissionária]],DescontosTE[[#This Row],[codsariSUP]],DescontosTE[[#This Row],[Classe]])</f>
        <v>Coopercocal86A4</v>
      </c>
      <c r="G122" s="513">
        <v>0.75887474882786332</v>
      </c>
      <c r="H122" s="513">
        <v>0.75887474882786332</v>
      </c>
      <c r="I122" s="513">
        <v>0.66139999999999999</v>
      </c>
      <c r="J122" s="515">
        <v>0.6452</v>
      </c>
      <c r="K122" s="684">
        <v>0.4995</v>
      </c>
      <c r="L122" s="886">
        <v>0.42730000000000001</v>
      </c>
      <c r="M122" s="1643">
        <v>0.42730000000000001</v>
      </c>
    </row>
    <row r="123" spans="1:13">
      <c r="A123" s="483" t="s">
        <v>459</v>
      </c>
      <c r="B123" s="483" t="s">
        <v>206</v>
      </c>
      <c r="C123" s="610">
        <v>167</v>
      </c>
      <c r="D123" s="610">
        <v>396</v>
      </c>
      <c r="E123" s="483" t="s">
        <v>595</v>
      </c>
      <c r="F123" s="483" t="str">
        <f>CONCATENATE(DescontosTE[[#This Row],[Permissionária]],DescontosTE[[#This Row],[codsariSUP]],DescontosTE[[#This Row],[Classe]])</f>
        <v>Cooperluz396A4</v>
      </c>
      <c r="G123" s="513">
        <v>0.81789999999999996</v>
      </c>
      <c r="H123" s="513">
        <v>0.81789999999999996</v>
      </c>
      <c r="I123" s="513">
        <v>0.65900000000000003</v>
      </c>
      <c r="J123" s="515">
        <v>0</v>
      </c>
      <c r="K123" s="684">
        <v>0</v>
      </c>
      <c r="L123" s="886">
        <v>0</v>
      </c>
      <c r="M123" s="886">
        <v>0</v>
      </c>
    </row>
    <row r="124" spans="1:13">
      <c r="A124" s="483" t="s">
        <v>459</v>
      </c>
      <c r="B124" s="483" t="s">
        <v>206</v>
      </c>
      <c r="C124" s="610">
        <v>167</v>
      </c>
      <c r="D124" s="610">
        <v>396</v>
      </c>
      <c r="E124" s="483" t="s">
        <v>597</v>
      </c>
      <c r="F124" s="483" t="str">
        <f>CONCATENATE(DescontosTE[[#This Row],[Permissionária]],DescontosTE[[#This Row],[codsariSUP]],DescontosTE[[#This Row],[Classe]])</f>
        <v>Cooperluz396A3</v>
      </c>
      <c r="G124" s="513">
        <v>0.81789999999999996</v>
      </c>
      <c r="H124" s="513">
        <v>0.81789999999999996</v>
      </c>
      <c r="I124" s="513">
        <v>0.65900000000000003</v>
      </c>
      <c r="J124" s="515">
        <v>0</v>
      </c>
      <c r="K124" s="684">
        <v>0</v>
      </c>
      <c r="L124" s="886">
        <v>0</v>
      </c>
      <c r="M124" s="886">
        <v>0</v>
      </c>
    </row>
    <row r="125" spans="1:13">
      <c r="A125" s="483" t="s">
        <v>426</v>
      </c>
      <c r="B125" s="483" t="s">
        <v>189</v>
      </c>
      <c r="C125" s="483">
        <v>111</v>
      </c>
      <c r="D125" s="483">
        <v>5697</v>
      </c>
      <c r="E125" s="483" t="s">
        <v>595</v>
      </c>
      <c r="F125" s="483" t="str">
        <f>CONCATENATE(DescontosTE[[#This Row],[Permissionária]],DescontosTE[[#This Row],[codsariSUP]],DescontosTE[[#This Row],[Classe]])</f>
        <v>Coopermila5697A4</v>
      </c>
      <c r="G125" s="513">
        <v>0.53672403196066387</v>
      </c>
      <c r="H125" s="513">
        <v>0.4025430239704979</v>
      </c>
      <c r="I125" s="513">
        <v>0.38200000000000001</v>
      </c>
      <c r="J125" s="515">
        <v>0.35849999999999999</v>
      </c>
      <c r="K125" s="684">
        <v>4.9599999999999998E-2</v>
      </c>
      <c r="L125" s="886">
        <v>3.3399999999999999E-2</v>
      </c>
      <c r="M125" s="1643">
        <v>3.3399999999999999E-2</v>
      </c>
    </row>
    <row r="126" spans="1:13">
      <c r="A126" s="483" t="s">
        <v>431</v>
      </c>
      <c r="B126" s="483" t="s">
        <v>189</v>
      </c>
      <c r="C126" s="483">
        <v>111</v>
      </c>
      <c r="D126" s="483">
        <v>5697</v>
      </c>
      <c r="E126" s="483" t="s">
        <v>595</v>
      </c>
      <c r="F126" s="483" t="str">
        <f>CONCATENATE(DescontosTE[[#This Row],[Permissionária]],DescontosTE[[#This Row],[codsariSUP]],DescontosTE[[#This Row],[Classe]])</f>
        <v>Coorsel5697A4</v>
      </c>
      <c r="G126" s="513">
        <v>0.88667793484941604</v>
      </c>
      <c r="H126" s="513">
        <v>0.66500845113706197</v>
      </c>
      <c r="I126" s="513">
        <v>0.36559999999999998</v>
      </c>
      <c r="J126" s="515">
        <v>0.29060000000000002</v>
      </c>
      <c r="K126" s="684">
        <v>2.6599999999999999E-2</v>
      </c>
      <c r="L126" s="886">
        <v>0</v>
      </c>
      <c r="M126" s="886">
        <v>0</v>
      </c>
    </row>
    <row r="127" spans="1:13">
      <c r="A127" s="483" t="s">
        <v>464</v>
      </c>
      <c r="B127" s="483" t="s">
        <v>206</v>
      </c>
      <c r="C127" s="610">
        <v>167</v>
      </c>
      <c r="D127" s="610">
        <v>396</v>
      </c>
      <c r="E127" s="483" t="s">
        <v>600</v>
      </c>
      <c r="F127" s="483" t="str">
        <f>CONCATENATE(DescontosTE[[#This Row],[Permissionária]],DescontosTE[[#This Row],[codsariSUP]],DescontosTE[[#This Row],[Classe]])</f>
        <v>Coprel396A2</v>
      </c>
      <c r="G127" s="513">
        <v>0.63819999999999999</v>
      </c>
      <c r="H127" s="513">
        <v>0.63819999999999999</v>
      </c>
      <c r="I127" s="513">
        <v>0.44450000000000001</v>
      </c>
      <c r="J127" s="515">
        <v>0</v>
      </c>
      <c r="K127" s="684">
        <v>0</v>
      </c>
      <c r="L127" s="886">
        <v>0</v>
      </c>
      <c r="M127" s="886">
        <v>0</v>
      </c>
    </row>
    <row r="128" spans="1:13">
      <c r="A128" s="483" t="s">
        <v>464</v>
      </c>
      <c r="B128" s="483" t="s">
        <v>206</v>
      </c>
      <c r="C128" s="610">
        <v>167</v>
      </c>
      <c r="D128" s="610">
        <v>396</v>
      </c>
      <c r="E128" s="483" t="s">
        <v>597</v>
      </c>
      <c r="F128" s="483" t="str">
        <f>CONCATENATE(DescontosTE[[#This Row],[Permissionária]],DescontosTE[[#This Row],[codsariSUP]],DescontosTE[[#This Row],[Classe]])</f>
        <v>Coprel396A3</v>
      </c>
      <c r="G128" s="513">
        <v>0.63819999999999999</v>
      </c>
      <c r="H128" s="513">
        <v>0.63819999999999999</v>
      </c>
      <c r="I128" s="513">
        <v>0.47870000000000001</v>
      </c>
      <c r="J128" s="515">
        <v>0</v>
      </c>
      <c r="K128" s="684">
        <v>0</v>
      </c>
      <c r="L128" s="886">
        <v>0</v>
      </c>
      <c r="M128" s="886">
        <v>0</v>
      </c>
    </row>
    <row r="129" spans="1:14">
      <c r="A129" s="483" t="s">
        <v>464</v>
      </c>
      <c r="B129" s="483" t="s">
        <v>206</v>
      </c>
      <c r="C129" s="610">
        <v>167</v>
      </c>
      <c r="D129" s="610">
        <v>396</v>
      </c>
      <c r="E129" s="483" t="s">
        <v>595</v>
      </c>
      <c r="F129" s="483" t="str">
        <f>CONCATENATE(DescontosTE[[#This Row],[Permissionária]],DescontosTE[[#This Row],[codsariSUP]],DescontosTE[[#This Row],[Classe]])</f>
        <v>Coprel396A4</v>
      </c>
      <c r="G129" s="513">
        <v>0.53600000000000003</v>
      </c>
      <c r="H129" s="513">
        <v>0.53600000000000003</v>
      </c>
      <c r="I129" s="513">
        <v>0.40200000000000002</v>
      </c>
      <c r="J129" s="515">
        <v>0</v>
      </c>
      <c r="K129" s="684">
        <v>0</v>
      </c>
      <c r="L129" s="886">
        <v>0</v>
      </c>
      <c r="M129" s="886">
        <v>0</v>
      </c>
    </row>
    <row r="130" spans="1:14">
      <c r="A130" s="483" t="s">
        <v>174</v>
      </c>
      <c r="B130" s="483" t="s">
        <v>206</v>
      </c>
      <c r="C130" s="610">
        <v>167</v>
      </c>
      <c r="D130" s="610">
        <v>396</v>
      </c>
      <c r="E130" s="483" t="s">
        <v>595</v>
      </c>
      <c r="F130" s="483" t="str">
        <f>CONCATENATE(DescontosTE[[#This Row],[Permissionária]],DescontosTE[[#This Row],[codsariSUP]],DescontosTE[[#This Row],[Classe]])</f>
        <v>Creluz396A4</v>
      </c>
      <c r="G130" s="513">
        <v>0.83053171196948017</v>
      </c>
      <c r="H130" s="513">
        <v>0.83053171196948017</v>
      </c>
      <c r="I130" s="513">
        <v>0.83053171196948017</v>
      </c>
      <c r="J130" s="515">
        <v>0.34849999999999998</v>
      </c>
      <c r="K130" s="684">
        <v>0.34849999999999998</v>
      </c>
      <c r="L130" s="886">
        <v>0.28499999999999998</v>
      </c>
      <c r="M130" s="1643">
        <v>0.28499999999999998</v>
      </c>
    </row>
    <row r="131" spans="1:14">
      <c r="A131" s="483" t="s">
        <v>475</v>
      </c>
      <c r="B131" s="483" t="s">
        <v>206</v>
      </c>
      <c r="C131" s="610">
        <v>167</v>
      </c>
      <c r="D131" s="610">
        <v>396</v>
      </c>
      <c r="E131" s="483" t="s">
        <v>595</v>
      </c>
      <c r="F131" s="483" t="str">
        <f>CONCATENATE(DescontosTE[[#This Row],[Permissionária]],DescontosTE[[#This Row],[codsariSUP]],DescontosTE[[#This Row],[Classe]])</f>
        <v>Creral396A4</v>
      </c>
      <c r="G131" s="513">
        <v>0.76871721506914636</v>
      </c>
      <c r="H131" s="513">
        <v>0.76871721506914636</v>
      </c>
      <c r="I131" s="513">
        <v>0.76871721506914636</v>
      </c>
      <c r="J131" s="515">
        <v>0.46889999999999998</v>
      </c>
      <c r="K131" s="684">
        <v>0.46889999999999998</v>
      </c>
      <c r="L131" s="886">
        <v>0.214</v>
      </c>
      <c r="M131" s="1643">
        <v>0.214</v>
      </c>
    </row>
    <row r="132" spans="1:14">
      <c r="A132" s="483" t="s">
        <v>475</v>
      </c>
      <c r="B132" s="483" t="s">
        <v>206</v>
      </c>
      <c r="C132" s="610">
        <v>167</v>
      </c>
      <c r="D132" s="610">
        <v>396</v>
      </c>
      <c r="E132" s="483" t="s">
        <v>602</v>
      </c>
      <c r="F132" s="483" t="str">
        <f>CONCATENATE(DescontosTE[[#This Row],[Permissionária]],DescontosTE[[#This Row],[codsariSUP]],DescontosTE[[#This Row],[Classe]])</f>
        <v>Creral396B</v>
      </c>
      <c r="G132" s="513">
        <v>2.0743919885550688E-2</v>
      </c>
      <c r="H132" s="513">
        <v>2.0743919885550688E-2</v>
      </c>
      <c r="I132" s="513">
        <v>2.0743919885550688E-2</v>
      </c>
      <c r="J132" s="515">
        <v>2.07E-2</v>
      </c>
      <c r="K132" s="684">
        <v>2.07E-2</v>
      </c>
      <c r="L132" s="886">
        <v>2.07E-2</v>
      </c>
      <c r="M132" s="1643">
        <v>2.07E-2</v>
      </c>
    </row>
    <row r="133" spans="1:14">
      <c r="A133" s="483" t="s">
        <v>365</v>
      </c>
      <c r="B133" s="489" t="s">
        <v>163</v>
      </c>
      <c r="C133" s="483">
        <v>103</v>
      </c>
      <c r="D133" s="483">
        <v>383</v>
      </c>
      <c r="E133" s="483" t="s">
        <v>595</v>
      </c>
      <c r="F133" s="483" t="str">
        <f>CONCATENATE(DescontosTE[[#This Row],[Permissionária]],DescontosTE[[#This Row],[codsariSUP]],DescontosTE[[#This Row],[Classe]])</f>
        <v>Cerci383A4</v>
      </c>
      <c r="G133" s="513"/>
      <c r="H133" s="513"/>
      <c r="I133" s="513"/>
      <c r="J133" s="515">
        <v>0.38529999999999998</v>
      </c>
      <c r="K133" s="818">
        <v>0.38529999999999998</v>
      </c>
      <c r="L133" s="886">
        <f>DescontosTE[[#This Row],[2019]]</f>
        <v>0.38529999999999998</v>
      </c>
      <c r="M133" s="515">
        <f>DescontosTE[[#This Row],[2020]]</f>
        <v>0.38529999999999998</v>
      </c>
      <c r="N133" s="515">
        <f>DescontosTE[[#This Row],[2020]]</f>
        <v>0.38529999999999998</v>
      </c>
    </row>
    <row r="134" spans="1:14">
      <c r="A134" s="483" t="s">
        <v>196</v>
      </c>
      <c r="B134" s="489" t="s">
        <v>163</v>
      </c>
      <c r="C134" s="483">
        <v>103</v>
      </c>
      <c r="D134" s="483">
        <v>383</v>
      </c>
      <c r="E134" s="483" t="s">
        <v>595</v>
      </c>
      <c r="F134" s="483" t="str">
        <f>CONCATENATE(DescontosTE[[#This Row],[Permissionária]],DescontosTE[[#This Row],[codsariSUP]],DescontosTE[[#This Row],[Classe]])</f>
        <v>Ceral Araruama383A4</v>
      </c>
      <c r="G134" s="513"/>
      <c r="H134" s="513"/>
      <c r="I134" s="513"/>
      <c r="J134" s="515">
        <v>0.38529999999999998</v>
      </c>
      <c r="K134" s="818">
        <v>0.38030000000000003</v>
      </c>
      <c r="L134" s="886">
        <f>DescontosTE[[#This Row],[2019]]</f>
        <v>0.38030000000000003</v>
      </c>
      <c r="M134" s="513">
        <v>0.26430999999999999</v>
      </c>
      <c r="N134" s="513">
        <v>0.26430999999999999</v>
      </c>
    </row>
    <row r="135" spans="1:14">
      <c r="A135" s="483" t="s">
        <v>388</v>
      </c>
      <c r="B135" s="483" t="s">
        <v>206</v>
      </c>
      <c r="C135" s="610">
        <v>167</v>
      </c>
      <c r="D135" s="610">
        <v>396</v>
      </c>
      <c r="E135" s="483" t="s">
        <v>595</v>
      </c>
      <c r="F135" s="483" t="str">
        <f>CONCATENATE(DescontosTE[[#This Row],[Permissionária]],DescontosTE[[#This Row],[codsariSUP]],DescontosTE[[#This Row],[Classe]])</f>
        <v>Cerfox396A4</v>
      </c>
      <c r="G135" s="513"/>
      <c r="H135" s="513"/>
      <c r="I135" s="513"/>
      <c r="J135" s="515">
        <v>0.1401</v>
      </c>
      <c r="K135" s="818">
        <v>0.1401</v>
      </c>
      <c r="L135" s="886">
        <v>0.1401</v>
      </c>
      <c r="M135" s="1643">
        <v>0.1401</v>
      </c>
    </row>
    <row r="136" spans="1:14">
      <c r="A136" s="483" t="s">
        <v>492</v>
      </c>
      <c r="B136" s="483" t="s">
        <v>206</v>
      </c>
      <c r="C136" s="610">
        <v>167</v>
      </c>
      <c r="D136" s="610">
        <v>396</v>
      </c>
      <c r="E136" s="483" t="s">
        <v>595</v>
      </c>
      <c r="F136" s="483" t="str">
        <f>CONCATENATE(DescontosTE[[#This Row],[Permissionária]],DescontosTE[[#This Row],[codsariSUP]],DescontosTE[[#This Row],[Classe]])</f>
        <v>Certhil396A4</v>
      </c>
      <c r="G136" s="513"/>
      <c r="H136" s="513"/>
      <c r="I136" s="513"/>
      <c r="J136" s="515">
        <v>0.25359999999999999</v>
      </c>
      <c r="K136" s="818">
        <v>0.22370000000000001</v>
      </c>
      <c r="L136" s="886">
        <v>0.1273</v>
      </c>
      <c r="M136" s="1643">
        <v>0</v>
      </c>
    </row>
    <row r="137" spans="1:14">
      <c r="A137" s="483" t="s">
        <v>290</v>
      </c>
      <c r="B137" s="483" t="s">
        <v>605</v>
      </c>
      <c r="C137" s="483">
        <v>132</v>
      </c>
      <c r="D137" s="483">
        <v>2866</v>
      </c>
      <c r="E137" s="483" t="s">
        <v>599</v>
      </c>
      <c r="F137" s="483" t="str">
        <f>CONCATENATE(DescontosTE[[#This Row],[Permissionária]],DescontosTE[[#This Row],[codsariSUP]],DescontosTE[[#This Row],[Classe]])</f>
        <v>Castro Dis2866A3a</v>
      </c>
      <c r="G137" s="513"/>
      <c r="H137" s="513"/>
      <c r="I137" s="513"/>
      <c r="J137" s="515">
        <v>0.42030000000000001</v>
      </c>
      <c r="K137" s="818">
        <v>0.42030000000000001</v>
      </c>
      <c r="L137" s="886">
        <v>0.33839999999999998</v>
      </c>
      <c r="M137" s="1643">
        <v>0.33839999999999998</v>
      </c>
    </row>
    <row r="138" spans="1:14">
      <c r="A138" s="483" t="s">
        <v>290</v>
      </c>
      <c r="B138" s="483" t="s">
        <v>605</v>
      </c>
      <c r="C138" s="483">
        <v>132</v>
      </c>
      <c r="D138" s="483">
        <v>2866</v>
      </c>
      <c r="E138" s="483" t="s">
        <v>595</v>
      </c>
      <c r="F138" s="483" t="str">
        <f>CONCATENATE(DescontosTE[[#This Row],[Permissionária]],DescontosTE[[#This Row],[codsariSUP]],DescontosTE[[#This Row],[Classe]])</f>
        <v>Castro Dis2866A4</v>
      </c>
      <c r="G138" s="513"/>
      <c r="H138" s="513"/>
      <c r="I138" s="513"/>
      <c r="J138" s="515">
        <v>0.4153</v>
      </c>
      <c r="K138" s="818">
        <v>0.4153</v>
      </c>
      <c r="L138" s="886">
        <v>0.33839999999999998</v>
      </c>
      <c r="M138" s="1643">
        <v>0.33839999999999998</v>
      </c>
    </row>
    <row r="139" spans="1:14">
      <c r="A139" s="483" t="s">
        <v>508</v>
      </c>
      <c r="B139" s="483" t="s">
        <v>606</v>
      </c>
      <c r="C139" s="483">
        <v>145</v>
      </c>
      <c r="D139" s="483">
        <v>385</v>
      </c>
      <c r="E139" s="483" t="s">
        <v>595</v>
      </c>
      <c r="F139" s="483" t="str">
        <f>CONCATENATE(DescontosTE[[#This Row],[Permissionária]],DescontosTE[[#This Row],[codsariSUP]],DescontosTE[[#This Row],[Classe]])</f>
        <v>Cervam385A4</v>
      </c>
      <c r="G139" s="513"/>
      <c r="H139" s="513"/>
      <c r="I139" s="513"/>
      <c r="J139" s="515">
        <v>0.40989999999999999</v>
      </c>
      <c r="K139" s="818">
        <v>4.3299999999999998E-2</v>
      </c>
      <c r="L139" s="886">
        <v>0</v>
      </c>
      <c r="M139" s="886">
        <v>0</v>
      </c>
    </row>
    <row r="140" spans="1:14">
      <c r="A140" s="483" t="s">
        <v>508</v>
      </c>
      <c r="B140" s="483" t="s">
        <v>150</v>
      </c>
      <c r="C140" s="483">
        <v>136</v>
      </c>
      <c r="D140" s="483">
        <v>63</v>
      </c>
      <c r="E140" s="483" t="s">
        <v>595</v>
      </c>
      <c r="F140" s="483" t="str">
        <f>CONCATENATE(DescontosTE[[#This Row],[Permissionária]],DescontosTE[[#This Row],[codsariSUP]],DescontosTE[[#This Row],[Classe]])</f>
        <v>Cervam63A4</v>
      </c>
      <c r="G140" s="513"/>
      <c r="H140" s="513"/>
      <c r="I140" s="513"/>
      <c r="J140" s="515">
        <v>0.4103</v>
      </c>
      <c r="K140" s="818">
        <v>4.3299999999999998E-2</v>
      </c>
      <c r="L140" s="886">
        <v>0</v>
      </c>
      <c r="M140" s="886">
        <v>0</v>
      </c>
    </row>
    <row r="141" spans="1:14">
      <c r="A141" s="483" t="s">
        <v>186</v>
      </c>
      <c r="B141" s="483" t="s">
        <v>189</v>
      </c>
      <c r="C141" s="483">
        <v>111</v>
      </c>
      <c r="D141" s="483">
        <v>5697</v>
      </c>
      <c r="E141" s="483" t="s">
        <v>600</v>
      </c>
      <c r="F141" s="483" t="str">
        <f>CONCATENATE(DescontosTE[[#This Row],[Permissionária]],DescontosTE[[#This Row],[codsariSUP]],DescontosTE[[#This Row],[Classe]])</f>
        <v>Cegero5697A2</v>
      </c>
      <c r="G141" s="513"/>
      <c r="H141" s="513"/>
      <c r="I141" s="513"/>
      <c r="J141" s="515">
        <v>0.44009999999999999</v>
      </c>
      <c r="K141" s="818">
        <v>0.3735</v>
      </c>
      <c r="L141" s="886">
        <v>0.29289999999999999</v>
      </c>
      <c r="M141" s="1643">
        <v>0.29289999999999999</v>
      </c>
    </row>
    <row r="142" spans="1:14">
      <c r="A142" s="483" t="s">
        <v>470</v>
      </c>
      <c r="B142" s="483" t="s">
        <v>189</v>
      </c>
      <c r="C142" s="483">
        <v>111</v>
      </c>
      <c r="D142" s="483">
        <v>5697</v>
      </c>
      <c r="E142" s="483" t="s">
        <v>595</v>
      </c>
      <c r="F142" s="483" t="str">
        <f>CONCATENATE(DescontosTE[[#This Row],[Permissionária]],DescontosTE[[#This Row],[codsariSUP]],DescontosTE[[#This Row],[Classe]])</f>
        <v>Cersad5697A4</v>
      </c>
      <c r="G142" s="513"/>
      <c r="H142" s="513"/>
      <c r="I142" s="513"/>
      <c r="J142" s="515">
        <v>0.41320000000000001</v>
      </c>
      <c r="K142" s="818">
        <v>0.34079999999999999</v>
      </c>
      <c r="L142" s="886">
        <v>0.25679999999999997</v>
      </c>
      <c r="M142" s="1643">
        <v>0</v>
      </c>
    </row>
    <row r="143" spans="1:14">
      <c r="A143" s="483" t="s">
        <v>519</v>
      </c>
      <c r="B143" s="483" t="s">
        <v>189</v>
      </c>
      <c r="C143" s="483">
        <v>111</v>
      </c>
      <c r="D143" s="483">
        <v>5697</v>
      </c>
      <c r="E143" s="483" t="s">
        <v>600</v>
      </c>
      <c r="F143" s="483" t="str">
        <f>CONCATENATE(DescontosTE[[#This Row],[Permissionária]],DescontosTE[[#This Row],[codsariSUP]],DescontosTE[[#This Row],[Classe]])</f>
        <v>Codesam5697A2</v>
      </c>
      <c r="G143" s="513"/>
      <c r="H143" s="513"/>
      <c r="I143" s="513"/>
      <c r="J143" s="515">
        <v>0.44009999999999999</v>
      </c>
      <c r="K143" s="818">
        <v>0.28170000000000001</v>
      </c>
      <c r="L143" s="886">
        <v>0.25019999999999998</v>
      </c>
      <c r="M143" s="1643">
        <v>0.25019999999999998</v>
      </c>
    </row>
    <row r="144" spans="1:14">
      <c r="A144" s="483" t="s">
        <v>554</v>
      </c>
      <c r="B144" s="483" t="s">
        <v>189</v>
      </c>
      <c r="C144" s="483">
        <v>111</v>
      </c>
      <c r="D144" s="483">
        <v>5697</v>
      </c>
      <c r="E144" s="483" t="s">
        <v>595</v>
      </c>
      <c r="F144" s="483" t="str">
        <f>CONCATENATE(DescontosTE[[#This Row],[Permissionária]],DescontosTE[[#This Row],[codsariSUP]],DescontosTE[[#This Row],[Classe]])</f>
        <v>Cooperzem5697A4</v>
      </c>
      <c r="G144" s="513"/>
      <c r="H144" s="513"/>
      <c r="I144" s="513"/>
      <c r="J144" s="515">
        <v>0.41320000000000001</v>
      </c>
      <c r="K144" s="818">
        <v>0.16650000000000001</v>
      </c>
      <c r="L144" s="886">
        <v>0.1057</v>
      </c>
      <c r="M144" s="1643">
        <v>0.1057</v>
      </c>
    </row>
    <row r="145" spans="1:50">
      <c r="A145" s="483" t="s">
        <v>10</v>
      </c>
      <c r="B145" s="483" t="s">
        <v>352</v>
      </c>
      <c r="C145" s="483">
        <v>110</v>
      </c>
      <c r="D145" s="483">
        <v>5707</v>
      </c>
      <c r="E145" s="483" t="s">
        <v>595</v>
      </c>
      <c r="F145" s="483" t="str">
        <f>CONCATENATE(DescontosTE[[#This Row],[Permissionária]],DescontosTE[[#This Row],[codsariSUP]],DescontosTE[[#This Row],[Classe]])</f>
        <v>Coopersul5707A4</v>
      </c>
      <c r="G145" s="513"/>
      <c r="H145" s="513"/>
      <c r="I145" s="513"/>
      <c r="J145" s="515">
        <v>0.33779999999999999</v>
      </c>
      <c r="K145" s="818">
        <v>0.33779999999999999</v>
      </c>
      <c r="L145" s="886">
        <v>0.20419999999999999</v>
      </c>
      <c r="M145" s="1643">
        <v>9.0499999999999997E-2</v>
      </c>
    </row>
    <row r="146" spans="1:50">
      <c r="A146" s="483" t="s">
        <v>11</v>
      </c>
      <c r="B146" s="483" t="s">
        <v>352</v>
      </c>
      <c r="C146" s="483">
        <v>110</v>
      </c>
      <c r="D146" s="483">
        <v>5707</v>
      </c>
      <c r="E146" s="483" t="s">
        <v>595</v>
      </c>
      <c r="F146" s="483" t="str">
        <f>CONCATENATE(DescontosTE[[#This Row],[Permissionária]],DescontosTE[[#This Row],[codsariSUP]],DescontosTE[[#This Row],[Classe]])</f>
        <v>Coopernorte5707A4</v>
      </c>
      <c r="G146" s="513"/>
      <c r="H146" s="513"/>
      <c r="I146" s="513"/>
      <c r="J146" s="515">
        <v>0.49409999999999998</v>
      </c>
      <c r="K146" s="818">
        <v>0.48630000000000001</v>
      </c>
      <c r="L146" s="886">
        <v>0.37609999999999999</v>
      </c>
      <c r="M146" s="1643">
        <v>0.37609999999999999</v>
      </c>
    </row>
    <row r="147" spans="1:50">
      <c r="A147" s="483" t="s">
        <v>327</v>
      </c>
      <c r="B147" s="483" t="s">
        <v>150</v>
      </c>
      <c r="C147" s="483">
        <v>136</v>
      </c>
      <c r="D147" s="483">
        <v>63</v>
      </c>
      <c r="E147" s="483" t="s">
        <v>600</v>
      </c>
      <c r="F147" s="483" t="str">
        <f>CONCATENATE(DescontosTE[[#This Row],[Permissionária]],DescontosTE[[#This Row],[codsariSUP]],DescontosTE[[#This Row],[Classe]])</f>
        <v>Cemirim63A2</v>
      </c>
      <c r="G147" s="513"/>
      <c r="H147" s="513"/>
      <c r="I147" s="513"/>
      <c r="J147" s="515"/>
      <c r="K147" s="818">
        <v>0.18690000000000001</v>
      </c>
      <c r="L147" s="886">
        <v>0.1603</v>
      </c>
      <c r="M147" s="513">
        <v>0</v>
      </c>
    </row>
    <row r="148" spans="1:50">
      <c r="A148" s="483" t="s">
        <v>327</v>
      </c>
      <c r="B148" s="483" t="s">
        <v>164</v>
      </c>
      <c r="C148" s="483">
        <v>145</v>
      </c>
      <c r="D148" s="483">
        <v>385</v>
      </c>
      <c r="E148" s="483" t="s">
        <v>595</v>
      </c>
      <c r="F148" s="483" t="str">
        <f>CONCATENATE(DescontosTE[[#This Row],[Permissionária]],DescontosTE[[#This Row],[codsariSUP]],DescontosTE[[#This Row],[Classe]])</f>
        <v>Cemirim385A4</v>
      </c>
      <c r="G148" s="513"/>
      <c r="H148" s="513"/>
      <c r="I148" s="513"/>
      <c r="J148" s="515"/>
      <c r="K148" s="818">
        <v>0.18690000000000001</v>
      </c>
      <c r="L148" s="886">
        <v>0.1603</v>
      </c>
      <c r="M148" s="513">
        <v>0</v>
      </c>
    </row>
    <row r="149" spans="1:50">
      <c r="A149" s="483" t="s">
        <v>320</v>
      </c>
      <c r="B149" s="483" t="s">
        <v>206</v>
      </c>
      <c r="C149" s="483">
        <v>167</v>
      </c>
      <c r="D149" s="483">
        <v>396</v>
      </c>
      <c r="E149" s="483" t="s">
        <v>595</v>
      </c>
      <c r="F149" s="483" t="str">
        <f>CONCATENATE(DescontosTE[[#This Row],[Permissionária]],DescontosTE[[#This Row],[codsariSUP]],DescontosTE[[#This Row],[Classe]])</f>
        <v>Celetro396A4</v>
      </c>
      <c r="G149" s="887"/>
      <c r="H149" s="887"/>
      <c r="I149" s="887"/>
      <c r="J149" s="515"/>
      <c r="K149" s="818"/>
      <c r="L149" s="886">
        <v>0.1426</v>
      </c>
      <c r="M149" s="1643">
        <v>0.1426</v>
      </c>
      <c r="AS149" s="874"/>
      <c r="AX149" s="874"/>
    </row>
    <row r="150" spans="1:50">
      <c r="A150" s="483" t="s">
        <v>320</v>
      </c>
      <c r="B150" s="483" t="s">
        <v>607</v>
      </c>
      <c r="C150" s="483">
        <v>164</v>
      </c>
      <c r="D150" s="483">
        <v>400</v>
      </c>
      <c r="E150" s="483" t="s">
        <v>595</v>
      </c>
      <c r="F150" s="483" t="str">
        <f>CONCATENATE(DescontosTE[[#This Row],[Permissionária]],DescontosTE[[#This Row],[codsariSUP]],DescontosTE[[#This Row],[Classe]])</f>
        <v>Celetro400A4</v>
      </c>
      <c r="L150" s="515">
        <v>0.1426</v>
      </c>
      <c r="M150" s="1643">
        <v>0.1426</v>
      </c>
      <c r="AS150" s="874"/>
      <c r="AX150" s="874"/>
    </row>
    <row r="154" spans="1:50">
      <c r="A154" s="657" t="s">
        <v>608</v>
      </c>
    </row>
    <row r="156" spans="1:50">
      <c r="A156" s="9" t="s">
        <v>22</v>
      </c>
      <c r="B156" s="658" t="s">
        <v>238</v>
      </c>
      <c r="C156" t="s">
        <v>609</v>
      </c>
      <c r="D156" s="9" t="s">
        <v>610</v>
      </c>
      <c r="E156" s="9" t="s">
        <v>611</v>
      </c>
      <c r="F156" t="s">
        <v>612</v>
      </c>
      <c r="G156" t="s">
        <v>588</v>
      </c>
      <c r="H156" t="s">
        <v>589</v>
      </c>
      <c r="I156" t="s">
        <v>590</v>
      </c>
      <c r="J156" t="s">
        <v>591</v>
      </c>
      <c r="K156" t="s">
        <v>592</v>
      </c>
      <c r="L156" t="s">
        <v>593</v>
      </c>
      <c r="M156" t="s">
        <v>594</v>
      </c>
      <c r="N156" t="s">
        <v>2202</v>
      </c>
    </row>
    <row r="157" spans="1:50">
      <c r="A157" s="9" t="s">
        <v>583</v>
      </c>
      <c r="B157" s="659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6">
        <v>585.49</v>
      </c>
      <c r="L157">
        <v>716.79000000000008</v>
      </c>
      <c r="M157" s="418">
        <v>802.08</v>
      </c>
    </row>
    <row r="158" spans="1:50">
      <c r="A158" s="9" t="s">
        <v>583</v>
      </c>
      <c r="B158" s="660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6">
        <v>750.67</v>
      </c>
      <c r="L158">
        <v>694.52</v>
      </c>
      <c r="M158" s="418">
        <v>683.87</v>
      </c>
    </row>
    <row r="159" spans="1:50">
      <c r="A159" s="9" t="s">
        <v>583</v>
      </c>
      <c r="B159" s="659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6">
        <v>687.25</v>
      </c>
      <c r="L159">
        <v>653.32000000000005</v>
      </c>
      <c r="M159" s="418">
        <v>636.51</v>
      </c>
    </row>
    <row r="160" spans="1:50">
      <c r="A160" s="9" t="s">
        <v>583</v>
      </c>
      <c r="B160" s="660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6">
        <v>521.09</v>
      </c>
      <c r="L160">
        <v>586.86</v>
      </c>
      <c r="M160">
        <v>663.81999999999994</v>
      </c>
    </row>
    <row r="161" spans="1:13">
      <c r="A161" s="9" t="s">
        <v>583</v>
      </c>
      <c r="B161" s="659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6">
        <v>531.81000000000006</v>
      </c>
      <c r="L161">
        <v>604.55999999999995</v>
      </c>
      <c r="M161" s="418">
        <v>688.71</v>
      </c>
    </row>
    <row r="162" spans="1:13">
      <c r="A162" s="9" t="s">
        <v>583</v>
      </c>
      <c r="B162" s="660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6">
        <v>627.79</v>
      </c>
      <c r="L162">
        <f>419.13+242.86</f>
        <v>661.99</v>
      </c>
      <c r="M162" s="418">
        <v>820.92</v>
      </c>
    </row>
    <row r="163" spans="1:13">
      <c r="A163" s="9" t="s">
        <v>583</v>
      </c>
      <c r="B163" s="659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6">
        <v>550.73</v>
      </c>
      <c r="L163">
        <f>343.12+245.73</f>
        <v>588.85</v>
      </c>
      <c r="M163" s="418">
        <v>603.04999999999995</v>
      </c>
    </row>
    <row r="164" spans="1:13">
      <c r="A164" s="9" t="s">
        <v>583</v>
      </c>
      <c r="B164" s="660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6">
        <v>601.67000000000007</v>
      </c>
      <c r="L164">
        <f>319.9+262.18</f>
        <v>582.07999999999993</v>
      </c>
      <c r="M164" s="418">
        <v>613.14</v>
      </c>
    </row>
    <row r="165" spans="1:13">
      <c r="A165" s="9" t="s">
        <v>583</v>
      </c>
      <c r="B165" s="659" t="s">
        <v>332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6">
        <v>589.30000000000007</v>
      </c>
      <c r="L165">
        <v>631.75</v>
      </c>
      <c r="M165" s="418">
        <v>678.01</v>
      </c>
    </row>
    <row r="166" spans="1:13">
      <c r="A166" s="9" t="s">
        <v>583</v>
      </c>
      <c r="B166" s="660" t="s">
        <v>338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6">
        <v>697.1</v>
      </c>
      <c r="L166">
        <f>452.4+266.08</f>
        <v>718.48</v>
      </c>
      <c r="M166" s="418">
        <v>711.11</v>
      </c>
    </row>
    <row r="167" spans="1:13">
      <c r="A167" s="9" t="s">
        <v>583</v>
      </c>
      <c r="B167" s="659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6">
        <v>616.29</v>
      </c>
      <c r="L167">
        <v>657.39</v>
      </c>
      <c r="M167" s="418">
        <v>548.54000000000008</v>
      </c>
    </row>
    <row r="168" spans="1:13">
      <c r="A168" s="9" t="s">
        <v>583</v>
      </c>
      <c r="B168" s="660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6">
        <v>682.83</v>
      </c>
      <c r="L168">
        <v>725.14</v>
      </c>
      <c r="M168" s="418">
        <v>632.80000000000007</v>
      </c>
    </row>
    <row r="169" spans="1:13">
      <c r="A169" s="9" t="s">
        <v>583</v>
      </c>
      <c r="B169" s="659" t="s">
        <v>337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6">
        <v>496.86</v>
      </c>
      <c r="L169">
        <v>511.66</v>
      </c>
      <c r="M169" s="418">
        <v>518.32999999999993</v>
      </c>
    </row>
    <row r="170" spans="1:13">
      <c r="A170" s="9" t="s">
        <v>583</v>
      </c>
      <c r="B170" s="660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6">
        <v>663.57999999999993</v>
      </c>
      <c r="L170">
        <v>677.53</v>
      </c>
      <c r="M170" s="418">
        <v>632.93999999999994</v>
      </c>
    </row>
    <row r="171" spans="1:13">
      <c r="A171" s="9" t="s">
        <v>583</v>
      </c>
      <c r="B171" s="659" t="s">
        <v>360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6">
        <v>544.1</v>
      </c>
      <c r="L171">
        <v>589.07999999999993</v>
      </c>
      <c r="M171" s="662">
        <v>561.9</v>
      </c>
    </row>
    <row r="172" spans="1:13">
      <c r="A172" s="9" t="s">
        <v>583</v>
      </c>
      <c r="B172" s="660" t="s">
        <v>371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6">
        <v>580.39</v>
      </c>
      <c r="L172">
        <v>610.34</v>
      </c>
      <c r="M172" s="418">
        <v>628.70000000000005</v>
      </c>
    </row>
    <row r="173" spans="1:13">
      <c r="A173" s="9" t="s">
        <v>583</v>
      </c>
      <c r="B173" s="659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6">
        <v>655.47</v>
      </c>
      <c r="L173">
        <v>654.13</v>
      </c>
      <c r="M173" s="418">
        <v>721.68</v>
      </c>
    </row>
    <row r="174" spans="1:13">
      <c r="A174" s="9" t="s">
        <v>583</v>
      </c>
      <c r="B174" s="660" t="s">
        <v>382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6">
        <v>523.83000000000004</v>
      </c>
      <c r="L174">
        <v>545.07000000000005</v>
      </c>
      <c r="M174" s="418">
        <v>563.88</v>
      </c>
    </row>
    <row r="175" spans="1:13">
      <c r="A175" s="9" t="s">
        <v>583</v>
      </c>
      <c r="B175" s="659" t="s">
        <v>389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6">
        <v>559.04</v>
      </c>
      <c r="L175">
        <v>605.22</v>
      </c>
      <c r="M175" s="418">
        <v>641.27</v>
      </c>
    </row>
    <row r="176" spans="1:13">
      <c r="A176" s="9" t="s">
        <v>583</v>
      </c>
      <c r="B176" s="660" t="s">
        <v>394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6">
        <v>562.51</v>
      </c>
      <c r="L176">
        <v>608.16999999999996</v>
      </c>
      <c r="M176" s="418">
        <v>651.74</v>
      </c>
    </row>
    <row r="177" spans="1:13">
      <c r="A177" s="9" t="s">
        <v>583</v>
      </c>
      <c r="B177" s="659" t="s">
        <v>400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6">
        <v>633.44000000000005</v>
      </c>
      <c r="L177">
        <v>707.06999999999994</v>
      </c>
      <c r="M177" s="418">
        <v>705.72</v>
      </c>
    </row>
    <row r="178" spans="1:13">
      <c r="A178" s="9" t="s">
        <v>583</v>
      </c>
      <c r="B178" s="660" t="s">
        <v>405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6">
        <v>419.84</v>
      </c>
      <c r="L178">
        <v>440.52000000000004</v>
      </c>
      <c r="M178" s="418">
        <v>466</v>
      </c>
    </row>
    <row r="179" spans="1:13">
      <c r="A179" s="9" t="s">
        <v>583</v>
      </c>
      <c r="B179" s="659" t="s">
        <v>410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6">
        <v>620.12</v>
      </c>
      <c r="L179">
        <v>691.03000000000009</v>
      </c>
      <c r="M179" s="418">
        <v>729.03</v>
      </c>
    </row>
    <row r="180" spans="1:13">
      <c r="A180" s="9" t="s">
        <v>583</v>
      </c>
      <c r="B180" s="660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6">
        <v>387.09</v>
      </c>
      <c r="L180">
        <v>395.17</v>
      </c>
      <c r="M180" s="418">
        <v>403.03</v>
      </c>
    </row>
    <row r="181" spans="1:13">
      <c r="A181" s="9" t="s">
        <v>583</v>
      </c>
      <c r="B181" s="659" t="s">
        <v>419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6">
        <v>468.2</v>
      </c>
      <c r="L181">
        <v>502.33000000000004</v>
      </c>
      <c r="M181" s="418">
        <v>550.72</v>
      </c>
    </row>
    <row r="182" spans="1:13">
      <c r="A182" s="9" t="s">
        <v>583</v>
      </c>
      <c r="B182" s="660" t="s">
        <v>426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6">
        <v>506.32999999999993</v>
      </c>
      <c r="L182">
        <v>538.1</v>
      </c>
      <c r="M182" s="418">
        <v>614.15</v>
      </c>
    </row>
    <row r="183" spans="1:13">
      <c r="A183" s="9" t="s">
        <v>583</v>
      </c>
      <c r="B183" s="659" t="s">
        <v>431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6">
        <v>592.26</v>
      </c>
      <c r="L183">
        <v>622.27</v>
      </c>
      <c r="M183" s="418">
        <v>648.42999999999995</v>
      </c>
    </row>
    <row r="184" spans="1:13">
      <c r="A184" s="9" t="s">
        <v>583</v>
      </c>
      <c r="B184" s="660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6">
        <v>514.23</v>
      </c>
      <c r="L184">
        <v>496.95</v>
      </c>
      <c r="M184" s="418">
        <v>539.69000000000005</v>
      </c>
    </row>
    <row r="185" spans="1:13">
      <c r="A185" s="9" t="s">
        <v>583</v>
      </c>
      <c r="B185" s="659" t="s">
        <v>436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6">
        <v>666.96</v>
      </c>
      <c r="L185">
        <v>631.15</v>
      </c>
      <c r="M185" s="418">
        <v>604.07000000000005</v>
      </c>
    </row>
    <row r="186" spans="1:13">
      <c r="A186" s="9" t="s">
        <v>583</v>
      </c>
      <c r="B186" s="660" t="s">
        <v>448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6">
        <v>616.19999999999993</v>
      </c>
      <c r="L186">
        <f>357.43+226.05</f>
        <v>583.48</v>
      </c>
      <c r="M186" s="418">
        <v>521.44999999999993</v>
      </c>
    </row>
    <row r="187" spans="1:13">
      <c r="A187" s="9" t="s">
        <v>583</v>
      </c>
      <c r="B187" s="659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6">
        <v>458.66</v>
      </c>
      <c r="L187">
        <v>484.06</v>
      </c>
      <c r="M187" s="418">
        <v>508.88999999999993</v>
      </c>
    </row>
    <row r="188" spans="1:13">
      <c r="A188" s="9" t="s">
        <v>583</v>
      </c>
      <c r="B188" s="660" t="s">
        <v>459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6">
        <v>503.84</v>
      </c>
      <c r="L188">
        <v>506.04</v>
      </c>
      <c r="M188" s="418">
        <v>514.01</v>
      </c>
    </row>
    <row r="189" spans="1:13">
      <c r="A189" s="9" t="s">
        <v>583</v>
      </c>
      <c r="B189" s="659" t="s">
        <v>464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6">
        <v>571.18000000000006</v>
      </c>
      <c r="L189">
        <f>279.82+218.08</f>
        <v>497.9</v>
      </c>
      <c r="M189" s="418">
        <v>458.09</v>
      </c>
    </row>
    <row r="190" spans="1:13">
      <c r="A190" s="9" t="s">
        <v>583</v>
      </c>
      <c r="B190" s="660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6">
        <v>592.31999999999994</v>
      </c>
      <c r="L190">
        <v>573.04999999999995</v>
      </c>
      <c r="M190" s="418">
        <v>611.82000000000005</v>
      </c>
    </row>
    <row r="191" spans="1:13">
      <c r="A191" s="9" t="s">
        <v>583</v>
      </c>
      <c r="B191" s="659" t="s">
        <v>475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6">
        <v>607.33000000000004</v>
      </c>
      <c r="L191">
        <v>642.19000000000005</v>
      </c>
      <c r="M191" s="418">
        <v>700.57</v>
      </c>
    </row>
    <row r="192" spans="1:13">
      <c r="A192" s="9" t="s">
        <v>583</v>
      </c>
      <c r="B192" s="660" t="s">
        <v>355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6">
        <v>469.96</v>
      </c>
      <c r="L192">
        <v>496.82</v>
      </c>
      <c r="M192" s="418">
        <v>587.54</v>
      </c>
    </row>
    <row r="193" spans="1:16">
      <c r="A193" s="9" t="s">
        <v>583</v>
      </c>
      <c r="B193" s="659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6">
        <v>884.76</v>
      </c>
      <c r="L193">
        <f>763.76+204.91</f>
        <v>968.67</v>
      </c>
      <c r="M193">
        <v>1025.47</v>
      </c>
    </row>
    <row r="194" spans="1:16">
      <c r="A194" s="9" t="s">
        <v>583</v>
      </c>
      <c r="B194" s="661" t="s">
        <v>370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6">
        <v>782.78000000000009</v>
      </c>
      <c r="L194">
        <f>513.49+240.36</f>
        <v>753.85</v>
      </c>
      <c r="M194" s="418">
        <v>761.28</v>
      </c>
    </row>
    <row r="195" spans="1:16">
      <c r="A195" s="9" t="s">
        <v>583</v>
      </c>
      <c r="B195" s="511" t="s">
        <v>365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6">
        <v>894.62</v>
      </c>
      <c r="L195">
        <f>765.89+213.34</f>
        <v>979.23</v>
      </c>
      <c r="M195">
        <v>1023.74</v>
      </c>
    </row>
    <row r="196" spans="1:16">
      <c r="A196" s="9" t="s">
        <v>583</v>
      </c>
      <c r="B196" s="511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6">
        <v>950.33</v>
      </c>
      <c r="L196">
        <v>1054.05</v>
      </c>
      <c r="M196">
        <v>1107.67</v>
      </c>
      <c r="N196" s="234"/>
    </row>
    <row r="197" spans="1:16">
      <c r="A197" s="9" t="s">
        <v>583</v>
      </c>
      <c r="B197" s="511" t="s">
        <v>388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6">
        <v>562.08000000000004</v>
      </c>
      <c r="L197">
        <v>611.43999999999994</v>
      </c>
      <c r="M197" s="418">
        <v>660.43</v>
      </c>
      <c r="N197" s="8"/>
    </row>
    <row r="198" spans="1:16">
      <c r="A198" s="9" t="s">
        <v>583</v>
      </c>
      <c r="B198" s="511" t="s">
        <v>492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6">
        <v>528.30999999999995</v>
      </c>
      <c r="L198">
        <v>564.45999999999992</v>
      </c>
      <c r="M198" s="418">
        <v>597.03</v>
      </c>
      <c r="N198" s="8"/>
    </row>
    <row r="199" spans="1:16">
      <c r="A199" s="9" t="s">
        <v>583</v>
      </c>
      <c r="B199" s="511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6">
        <v>350.78999999999996</v>
      </c>
      <c r="L199">
        <v>369.5</v>
      </c>
      <c r="M199" s="418">
        <v>424.29</v>
      </c>
      <c r="N199" s="8"/>
    </row>
    <row r="200" spans="1:16">
      <c r="A200" s="9" t="s">
        <v>583</v>
      </c>
      <c r="B200" s="511" t="s">
        <v>508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6">
        <v>667.26</v>
      </c>
      <c r="L200">
        <v>648.54999999999995</v>
      </c>
      <c r="M200" s="418">
        <v>635.66</v>
      </c>
      <c r="N200" s="8"/>
    </row>
    <row r="201" spans="1:16">
      <c r="A201" s="9" t="s">
        <v>583</v>
      </c>
      <c r="B201" s="511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6">
        <v>374.59</v>
      </c>
      <c r="L201">
        <v>366.5</v>
      </c>
      <c r="M201" s="418">
        <v>409.78999999999996</v>
      </c>
      <c r="N201" s="8"/>
    </row>
    <row r="202" spans="1:16">
      <c r="A202" s="9" t="s">
        <v>583</v>
      </c>
      <c r="B202" s="511" t="s">
        <v>470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6">
        <v>564.18000000000006</v>
      </c>
      <c r="L202">
        <v>604.55000000000007</v>
      </c>
      <c r="M202" s="418">
        <v>472.58</v>
      </c>
      <c r="N202" s="8"/>
    </row>
    <row r="203" spans="1:16">
      <c r="A203" s="9" t="s">
        <v>583</v>
      </c>
      <c r="B203" s="511" t="s">
        <v>519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6">
        <v>386.85</v>
      </c>
      <c r="L203">
        <v>418.26000000000005</v>
      </c>
      <c r="M203" s="418">
        <v>463.75</v>
      </c>
      <c r="N203" s="8"/>
    </row>
    <row r="204" spans="1:16">
      <c r="A204" s="9" t="s">
        <v>583</v>
      </c>
      <c r="B204" s="511" t="s">
        <v>554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6">
        <v>559.9</v>
      </c>
      <c r="L204">
        <f>357.17+229.26</f>
        <v>586.43000000000006</v>
      </c>
      <c r="M204" s="418">
        <v>662.51</v>
      </c>
      <c r="N204" s="8"/>
    </row>
    <row r="205" spans="1:16">
      <c r="A205" s="9" t="s">
        <v>583</v>
      </c>
      <c r="B205" s="511" t="s">
        <v>613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6">
        <v>595.43999999999994</v>
      </c>
      <c r="L205">
        <f>413.48+197.81</f>
        <v>611.29</v>
      </c>
      <c r="M205" s="418">
        <v>640.98</v>
      </c>
    </row>
    <row r="206" spans="1:16">
      <c r="A206" s="9" t="s">
        <v>583</v>
      </c>
      <c r="B206" s="511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6">
        <v>735.09</v>
      </c>
      <c r="L206">
        <f>616.69+148.58</f>
        <v>765.2700000000001</v>
      </c>
      <c r="M206" s="418">
        <v>815.69</v>
      </c>
    </row>
    <row r="207" spans="1:16">
      <c r="A207" s="266" t="s">
        <v>583</v>
      </c>
      <c r="B207" s="812" t="s">
        <v>327</v>
      </c>
      <c r="C207" s="234"/>
      <c r="D207" s="234"/>
      <c r="E207" s="234"/>
      <c r="F207" s="234"/>
      <c r="G207" s="234"/>
      <c r="H207" s="234"/>
      <c r="K207" s="816">
        <v>470.82</v>
      </c>
      <c r="L207">
        <f>281.75+226.45</f>
        <v>508.2</v>
      </c>
      <c r="M207" s="418">
        <v>536.98</v>
      </c>
    </row>
    <row r="208" spans="1:16">
      <c r="A208" s="266" t="s">
        <v>583</v>
      </c>
      <c r="B208" s="812" t="s">
        <v>320</v>
      </c>
      <c r="C208" s="234"/>
      <c r="D208" s="234"/>
      <c r="E208" s="234"/>
      <c r="F208" s="234"/>
      <c r="G208" s="234"/>
      <c r="H208" s="234"/>
      <c r="K208" s="816"/>
      <c r="L208">
        <f>357.76+231.81</f>
        <v>589.56999999999994</v>
      </c>
      <c r="M208" s="418">
        <v>677.96999999999991</v>
      </c>
      <c r="O208" s="867" t="s">
        <v>614</v>
      </c>
      <c r="P208" s="868">
        <v>968.67</v>
      </c>
    </row>
    <row r="209" spans="1:50">
      <c r="A209" s="9" t="s">
        <v>27</v>
      </c>
      <c r="B209" s="489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6">
        <f>397.32+270.9</f>
        <v>668.22</v>
      </c>
      <c r="L209">
        <v>683.67</v>
      </c>
      <c r="M209" s="522">
        <v>714.43999999999994</v>
      </c>
      <c r="N209">
        <v>838.02</v>
      </c>
      <c r="O209" s="867" t="s">
        <v>615</v>
      </c>
      <c r="P209" s="868" t="e">
        <v>#N/A</v>
      </c>
    </row>
    <row r="210" spans="1:50">
      <c r="A210" s="9" t="s">
        <v>27</v>
      </c>
      <c r="B210" s="489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6">
        <v>469.78</v>
      </c>
      <c r="L210">
        <v>505.99000000000007</v>
      </c>
      <c r="M210" s="418">
        <v>532.24</v>
      </c>
      <c r="O210" s="867" t="s">
        <v>616</v>
      </c>
      <c r="P210" s="868" t="e">
        <v>#N/A</v>
      </c>
    </row>
    <row r="211" spans="1:50">
      <c r="A211" s="9" t="s">
        <v>27</v>
      </c>
      <c r="B211" s="489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9">
        <f>252.99+244.36</f>
        <v>497.35</v>
      </c>
      <c r="L211">
        <v>513.89</v>
      </c>
      <c r="M211" s="418">
        <v>572.45999999999992</v>
      </c>
      <c r="O211" s="867" t="s">
        <v>617</v>
      </c>
      <c r="P211" s="868" t="e">
        <v>#N/A</v>
      </c>
    </row>
    <row r="212" spans="1:50">
      <c r="A212" s="9" t="s">
        <v>27</v>
      </c>
      <c r="B212" s="489" t="s">
        <v>598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6">
        <v>517.61</v>
      </c>
      <c r="L212">
        <v>512.77</v>
      </c>
      <c r="M212" s="418">
        <v>558.81000000000006</v>
      </c>
      <c r="O212" s="867" t="s">
        <v>618</v>
      </c>
      <c r="P212" s="868" t="e">
        <v>#N/A</v>
      </c>
    </row>
    <row r="213" spans="1:50">
      <c r="A213" s="9" t="s">
        <v>27</v>
      </c>
      <c r="B213" s="489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6">
        <v>523.02</v>
      </c>
      <c r="L213">
        <v>550.20000000000005</v>
      </c>
      <c r="M213">
        <v>595.66</v>
      </c>
      <c r="N213">
        <v>678.65</v>
      </c>
      <c r="O213" s="867" t="s">
        <v>619</v>
      </c>
      <c r="P213" s="868" t="e">
        <v>#N/A</v>
      </c>
    </row>
    <row r="214" spans="1:50">
      <c r="A214" s="9" t="s">
        <v>27</v>
      </c>
      <c r="B214" s="489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6">
        <v>490.18</v>
      </c>
      <c r="L214">
        <v>533.54999999999995</v>
      </c>
      <c r="M214" s="418">
        <v>619.94000000000005</v>
      </c>
      <c r="O214" s="867" t="s">
        <v>620</v>
      </c>
      <c r="P214" s="868">
        <v>586.86</v>
      </c>
    </row>
    <row r="215" spans="1:50">
      <c r="A215" s="9" t="s">
        <v>27</v>
      </c>
      <c r="B215" s="489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6">
        <f>303.99+243.7</f>
        <v>547.69000000000005</v>
      </c>
      <c r="L215">
        <v>541.15</v>
      </c>
      <c r="M215" s="876">
        <v>564.97</v>
      </c>
      <c r="N215">
        <v>606.77</v>
      </c>
      <c r="O215" s="867" t="s">
        <v>621</v>
      </c>
      <c r="P215" s="868" t="e">
        <v>#N/A</v>
      </c>
    </row>
    <row r="216" spans="1:50">
      <c r="A216" s="9" t="s">
        <v>27</v>
      </c>
      <c r="B216" s="489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2">
        <v>487.3</v>
      </c>
      <c r="J216">
        <f>241.74+319.79</f>
        <v>561.53</v>
      </c>
      <c r="K216" s="816">
        <v>525.73</v>
      </c>
      <c r="L216" s="662">
        <v>546.10945347732809</v>
      </c>
      <c r="M216" s="418">
        <v>635.92000000000007</v>
      </c>
      <c r="N216" s="865"/>
      <c r="O216" s="867" t="s">
        <v>622</v>
      </c>
      <c r="P216" s="868" t="e">
        <v>#N/A</v>
      </c>
    </row>
    <row r="217" spans="1:50">
      <c r="A217" s="9" t="s">
        <v>27</v>
      </c>
      <c r="B217" s="489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6">
        <v>531.87</v>
      </c>
      <c r="L217" s="662">
        <v>555.04999999999995</v>
      </c>
      <c r="M217" s="418">
        <v>622.58000000000004</v>
      </c>
      <c r="O217" s="867" t="s">
        <v>623</v>
      </c>
      <c r="P217" s="868" t="e">
        <v>#N/A</v>
      </c>
    </row>
    <row r="218" spans="1:50">
      <c r="A218" s="9" t="s">
        <v>27</v>
      </c>
      <c r="B218" s="489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6">
        <v>515.59</v>
      </c>
      <c r="L218" s="662">
        <v>534.19000000000005</v>
      </c>
      <c r="M218" s="418">
        <v>594.49</v>
      </c>
      <c r="O218" s="867" t="s">
        <v>624</v>
      </c>
      <c r="P218" s="868" t="e">
        <v>#N/A</v>
      </c>
    </row>
    <row r="219" spans="1:50">
      <c r="A219" s="9" t="s">
        <v>27</v>
      </c>
      <c r="B219" s="489" t="s">
        <v>601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6">
        <v>530.72</v>
      </c>
      <c r="L219" s="662">
        <v>535.51</v>
      </c>
      <c r="M219" s="234">
        <v>580.43681504518099</v>
      </c>
      <c r="N219">
        <v>677.99</v>
      </c>
      <c r="O219" s="867" t="s">
        <v>625</v>
      </c>
      <c r="P219" s="868" t="e">
        <v>#N/A</v>
      </c>
    </row>
    <row r="220" spans="1:50">
      <c r="A220" s="9" t="s">
        <v>27</v>
      </c>
      <c r="B220" s="489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6">
        <v>560.27</v>
      </c>
      <c r="L220" s="662">
        <v>589.57000000000005</v>
      </c>
      <c r="M220" s="418">
        <v>643.09</v>
      </c>
      <c r="O220" s="867" t="s">
        <v>626</v>
      </c>
      <c r="P220" s="868" t="e">
        <v>#N/A</v>
      </c>
    </row>
    <row r="221" spans="1:50">
      <c r="A221" t="s">
        <v>27</v>
      </c>
      <c r="B221" s="483" t="s">
        <v>352</v>
      </c>
      <c r="J221">
        <v>547.6</v>
      </c>
      <c r="K221" s="816">
        <v>515.07000000000005</v>
      </c>
      <c r="L221">
        <v>548.96999999999991</v>
      </c>
      <c r="M221" s="418">
        <v>629.70000000000005</v>
      </c>
      <c r="O221" s="867" t="s">
        <v>627</v>
      </c>
      <c r="P221" s="868" t="e">
        <v>#N/A</v>
      </c>
    </row>
    <row r="222" spans="1:50">
      <c r="A222" t="s">
        <v>27</v>
      </c>
      <c r="B222" s="483" t="s">
        <v>607</v>
      </c>
      <c r="K222" s="816"/>
      <c r="L222">
        <v>571.71</v>
      </c>
      <c r="M222" s="418">
        <v>605.55000000000007</v>
      </c>
      <c r="O222" s="867" t="s">
        <v>628</v>
      </c>
      <c r="P222" s="888" t="e">
        <v>#N/A</v>
      </c>
      <c r="AS222" s="874"/>
      <c r="AX222" s="874"/>
    </row>
    <row r="223" spans="1:50">
      <c r="O223" s="867" t="s">
        <v>629</v>
      </c>
      <c r="P223" s="868" t="e">
        <v>#N/A</v>
      </c>
    </row>
    <row r="224" spans="1:50">
      <c r="O224" s="867" t="s">
        <v>630</v>
      </c>
      <c r="P224" s="868" t="e">
        <v>#N/A</v>
      </c>
    </row>
    <row r="225" spans="11:16">
      <c r="K225" s="868">
        <v>547.69000000000005</v>
      </c>
      <c r="O225" s="867" t="s">
        <v>631</v>
      </c>
      <c r="P225" s="868" t="e">
        <v>#N/A</v>
      </c>
    </row>
    <row r="226" spans="11:16">
      <c r="O226" s="867" t="s">
        <v>632</v>
      </c>
      <c r="P226" s="868" t="e">
        <v>#N/A</v>
      </c>
    </row>
    <row r="227" spans="11:16">
      <c r="O227" s="867" t="s">
        <v>633</v>
      </c>
      <c r="P227" s="869" t="e">
        <v>#N/A</v>
      </c>
    </row>
    <row r="228" spans="11:16">
      <c r="O228" s="867" t="s">
        <v>634</v>
      </c>
      <c r="P228" s="869" t="e">
        <v>#N/A</v>
      </c>
    </row>
    <row r="229" spans="11:16">
      <c r="O229" s="867" t="s">
        <v>635</v>
      </c>
      <c r="P229" s="869" t="e">
        <v>#N/A</v>
      </c>
    </row>
    <row r="230" spans="11:16">
      <c r="O230" s="867" t="s">
        <v>636</v>
      </c>
      <c r="P230" s="869" t="e">
        <v>#N/A</v>
      </c>
    </row>
    <row r="231" spans="11:16">
      <c r="O231" s="867" t="s">
        <v>637</v>
      </c>
      <c r="P231" s="869" t="e">
        <v>#N/A</v>
      </c>
    </row>
    <row r="232" spans="11:16">
      <c r="O232" s="867" t="s">
        <v>638</v>
      </c>
      <c r="P232" s="869" t="e">
        <v>#N/A</v>
      </c>
    </row>
    <row r="233" spans="11:16">
      <c r="O233" s="867" t="s">
        <v>639</v>
      </c>
      <c r="P233" s="869" t="e">
        <v>#N/A</v>
      </c>
    </row>
    <row r="234" spans="11:16">
      <c r="O234" s="867" t="s">
        <v>640</v>
      </c>
      <c r="P234" s="869" t="e">
        <v>#N/A</v>
      </c>
    </row>
    <row r="235" spans="11:16">
      <c r="O235" s="867" t="s">
        <v>641</v>
      </c>
      <c r="P235" s="869">
        <v>979.23</v>
      </c>
    </row>
    <row r="236" spans="11:16">
      <c r="O236" s="867" t="s">
        <v>642</v>
      </c>
      <c r="P236" s="869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A10" zoomScale="91" zoomScaleNormal="91" workbookViewId="0">
      <selection activeCell="J78" sqref="J78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8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8" customWidth="1"/>
    <col min="67" max="67" width="12.42578125" style="488" customWidth="1"/>
    <col min="68" max="68" width="12" style="488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9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94" t="s">
        <v>2269</v>
      </c>
      <c r="C1" s="1095"/>
      <c r="D1" s="1095"/>
      <c r="M1" s="549"/>
      <c r="P1" s="911" t="str">
        <f>IF((VLOOKUP(LnkTXTSigla,Informacoes[],5,FALSE))="8.4","VERDADEIRO","FALSO")</f>
        <v>VERDADEIRO</v>
      </c>
      <c r="Q1" s="911" t="s">
        <v>643</v>
      </c>
      <c r="BA1" s="487"/>
      <c r="BB1" s="487"/>
      <c r="BC1" s="487"/>
      <c r="BD1" s="487"/>
    </row>
    <row r="2" spans="1:84" ht="25.5">
      <c r="B2" s="550" t="str">
        <f>CAPA!C9</f>
        <v>Cerpro</v>
      </c>
      <c r="C2" s="640"/>
      <c r="D2" s="551"/>
      <c r="E2" s="591" t="s">
        <v>644</v>
      </c>
      <c r="F2" s="591"/>
      <c r="G2" s="591"/>
      <c r="H2" s="618" t="s">
        <v>2266</v>
      </c>
      <c r="M2" s="549"/>
      <c r="AK2" s="488"/>
      <c r="AZ2" s="1686" t="s">
        <v>645</v>
      </c>
      <c r="BA2" s="1687"/>
      <c r="BB2" s="1687"/>
      <c r="BC2" s="1687"/>
      <c r="BD2" s="1687"/>
      <c r="BE2" s="1687"/>
      <c r="BF2" s="1687"/>
      <c r="BG2" s="489"/>
      <c r="BM2" s="492"/>
      <c r="BW2" s="422"/>
      <c r="BX2" s="422"/>
      <c r="BY2" s="422"/>
      <c r="BZ2" s="422"/>
      <c r="CA2" s="422"/>
      <c r="CB2" s="422"/>
      <c r="CC2" s="422"/>
      <c r="CD2" s="422"/>
      <c r="CE2" s="422"/>
      <c r="CF2" s="519"/>
    </row>
    <row r="3" spans="1:84">
      <c r="C3" s="563"/>
      <c r="E3" s="586" t="s">
        <v>2199</v>
      </c>
      <c r="F3" s="586"/>
      <c r="G3" s="586"/>
      <c r="H3" s="539"/>
      <c r="M3" s="549"/>
      <c r="O3" s="381">
        <f>VALUE(RIGHT(P3,2))</f>
        <v>10</v>
      </c>
      <c r="P3" s="1096" t="str">
        <f>VLOOKUP($C$9,Informacoes[],4,FALSE)</f>
        <v>C10</v>
      </c>
      <c r="Q3" s="1096" t="str">
        <f>VLOOKUP($C$9,Informacoes[],2,FALSE)</f>
        <v>Cooperativa de Eletrificação Rural da Região de Promissão</v>
      </c>
      <c r="AH3" s="490"/>
      <c r="AI3" s="488"/>
      <c r="BA3" s="487"/>
      <c r="BB3" s="487"/>
      <c r="BC3" s="487"/>
      <c r="BD3" s="487"/>
      <c r="BM3" s="17"/>
      <c r="BQ3" s="491"/>
      <c r="BW3" s="422"/>
      <c r="BX3" s="422"/>
      <c r="BY3" s="422"/>
      <c r="BZ3" s="422"/>
      <c r="CA3" s="422"/>
      <c r="CB3" s="422"/>
      <c r="CC3" s="422"/>
      <c r="CD3" s="422"/>
      <c r="CE3" s="422"/>
      <c r="CF3" s="519"/>
    </row>
    <row r="4" spans="1:84">
      <c r="E4" s="778" t="s">
        <v>2200</v>
      </c>
      <c r="F4" s="778"/>
      <c r="G4" s="778"/>
      <c r="H4" s="806"/>
      <c r="I4" s="552"/>
      <c r="M4" s="549"/>
      <c r="AZ4" s="911"/>
      <c r="BA4" s="1097">
        <v>40940</v>
      </c>
      <c r="BB4" s="1097" t="s">
        <v>610</v>
      </c>
      <c r="BC4" s="1097">
        <v>41306</v>
      </c>
      <c r="BD4" s="1097">
        <v>41671</v>
      </c>
      <c r="BE4" s="1098">
        <v>42036</v>
      </c>
      <c r="BF4" s="1099">
        <v>42401</v>
      </c>
      <c r="BG4" s="1099">
        <v>42767</v>
      </c>
      <c r="BI4" s="1100"/>
      <c r="BJ4" s="1100"/>
      <c r="BK4" s="1100"/>
      <c r="BL4" s="1100"/>
      <c r="BM4" s="1101"/>
      <c r="BN4" s="1101"/>
      <c r="BO4" s="1101"/>
      <c r="BP4" s="1101"/>
      <c r="BQ4" s="1101"/>
      <c r="BR4" s="1101"/>
      <c r="BS4" s="1101"/>
      <c r="BT4" s="1101"/>
      <c r="BU4" s="1101"/>
      <c r="BV4" s="496"/>
      <c r="BW4" s="422"/>
      <c r="BX4" s="422"/>
      <c r="BY4" s="422"/>
      <c r="BZ4" s="422"/>
      <c r="CA4" s="422"/>
      <c r="CB4" s="422"/>
      <c r="CC4" s="422"/>
      <c r="CD4" s="422"/>
      <c r="CE4" s="422"/>
      <c r="CF4" s="422"/>
    </row>
    <row r="5" spans="1:84">
      <c r="E5" s="778" t="s">
        <v>646</v>
      </c>
      <c r="F5" s="778"/>
      <c r="G5" s="778"/>
      <c r="H5" s="789" t="s">
        <v>2267</v>
      </c>
      <c r="I5" s="552"/>
      <c r="M5" s="549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3"/>
      <c r="I6" s="552"/>
      <c r="N6" s="554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5"/>
      <c r="B7" s="545" t="s">
        <v>647</v>
      </c>
      <c r="C7" s="556"/>
      <c r="D7" s="556"/>
      <c r="E7" s="557"/>
      <c r="F7" s="557"/>
      <c r="G7" s="557"/>
      <c r="H7" s="537"/>
      <c r="I7" s="538"/>
      <c r="J7" s="557"/>
      <c r="K7" s="558"/>
      <c r="L7" s="559"/>
      <c r="M7" s="560"/>
      <c r="N7" s="561"/>
      <c r="O7" s="9"/>
      <c r="Q7" s="540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4"/>
      <c r="O8" s="9"/>
      <c r="P8" s="275"/>
      <c r="Q8" s="787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4" t="s">
        <v>114</v>
      </c>
      <c r="C9" s="1102" t="s">
        <v>328</v>
      </c>
      <c r="D9" s="9"/>
      <c r="E9" s="1688" t="s">
        <v>648</v>
      </c>
      <c r="F9" s="1689"/>
      <c r="G9" s="1689"/>
      <c r="H9" s="1689"/>
      <c r="I9" s="609"/>
      <c r="J9" s="495" t="s">
        <v>649</v>
      </c>
      <c r="K9" s="9"/>
      <c r="L9" s="9"/>
      <c r="M9" s="562"/>
      <c r="N9" s="554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103" t="s">
        <v>650</v>
      </c>
      <c r="C10" s="1104" t="str">
        <f>IF(C9="Cercos","N/NE","S/SE/CO")</f>
        <v>S/SE/CO</v>
      </c>
      <c r="D10" s="9"/>
      <c r="E10" s="613"/>
      <c r="F10" s="614" t="s">
        <v>651</v>
      </c>
      <c r="G10" s="615">
        <v>44679.422210648147</v>
      </c>
      <c r="H10" s="1105"/>
      <c r="I10" s="610"/>
      <c r="J10" s="777" t="s">
        <v>652</v>
      </c>
      <c r="K10" s="1106">
        <f>IFERROR(O3+200,0)</f>
        <v>210</v>
      </c>
      <c r="L10" s="599"/>
      <c r="M10" s="562"/>
      <c r="N10" s="554"/>
      <c r="O10" s="9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3"/>
      <c r="F11" s="614" t="s">
        <v>653</v>
      </c>
      <c r="G11" s="615">
        <v>44692.418692129628</v>
      </c>
      <c r="H11" s="611"/>
      <c r="I11" s="612"/>
      <c r="J11" s="586" t="s">
        <v>654</v>
      </c>
      <c r="K11" s="617">
        <v>5384</v>
      </c>
      <c r="L11" s="599"/>
      <c r="M11" s="562"/>
      <c r="N11" s="554"/>
      <c r="O11" s="9"/>
      <c r="Q11" s="540"/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3"/>
      <c r="B12" s="495" t="s">
        <v>655</v>
      </c>
      <c r="C12" s="9"/>
      <c r="D12" s="9"/>
      <c r="E12" s="613"/>
      <c r="F12" s="614" t="s">
        <v>824</v>
      </c>
      <c r="G12" s="615">
        <v>44683.47760416667</v>
      </c>
      <c r="H12" s="611"/>
      <c r="I12" s="612"/>
      <c r="J12" s="778" t="s">
        <v>656</v>
      </c>
      <c r="K12" s="788">
        <f>idagente</f>
        <v>5384</v>
      </c>
      <c r="L12" s="599"/>
      <c r="M12" s="562"/>
      <c r="N12" s="554"/>
      <c r="O12" s="9"/>
      <c r="Q12" s="540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3"/>
      <c r="B13" s="604" t="s">
        <v>657</v>
      </c>
      <c r="C13" s="1107">
        <f ca="1">YEAR(TODAY())</f>
        <v>2022</v>
      </c>
      <c r="D13" s="266"/>
      <c r="E13" s="613"/>
      <c r="F13" s="614" t="s">
        <v>658</v>
      </c>
      <c r="G13" s="615">
        <v>44691.665879629632</v>
      </c>
      <c r="H13" s="611"/>
      <c r="I13" s="9"/>
      <c r="J13" s="495" t="s">
        <v>659</v>
      </c>
      <c r="K13" s="9"/>
      <c r="L13" s="599"/>
      <c r="M13" s="564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5" t="s">
        <v>660</v>
      </c>
      <c r="C14" s="606">
        <v>44345</v>
      </c>
      <c r="D14" s="266"/>
      <c r="E14" s="613"/>
      <c r="F14" s="614" t="s">
        <v>661</v>
      </c>
      <c r="G14" s="615">
        <v>44691.666041666664</v>
      </c>
      <c r="H14" s="611"/>
      <c r="I14" s="9"/>
      <c r="J14" s="777" t="s">
        <v>662</v>
      </c>
      <c r="K14" s="1106">
        <f>VLOOKUP(SAS_RA0_DataFim,Índices!$B$7:$F$500,2,FALSE)</f>
        <v>1177.809</v>
      </c>
      <c r="L14" s="599"/>
      <c r="M14" s="564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5" t="s">
        <v>663</v>
      </c>
      <c r="C15" s="607">
        <v>44710</v>
      </c>
      <c r="D15" s="266"/>
      <c r="E15" s="613"/>
      <c r="F15" s="614" t="s">
        <v>664</v>
      </c>
      <c r="G15" s="615">
        <v>44679.427303240744</v>
      </c>
      <c r="H15" s="616"/>
      <c r="I15" s="9"/>
      <c r="J15" s="586" t="s">
        <v>665</v>
      </c>
      <c r="K15" s="617">
        <f>VLOOKUP(SAS_RA0_DataFim,Índices!$B$7:$F$500,3,FALSE)</f>
        <v>6382.88</v>
      </c>
      <c r="L15" s="599"/>
      <c r="M15" s="564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5" t="s">
        <v>224</v>
      </c>
      <c r="C16" s="608">
        <f>DATE(YEAR(C14),MONTH(C14),1)</f>
        <v>44317</v>
      </c>
      <c r="D16" s="266"/>
      <c r="E16" s="613"/>
      <c r="F16" s="614" t="s">
        <v>666</v>
      </c>
      <c r="G16" s="615">
        <v>44679.428113425929</v>
      </c>
      <c r="H16" s="1108"/>
      <c r="I16" s="9"/>
      <c r="J16" s="586" t="s">
        <v>667</v>
      </c>
      <c r="K16" s="593">
        <f>K14/VLOOKUP(DATE(YEAR(SAS_RA0_DataInicio),MONTH(SAS_RA0_DataInicio)-1,DAY(SAS_RA0_DataInicio)),Índices!$B$7:$F$500,2,FALSE)-1</f>
        <v>0.14660863250101475</v>
      </c>
      <c r="L16" s="599"/>
      <c r="M16" s="564"/>
      <c r="O16" s="9"/>
      <c r="Q16" s="540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5" t="s">
        <v>226</v>
      </c>
      <c r="C17" s="608">
        <f>DATE(YEAR(C15),MONTH(C15)-1,1)</f>
        <v>44652</v>
      </c>
      <c r="D17" s="266"/>
      <c r="E17" s="613"/>
      <c r="F17" s="614" t="s">
        <v>668</v>
      </c>
      <c r="G17" s="615">
        <v>44679.428356481483</v>
      </c>
      <c r="H17" s="9"/>
      <c r="I17" s="375"/>
      <c r="J17" s="586" t="s">
        <v>669</v>
      </c>
      <c r="K17" s="1109">
        <f>K15/VLOOKUP(DATE(YEAR(SAS_RA0_DataInicio),MONTH(SAS_RA0_DataInicio)-1,DAY(SAS_RA0_DataInicio)),Índices!$B$7:$F$500,3,FALSE)-1</f>
        <v>0.12131630216906664</v>
      </c>
      <c r="L17" s="9"/>
      <c r="M17" s="564"/>
      <c r="O17" s="9"/>
      <c r="Q17" s="540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5" t="s">
        <v>670</v>
      </c>
      <c r="C18" s="866" t="str">
        <f ca="1">C110</f>
        <v>REAJUSTE</v>
      </c>
      <c r="D18" s="266"/>
      <c r="E18" s="613"/>
      <c r="F18" s="614" t="s">
        <v>36</v>
      </c>
      <c r="G18" s="615"/>
      <c r="I18" s="375"/>
      <c r="J18" s="591" t="s">
        <v>671</v>
      </c>
      <c r="K18" s="596">
        <f>VLOOKUP(DATE(YEAR(SAS_RA0_DataFim),MONTH(SAS_RA0_DataFim)-1,DAY(SAS_RA0_DataFim)),Índices!$B$7:$F$500,3,FALSE)/VLOOKUP(DATE(YEAR(L18),MONTH(L18)-1,1),Índices!$B$7:$F$500,3,FALSE)-1</f>
        <v>3.9541187914459153E-2</v>
      </c>
      <c r="L18" s="17">
        <f>VLOOKUP(C9,Informacoes[],18,FALSE)</f>
        <v>44531</v>
      </c>
      <c r="M18" s="564"/>
      <c r="N18" s="9"/>
      <c r="O18" s="9"/>
      <c r="Q18" s="540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3"/>
      <c r="L19" s="17"/>
      <c r="M19" s="564"/>
      <c r="N19" s="9"/>
      <c r="O19" s="9"/>
      <c r="Q19" s="540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7"/>
      <c r="L20" s="17"/>
      <c r="M20" s="564"/>
      <c r="N20" s="9"/>
      <c r="O20" s="9"/>
      <c r="Q20" s="540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3"/>
      <c r="L21" s="17"/>
      <c r="M21" s="564"/>
      <c r="N21" s="9"/>
      <c r="O21" s="9"/>
      <c r="Q21" s="540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6"/>
      <c r="I22" s="375"/>
      <c r="J22" s="49"/>
      <c r="K22" s="565"/>
      <c r="L22" s="566"/>
      <c r="M22" s="564"/>
      <c r="N22" s="9"/>
      <c r="O22" s="9"/>
      <c r="Q22" s="540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5"/>
      <c r="B23" s="545" t="s">
        <v>672</v>
      </c>
      <c r="C23" s="556"/>
      <c r="D23" s="556"/>
      <c r="E23" s="557"/>
      <c r="F23" s="557"/>
      <c r="G23" s="557"/>
      <c r="H23" s="537"/>
      <c r="I23" s="538"/>
      <c r="J23" s="557"/>
      <c r="K23" s="558"/>
      <c r="L23" s="559"/>
      <c r="M23" s="560"/>
      <c r="N23" s="9"/>
      <c r="O23" s="9"/>
      <c r="Q23" s="540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6"/>
      <c r="I24" s="375"/>
      <c r="J24" s="49"/>
      <c r="K24" s="565"/>
      <c r="L24" s="566"/>
      <c r="M24" s="631"/>
      <c r="N24" s="573"/>
      <c r="O24" s="9"/>
      <c r="Q24" s="540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7"/>
      <c r="F25" s="568"/>
      <c r="G25" s="569"/>
      <c r="L25" s="566"/>
      <c r="M25" s="564"/>
      <c r="N25" s="573"/>
      <c r="O25" s="9"/>
      <c r="Q25" s="540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4" t="s">
        <v>673</v>
      </c>
      <c r="C26" s="598"/>
      <c r="D26" s="1110"/>
      <c r="E26" s="1111"/>
      <c r="F26" s="1112"/>
      <c r="G26" s="1113"/>
      <c r="H26" s="1110"/>
      <c r="I26" s="1110"/>
      <c r="J26" s="1110"/>
      <c r="K26" s="1114"/>
      <c r="L26" s="1115"/>
      <c r="M26" s="564"/>
      <c r="N26" s="573"/>
      <c r="O26" s="9"/>
      <c r="Q26" s="540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6"/>
      <c r="M27" s="564"/>
      <c r="N27" s="573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91" t="s">
        <v>674</v>
      </c>
      <c r="C28" s="1709" t="s">
        <v>2268</v>
      </c>
      <c r="D28" s="1709"/>
      <c r="E28" s="9"/>
      <c r="F28" s="597" t="s">
        <v>675</v>
      </c>
      <c r="G28" s="598"/>
      <c r="H28" s="598"/>
      <c r="I28" s="9"/>
      <c r="J28" s="597" t="s">
        <v>676</v>
      </c>
      <c r="K28" s="598"/>
      <c r="L28" s="17"/>
      <c r="M28" s="564"/>
      <c r="N28" s="573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7" t="s">
        <v>677</v>
      </c>
      <c r="G29" s="777"/>
      <c r="H29" s="1116">
        <v>3.4799999999999998E-2</v>
      </c>
      <c r="I29" s="9"/>
      <c r="J29" s="777" t="s">
        <v>678</v>
      </c>
      <c r="K29" s="1117">
        <f>BD!C26</f>
        <v>9043346.1600000001</v>
      </c>
      <c r="L29" s="17"/>
      <c r="M29" s="564"/>
      <c r="N29" s="573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5" t="s">
        <v>109</v>
      </c>
      <c r="C30" s="9"/>
      <c r="D30" s="9"/>
      <c r="E30" s="9"/>
      <c r="F30" s="778" t="s">
        <v>679</v>
      </c>
      <c r="G30" s="778"/>
      <c r="H30" s="1118"/>
      <c r="I30" s="9"/>
      <c r="J30" s="586" t="s">
        <v>680</v>
      </c>
      <c r="K30" s="600">
        <f>IFERROR(VLOOKUP(LnkTXTSigla,Informacoes[],17,FALSE)*(1+K18),0)</f>
        <v>10998930.180910463</v>
      </c>
      <c r="L30" s="17"/>
      <c r="M30" s="564"/>
      <c r="O30" s="573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12" t="s">
        <v>681</v>
      </c>
      <c r="C31" s="1712"/>
      <c r="D31" s="811"/>
      <c r="E31" s="9"/>
      <c r="F31" s="1119"/>
      <c r="G31" s="1119"/>
      <c r="H31" s="1120"/>
      <c r="I31" s="9"/>
      <c r="J31" s="778" t="s">
        <v>682</v>
      </c>
      <c r="K31" s="1121">
        <f>D32+D33+D34</f>
        <v>10580562.18</v>
      </c>
      <c r="L31" s="17" t="s">
        <v>683</v>
      </c>
      <c r="M31" s="564" t="s">
        <v>684</v>
      </c>
      <c r="O31" s="573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122" t="s">
        <v>685</v>
      </c>
      <c r="C32" s="1122"/>
      <c r="D32" s="830">
        <v>4280139.1320000002</v>
      </c>
      <c r="E32" s="9"/>
      <c r="F32" s="1123" t="s">
        <v>686</v>
      </c>
      <c r="G32" s="1124"/>
      <c r="H32" s="1124"/>
      <c r="I32" s="9"/>
      <c r="J32" s="777" t="s">
        <v>687</v>
      </c>
      <c r="K32" s="1125">
        <f ca="1">VLOOKUP(C9,Informacoes[],30,FALSE)*(VLOOKUP(DATE(AnoRefTar,MONTH(M32)-1,1),Índices!B6:F500,3,FALSE)/VLOOKUP(DATE(YEAR(M32),MONTH(L32)-1,1),Índices!B6:F500,3,FALSE))</f>
        <v>1599892.1389602604</v>
      </c>
      <c r="L32" s="17">
        <f>VLOOKUP(C9,Informacoes[],31,FALSE)</f>
        <v>43198</v>
      </c>
      <c r="M32" s="863">
        <f>VLOOKUP(C9,Informacoes[],32,FALSE)</f>
        <v>43198</v>
      </c>
      <c r="O32" s="573"/>
      <c r="Q32" s="540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122" t="s">
        <v>688</v>
      </c>
      <c r="C33" s="1122"/>
      <c r="D33" s="831">
        <v>6300423.0479999995</v>
      </c>
      <c r="E33" s="9"/>
      <c r="F33" s="586" t="s">
        <v>689</v>
      </c>
      <c r="G33" s="586"/>
      <c r="H33" s="502"/>
      <c r="I33" s="9"/>
      <c r="J33" s="778" t="s">
        <v>690</v>
      </c>
      <c r="K33" s="1126">
        <f ca="1">LnkTXTISubvencaoPB/12</f>
        <v>133324.34491335505</v>
      </c>
      <c r="L33" s="17"/>
      <c r="M33" s="549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27"/>
      <c r="C34" s="1127"/>
      <c r="D34" s="1128"/>
      <c r="E34" s="9"/>
      <c r="F34" s="778" t="s">
        <v>691</v>
      </c>
      <c r="G34" s="778"/>
      <c r="H34" s="1129"/>
      <c r="I34" s="9"/>
      <c r="J34" s="777" t="s">
        <v>692</v>
      </c>
      <c r="K34" s="1130">
        <f>LinkTXTPR</f>
        <v>3.4799999999999998E-2</v>
      </c>
      <c r="L34" s="17"/>
      <c r="M34" s="564"/>
      <c r="O34" s="9"/>
      <c r="Q34" s="540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31"/>
      <c r="E35" s="9"/>
      <c r="F35" s="602"/>
      <c r="G35" s="1132"/>
      <c r="H35" s="476"/>
      <c r="I35" s="9"/>
      <c r="J35" s="586" t="s">
        <v>693</v>
      </c>
      <c r="K35" s="601">
        <f ca="1">IFERROR(Energia!L20/((Energia!L5+Energia!L6-Energia!L7+Energia!M16)+Energia!L20),0)</f>
        <v>-2.8638063054001132E-2</v>
      </c>
      <c r="L35" s="17"/>
      <c r="M35" s="564"/>
      <c r="O35" s="9"/>
      <c r="Q35" s="540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91"/>
      <c r="D36" s="832"/>
      <c r="E36" s="9"/>
      <c r="F36" s="602"/>
      <c r="G36" s="602"/>
      <c r="H36" s="476"/>
      <c r="I36" s="9"/>
      <c r="J36" s="778" t="s">
        <v>694</v>
      </c>
      <c r="K36" s="1133">
        <f ca="1">IFERROR(LNKTXTPercperdas,0)</f>
        <v>3.4799999999999998E-2</v>
      </c>
      <c r="L36" s="17"/>
      <c r="M36" s="564"/>
      <c r="O36" s="9"/>
      <c r="Q36" s="540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3"/>
      <c r="E37" s="9"/>
      <c r="F37" s="602"/>
      <c r="G37" s="602"/>
      <c r="H37" s="476"/>
      <c r="I37" s="9"/>
      <c r="J37" s="275"/>
      <c r="K37" s="476"/>
      <c r="L37" s="793"/>
      <c r="M37" s="572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5"/>
      <c r="B38" s="545" t="s">
        <v>695</v>
      </c>
      <c r="C38" s="556"/>
      <c r="D38" s="556"/>
      <c r="E38" s="557"/>
      <c r="F38" s="557"/>
      <c r="G38" s="557"/>
      <c r="H38" s="537"/>
      <c r="I38" s="538"/>
      <c r="J38" s="557"/>
      <c r="K38" s="558"/>
      <c r="L38" s="559"/>
      <c r="M38" s="560"/>
      <c r="O38" s="9"/>
      <c r="Q38" s="540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02" t="s">
        <v>696</v>
      </c>
      <c r="G39" s="1702"/>
      <c r="L39" s="566"/>
      <c r="M39" s="549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5" t="str">
        <f>"Valores de "&amp;YEAR(C14)</f>
        <v>Valores de 2021</v>
      </c>
      <c r="C40" s="9"/>
      <c r="D40" s="9"/>
      <c r="E40" s="9"/>
      <c r="F40" s="1703" t="s">
        <v>697</v>
      </c>
      <c r="G40" s="1703"/>
      <c r="H40" s="594"/>
      <c r="I40" s="9"/>
      <c r="J40" s="1690" t="str">
        <f ca="1">"Variação processo anterior e "&amp;AnoRevRea</f>
        <v>Variação processo anterior e 2022</v>
      </c>
      <c r="K40" s="1690"/>
      <c r="L40" s="566"/>
      <c r="M40" s="549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91" t="s">
        <v>698</v>
      </c>
      <c r="C41" s="592"/>
      <c r="D41" s="1134">
        <f>BD!C5</f>
        <v>54321.771000000001</v>
      </c>
      <c r="E41" s="9"/>
      <c r="F41" s="1694" t="s">
        <v>699</v>
      </c>
      <c r="G41" s="1694"/>
      <c r="H41" s="1135">
        <f>LinkTXTPR</f>
        <v>3.4799999999999998E-2</v>
      </c>
      <c r="I41" s="9"/>
      <c r="J41" s="591" t="s">
        <v>698</v>
      </c>
      <c r="K41" s="1136">
        <f ca="1">IFERROR(Calc_Mercado!J15,0)</f>
        <v>-5.9296004911180145E-2</v>
      </c>
      <c r="L41" s="566"/>
      <c r="M41" s="549"/>
      <c r="O41" s="9"/>
      <c r="Q41" s="540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6" t="s">
        <v>40</v>
      </c>
      <c r="C42" s="586"/>
      <c r="D42" s="374">
        <f>IFERROR(VLOOKUP("TFSEE",BD!$B$7:$C$16,2,FALSE),0)</f>
        <v>48628.475618986442</v>
      </c>
      <c r="E42" s="9"/>
      <c r="F42" s="1695" t="s">
        <v>700</v>
      </c>
      <c r="G42" s="1695"/>
      <c r="H42" s="595">
        <f>SUM(H43:H44)</f>
        <v>0</v>
      </c>
      <c r="I42" s="9"/>
      <c r="J42" s="586" t="s">
        <v>40</v>
      </c>
      <c r="K42" s="1136">
        <f ca="1">LnkTxtVarTFSEE</f>
        <v>0.24016926752191137</v>
      </c>
      <c r="L42" s="566"/>
      <c r="M42" s="549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6" t="s">
        <v>41</v>
      </c>
      <c r="C43" s="586"/>
      <c r="D43" s="374">
        <f>IFERROR(VLOOKUP("CDE",BD!$B$7:$C$16,2,FALSE),0)</f>
        <v>2909045.8783199997</v>
      </c>
      <c r="E43" s="9"/>
      <c r="F43" s="1695" t="s">
        <v>701</v>
      </c>
      <c r="G43" s="1695"/>
      <c r="H43" s="595">
        <f>VLOOKUP(B2,Informacoes[#Data],25,FALSE)</f>
        <v>0</v>
      </c>
      <c r="I43" s="9"/>
      <c r="J43" s="586" t="s">
        <v>41</v>
      </c>
      <c r="K43" s="593">
        <f ca="1">LnkTxtVarCDE</f>
        <v>0.44118235715700682</v>
      </c>
      <c r="L43" s="566"/>
      <c r="M43" s="549"/>
      <c r="O43" s="9"/>
      <c r="Q43" s="540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6" t="s">
        <v>126</v>
      </c>
      <c r="C44" s="586"/>
      <c r="D44" s="374">
        <f>IFERROR(VLOOKUP("CFURH",BD!$B$7:$C$16,2,FALSE),0)</f>
        <v>0</v>
      </c>
      <c r="E44" s="9"/>
      <c r="F44" s="1691" t="s">
        <v>263</v>
      </c>
      <c r="G44" s="1691"/>
      <c r="H44" s="1137">
        <f>VLOOKUP(B2,Informacoes[#Data],26,FALSE)</f>
        <v>0</v>
      </c>
      <c r="I44" s="9"/>
      <c r="J44" s="586" t="s">
        <v>126</v>
      </c>
      <c r="K44" s="476" t="str">
        <f ca="1">Resultado!F19</f>
        <v>-</v>
      </c>
      <c r="L44" s="566"/>
      <c r="M44" s="549"/>
      <c r="N44" s="575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6" t="s">
        <v>46</v>
      </c>
      <c r="C45" s="586"/>
      <c r="D45" s="374">
        <f>IFERROR(VLOOKUP("ESS/ERR",BD!$B$7:$C$16,2,FALSE),0)</f>
        <v>0</v>
      </c>
      <c r="E45" s="9"/>
      <c r="I45" s="376"/>
      <c r="J45" s="586" t="s">
        <v>46</v>
      </c>
      <c r="K45" s="476" t="str">
        <f ca="1">Resultado!F20</f>
        <v>-</v>
      </c>
      <c r="L45" s="566"/>
      <c r="M45" s="574"/>
      <c r="N45" s="575"/>
      <c r="O45" s="9"/>
      <c r="Q45" s="540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6" t="s">
        <v>47</v>
      </c>
      <c r="C46" s="586"/>
      <c r="D46" s="374">
        <f>IFERROR(VLOOKUP("PROINFA",BD!$B$7:$C$16,2,FALSE),0)</f>
        <v>506096.83951999998</v>
      </c>
      <c r="E46" s="9"/>
      <c r="F46" s="9"/>
      <c r="G46" s="9"/>
      <c r="H46" s="9"/>
      <c r="I46" s="400"/>
      <c r="J46" s="586" t="s">
        <v>47</v>
      </c>
      <c r="K46" s="593">
        <f ca="1">Resultado!F21</f>
        <v>0.51626711284381188</v>
      </c>
      <c r="L46" s="566"/>
      <c r="M46" s="576"/>
      <c r="N46" s="575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6" t="s">
        <v>2212</v>
      </c>
      <c r="C47" s="586"/>
      <c r="D47" s="374">
        <f>IFERROR(VLOOKUP("CDE Covid TUSD",BD!$B$7:$C$16,2,FALSE),0)</f>
        <v>0</v>
      </c>
      <c r="E47" s="9"/>
      <c r="I47" s="400"/>
      <c r="J47" s="586" t="s">
        <v>48</v>
      </c>
      <c r="K47" s="476" t="str">
        <f ca="1">Resultado!F22</f>
        <v>-</v>
      </c>
      <c r="L47" s="566"/>
      <c r="M47" s="576"/>
      <c r="N47" s="575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6" t="s">
        <v>49</v>
      </c>
      <c r="C48" s="586"/>
      <c r="D48" s="374">
        <f>IFERROR(VLOOKUP("ONS",BD!$B$7:$C$16,2,FALSE),0)</f>
        <v>0</v>
      </c>
      <c r="E48" s="9"/>
      <c r="F48" s="719" t="s">
        <v>702</v>
      </c>
      <c r="G48" s="720"/>
      <c r="I48" s="400"/>
      <c r="J48" s="586" t="s">
        <v>49</v>
      </c>
      <c r="K48" s="476" t="str">
        <f ca="1">Resultado!F23</f>
        <v>-</v>
      </c>
      <c r="L48" s="566"/>
      <c r="M48" s="576"/>
      <c r="N48" s="575"/>
      <c r="O48" s="9"/>
      <c r="Q48" s="540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7" t="s">
        <v>703</v>
      </c>
      <c r="C49" s="777"/>
      <c r="D49" s="1138">
        <f>BD!C18</f>
        <v>0</v>
      </c>
      <c r="E49" s="9"/>
      <c r="F49" s="719" t="s">
        <v>704</v>
      </c>
      <c r="G49" s="721"/>
      <c r="I49" s="400"/>
      <c r="J49" s="777" t="s">
        <v>703</v>
      </c>
      <c r="K49" s="1136"/>
      <c r="L49" s="566"/>
      <c r="M49" s="576"/>
      <c r="N49" s="575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6" t="s">
        <v>705</v>
      </c>
      <c r="C50" s="586"/>
      <c r="D50" s="374">
        <f>BD!C19</f>
        <v>0</v>
      </c>
      <c r="E50" s="9"/>
      <c r="I50" s="400"/>
      <c r="J50" s="586" t="s">
        <v>705</v>
      </c>
      <c r="K50" s="593"/>
      <c r="L50" s="566"/>
      <c r="M50" s="576"/>
      <c r="N50" s="575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8" t="s">
        <v>706</v>
      </c>
      <c r="C51" s="778"/>
      <c r="D51" s="1139"/>
      <c r="E51" s="9"/>
      <c r="I51" s="9"/>
      <c r="J51" s="778" t="s">
        <v>706</v>
      </c>
      <c r="K51" s="593"/>
      <c r="L51" s="566"/>
      <c r="M51" s="576"/>
      <c r="N51" s="575"/>
      <c r="O51" s="9"/>
      <c r="Q51" s="540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91" t="s">
        <v>707</v>
      </c>
      <c r="C52" s="591"/>
      <c r="D52" s="1140">
        <f>BD!C25</f>
        <v>4921262.5337096006</v>
      </c>
      <c r="E52" s="9"/>
      <c r="F52" s="9"/>
      <c r="G52" s="9"/>
      <c r="H52" s="9"/>
      <c r="I52" s="9"/>
      <c r="J52" s="591" t="s">
        <v>707</v>
      </c>
      <c r="K52" s="596">
        <f ca="1">Resultado!F32</f>
        <v>0.23706098548978427</v>
      </c>
      <c r="L52" s="566"/>
      <c r="M52" s="576"/>
      <c r="N52" s="575"/>
      <c r="O52" s="9"/>
      <c r="Q52" s="493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91" t="s">
        <v>708</v>
      </c>
      <c r="C53" s="591"/>
      <c r="D53" s="1140">
        <f>BD!C26</f>
        <v>9043346.1600000001</v>
      </c>
      <c r="E53" s="9"/>
      <c r="F53" s="9"/>
      <c r="G53" s="9"/>
      <c r="H53" s="9"/>
      <c r="I53" s="9"/>
      <c r="J53" s="9"/>
      <c r="K53" s="9"/>
      <c r="L53" s="566"/>
      <c r="M53" s="576"/>
      <c r="N53" s="575"/>
      <c r="O53" s="9"/>
      <c r="Q53" s="493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6"/>
      <c r="E54" s="9"/>
      <c r="F54" s="9"/>
      <c r="G54" s="9"/>
      <c r="H54" s="9"/>
      <c r="I54" s="9"/>
      <c r="J54" s="9"/>
      <c r="K54" s="9"/>
      <c r="L54" s="566"/>
      <c r="M54" s="576"/>
      <c r="N54" s="575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5"/>
      <c r="B55" s="545" t="s">
        <v>709</v>
      </c>
      <c r="C55" s="556"/>
      <c r="D55" s="556"/>
      <c r="E55" s="557"/>
      <c r="F55" s="557"/>
      <c r="G55" s="557"/>
      <c r="H55" s="537"/>
      <c r="I55" s="538"/>
      <c r="J55" s="557"/>
      <c r="K55" s="558"/>
      <c r="L55" s="559"/>
      <c r="M55" s="560"/>
      <c r="N55" s="575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50"/>
      <c r="E56" s="49"/>
      <c r="F56" s="49"/>
      <c r="G56" s="49"/>
      <c r="H56" s="536"/>
      <c r="I56" s="375"/>
      <c r="J56" s="49"/>
      <c r="K56" s="565"/>
      <c r="L56" s="566"/>
      <c r="M56" s="562"/>
      <c r="N56" s="575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5"/>
      <c r="C57" s="9"/>
      <c r="D57" s="1141"/>
      <c r="E57" s="589"/>
      <c r="F57" s="590" t="s">
        <v>710</v>
      </c>
      <c r="G57" s="49"/>
      <c r="H57" s="536"/>
      <c r="I57" s="375"/>
      <c r="J57" s="49"/>
      <c r="K57" s="565"/>
      <c r="L57" s="566"/>
      <c r="M57" s="562"/>
      <c r="N57" s="578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42" t="s">
        <v>270</v>
      </c>
      <c r="C58" s="1143"/>
      <c r="D58" s="807"/>
      <c r="E58" s="1708">
        <v>0</v>
      </c>
      <c r="F58" s="1708"/>
      <c r="G58" s="381"/>
      <c r="L58" s="794"/>
      <c r="M58" s="577"/>
      <c r="N58" s="580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44652</v>
      </c>
      <c r="G59" s="381"/>
      <c r="K59" s="579"/>
      <c r="L59" s="566"/>
      <c r="N59" s="583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81"/>
      <c r="B60" s="545" t="s">
        <v>711</v>
      </c>
      <c r="C60" s="556"/>
      <c r="D60" s="557"/>
      <c r="E60" s="557"/>
      <c r="F60" s="557"/>
      <c r="G60" s="537"/>
      <c r="H60" s="538"/>
      <c r="I60" s="557"/>
      <c r="J60" s="558"/>
      <c r="K60" s="559"/>
      <c r="L60" s="795"/>
      <c r="M60" s="582"/>
      <c r="N60" s="583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4" t="s">
        <v>712</v>
      </c>
      <c r="C61" s="584"/>
      <c r="D61" s="584" t="s">
        <v>713</v>
      </c>
      <c r="L61" s="566"/>
      <c r="M61" s="773"/>
      <c r="N61" s="482"/>
      <c r="O61" s="583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9" t="s">
        <v>714</v>
      </c>
      <c r="C62" s="750" t="s">
        <v>715</v>
      </c>
      <c r="D62" s="750" t="s">
        <v>232</v>
      </c>
      <c r="E62" s="1710" t="s">
        <v>716</v>
      </c>
      <c r="F62" s="1711"/>
      <c r="G62" s="750" t="s">
        <v>717</v>
      </c>
      <c r="H62" s="751" t="s">
        <v>718</v>
      </c>
      <c r="I62" s="9"/>
      <c r="J62" s="9"/>
      <c r="K62" s="9"/>
      <c r="L62" s="17"/>
      <c r="M62" s="571"/>
      <c r="N62" s="482"/>
      <c r="O62" s="583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5">
        <f>Indexador!B34</f>
        <v>44228</v>
      </c>
      <c r="C63" s="761">
        <f>IF($C$113="Não",SUMIFS(Faturas!H:H,Faturas!A:A,$K$12,Faturas!G:G,"PisConfins",Faturas!F:F,YEAR(CAPA!B63)*100+MONTH(CAPA!B63)),IF(B63&lt;$C$114,0,SUMIFS(Faturas!H:H,Faturas!A:A,$K$12,Faturas!G:G,"PisConfins",Faturas!F:F,YEAR(CAPA!B63)*100+MONTH(CAPA!B63))))</f>
        <v>40617.08</v>
      </c>
      <c r="D63" s="761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696">
        <f>IF($C$113="Não",SUMIFS(Faturas!H:H,Faturas!A:A,$K$12,Faturas!G:G,"DICFIC",Faturas!F:F,YEAR(CAPA!B63)*100+MONTH(CAPA!B63)),IF(B63&lt;$C$114,0,SUMIFS(Faturas!H:H,Faturas!A:A,$K$12,Faturas!G:G,"DICFIC",Faturas!F:F,YEAR(CAPA!B63)*100+MONTH(CAPA!B63))))</f>
        <v>-12721.67</v>
      </c>
      <c r="F63" s="1697"/>
      <c r="G63" s="761">
        <f>IFERROR(VLOOKUP(B63,transmissorapiscofins[#All],2,FALSE),0)</f>
        <v>0</v>
      </c>
      <c r="H63" s="762"/>
      <c r="I63" s="9" t="s">
        <v>719</v>
      </c>
      <c r="J63" s="487"/>
      <c r="K63" s="9"/>
      <c r="L63" s="17"/>
      <c r="M63" s="571"/>
      <c r="N63" s="482"/>
      <c r="O63" s="583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6">
        <f>Indexador!B35</f>
        <v>44256</v>
      </c>
      <c r="C64" s="767">
        <f>IF($C$113="Não",SUMIFS(Faturas!H:H,Faturas!A:A,$K$12,Faturas!G:G,"PisConfins",Faturas!F:F,YEAR(CAPA!B64)*100+MONTH(CAPA!B64)),IF(B64&lt;$C$114,0,SUMIFS(Faturas!H:H,Faturas!A:A,$K$12,Faturas!G:G,"PisConfins",Faturas!F:F,YEAR(CAPA!B64)*100+MONTH(CAPA!B64))))</f>
        <v>35966.080000000002</v>
      </c>
      <c r="D64" s="767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698">
        <v>0</v>
      </c>
      <c r="F64" s="1699"/>
      <c r="G64" s="767">
        <f>IFERROR(VLOOKUP(B64,transmissorapiscofins[#All],2,FALSE),0)</f>
        <v>0</v>
      </c>
      <c r="H64" s="753">
        <f>SUMIF(BD!$A$41:$A$57,B64,BD!$C$41:$C$57)</f>
        <v>0</v>
      </c>
      <c r="I64" s="9" t="s">
        <v>720</v>
      </c>
      <c r="J64" s="588"/>
      <c r="K64" s="9"/>
      <c r="L64" s="17"/>
      <c r="M64" s="571"/>
      <c r="N64" s="482"/>
      <c r="O64" s="583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2">
        <f>Indexador!B36</f>
        <v>44287</v>
      </c>
      <c r="C65" s="768">
        <f>IF($C$113="Não",SUMIFS(Faturas!H:H,Faturas!A:A,$K$12,Faturas!G:G,"PisConfins",Faturas!F:F,YEAR(CAPA!B65)*100+MONTH(CAPA!B65)),IF(B65&lt;$C$114,0,SUMIFS(Faturas!H:H,Faturas!A:A,$K$12,Faturas!G:G,"PisConfins",Faturas!F:F,YEAR(CAPA!B65)*100+MONTH(CAPA!B65))))</f>
        <v>28869.54</v>
      </c>
      <c r="D65" s="768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00">
        <v>0</v>
      </c>
      <c r="F65" s="1701"/>
      <c r="G65" s="768">
        <f>IFERROR(VLOOKUP(B65,transmissorapiscofins[#All],2,FALSE),0)</f>
        <v>0</v>
      </c>
      <c r="H65" s="776">
        <f>SUMIF(BD!$A$41:$A$57,B65,BD!$C$41:$C$57)</f>
        <v>0</v>
      </c>
      <c r="I65" s="9"/>
      <c r="J65" s="588"/>
      <c r="K65" s="9"/>
      <c r="L65" s="17"/>
      <c r="M65" s="571"/>
      <c r="N65" s="482"/>
      <c r="O65" s="583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7">
        <f>Indexador!B37</f>
        <v>44317</v>
      </c>
      <c r="C66" s="769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50661.73</v>
      </c>
      <c r="D66" s="770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692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-1344.18</v>
      </c>
      <c r="F66" s="1693"/>
      <c r="G66" s="770">
        <f>IFERROR(VLOOKUP(B66,transmissorapiscofins[#All],2,FALSE),0)</f>
        <v>0</v>
      </c>
      <c r="H66" s="753">
        <f>SUMIF(BD!$A$41:$A$57,B66,BD!$C$41:$C$57)</f>
        <v>0</v>
      </c>
      <c r="I66" s="9"/>
      <c r="J66" s="9"/>
      <c r="K66" s="9"/>
      <c r="L66" s="17"/>
      <c r="M66" s="571"/>
      <c r="N66" s="482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7">
        <f>Indexador!B38</f>
        <v>44348</v>
      </c>
      <c r="C67" s="769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35516.120000000003</v>
      </c>
      <c r="D67" s="769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0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07"/>
      <c r="G67" s="769">
        <f>IFERROR(VLOOKUP(B67,transmissorapiscofins[#All],2,FALSE),0)</f>
        <v>0</v>
      </c>
      <c r="H67" s="753">
        <f>SUMIF(BD!$A$41:$A$57,B67,BD!$C$41:$C$57)</f>
        <v>0</v>
      </c>
      <c r="I67" s="9"/>
      <c r="J67" s="9"/>
      <c r="K67" s="9"/>
      <c r="L67" s="17"/>
      <c r="M67" s="571"/>
      <c r="N67" s="775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7">
        <f>Indexador!B39</f>
        <v>44378</v>
      </c>
      <c r="C68" s="769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34472.43</v>
      </c>
      <c r="D68" s="769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0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-523.19000000000005</v>
      </c>
      <c r="F68" s="1707"/>
      <c r="G68" s="769">
        <f>IFERROR(VLOOKUP(B68,transmissorapiscofins[#All],2,FALSE),0)</f>
        <v>0</v>
      </c>
      <c r="H68" s="753">
        <f>SUMIF(BD!$A$41:$A$57,B68,BD!$C$41:$C$57)</f>
        <v>0</v>
      </c>
      <c r="I68" s="9"/>
      <c r="J68" s="9"/>
      <c r="K68" s="9"/>
      <c r="L68" s="17"/>
      <c r="M68" s="571"/>
      <c r="N68" s="482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7">
        <f>Indexador!B40</f>
        <v>44409</v>
      </c>
      <c r="C69" s="769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31529.75</v>
      </c>
      <c r="D69" s="769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0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07"/>
      <c r="G69" s="769">
        <f>IFERROR(VLOOKUP(B69,transmissorapiscofins[#All],2,FALSE),0)</f>
        <v>0</v>
      </c>
      <c r="H69" s="753">
        <f>SUMIF(BD!$A$41:$A$57,B69,BD!$C$41:$C$57)</f>
        <v>0</v>
      </c>
      <c r="I69" s="9"/>
      <c r="J69" s="9"/>
      <c r="K69" s="9"/>
      <c r="L69" s="17"/>
      <c r="M69" s="571"/>
      <c r="N69" s="482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7">
        <f>Indexador!B41</f>
        <v>44440</v>
      </c>
      <c r="C70" s="769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37985.410000000003</v>
      </c>
      <c r="D70" s="769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0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-25619.22</v>
      </c>
      <c r="F70" s="1707"/>
      <c r="G70" s="769">
        <f>IFERROR(VLOOKUP(B70,transmissorapiscofins[#All],2,FALSE),0)</f>
        <v>0</v>
      </c>
      <c r="H70" s="753">
        <f>SUMIF(BD!$A$41:$A$57,B70,BD!$C$41:$C$57)</f>
        <v>0</v>
      </c>
      <c r="I70" s="9"/>
      <c r="J70" s="9"/>
      <c r="K70" s="9"/>
      <c r="L70" s="17"/>
      <c r="M70" s="571"/>
      <c r="N70" s="482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7">
        <f>Indexador!B42</f>
        <v>44470</v>
      </c>
      <c r="C71" s="769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35876.160000000003</v>
      </c>
      <c r="D71" s="769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0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-22757.63</v>
      </c>
      <c r="F71" s="1707"/>
      <c r="G71" s="769">
        <f>IFERROR(VLOOKUP(B71,transmissorapiscofins[#All],2,FALSE),0)</f>
        <v>0</v>
      </c>
      <c r="H71" s="753">
        <f>SUMIF(BD!$A$41:$A$57,B71,BD!$C$41:$C$57)</f>
        <v>0</v>
      </c>
      <c r="I71" s="9"/>
      <c r="J71" s="9"/>
      <c r="K71" s="9"/>
      <c r="L71" s="17"/>
      <c r="M71" s="571"/>
      <c r="N71" s="482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7">
        <f>Indexador!B43</f>
        <v>44501</v>
      </c>
      <c r="C72" s="769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46464.72</v>
      </c>
      <c r="D72" s="769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0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-4222.92</v>
      </c>
      <c r="F72" s="1707"/>
      <c r="G72" s="769">
        <f>IFERROR(VLOOKUP(B72,transmissorapiscofins[#All],2,FALSE),0)</f>
        <v>0</v>
      </c>
      <c r="H72" s="753">
        <f>SUMIF(BD!$A$41:$A$57,B72,BD!$C$41:$C$57)</f>
        <v>0</v>
      </c>
      <c r="J72" s="489" t="s">
        <v>721</v>
      </c>
      <c r="K72" s="489" t="s">
        <v>722</v>
      </c>
      <c r="L72" s="609" t="s">
        <v>722</v>
      </c>
      <c r="M72" s="609" t="s">
        <v>723</v>
      </c>
      <c r="N72" s="482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7">
        <f>Indexador!B44</f>
        <v>44531</v>
      </c>
      <c r="C73" s="769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22488.74</v>
      </c>
      <c r="D73" s="769">
        <f>IF($C$113="Não",SUMIFS(Faturas!H:H,Faturas!A:A,$K$12,Faturas!G:G,"ICMS",Faturas!F:F,YEAR(CAPA!B73)*100+MONTH(CAPA!B73)),IF(B73&lt;$C$114,0,SUMIFS(Faturas!H:H,Faturas!A:A,$K$12,Faturas!G:G,"ICMS",Faturas!F:F,YEAR(CAPA!B73)*100+MONTH(CAPA!B73))))</f>
        <v>4</v>
      </c>
      <c r="E73" s="170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-5965.04</v>
      </c>
      <c r="F73" s="1707"/>
      <c r="G73" s="769">
        <f>IFERROR(VLOOKUP(B73,transmissorapiscofins[#All],2,FALSE),0)</f>
        <v>0</v>
      </c>
      <c r="H73" s="753">
        <f>SUMIF(BD!$A$41:$A$57,B73,BD!$C$41:$C$57)</f>
        <v>0</v>
      </c>
      <c r="J73" s="1144" t="str">
        <f ca="1">IFERROR(VLOOKUP(TRUE,BD!D41:F56,3,FALSE),"todos os meses")</f>
        <v>todos os meses</v>
      </c>
      <c r="K73" s="1145" t="s">
        <v>724</v>
      </c>
      <c r="L73" s="1146">
        <f ca="1">IF(Energia!F23*2/3=0,0.0000001,Energia!F23*2/3)</f>
        <v>2219636.795699019</v>
      </c>
      <c r="M73" s="1147">
        <f ca="1">IFERROR(-LnkTXTBandeira/Energia!F23," ")</f>
        <v>0</v>
      </c>
      <c r="N73" s="482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7">
        <f>Indexador!B45</f>
        <v>44562</v>
      </c>
      <c r="C74" s="769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0</v>
      </c>
      <c r="D74" s="769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0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-30583.439999999999</v>
      </c>
      <c r="F74" s="1707"/>
      <c r="G74" s="769">
        <f>IFERROR(VLOOKUP(B74,transmissorapiscofins[#All],2,FALSE),0)</f>
        <v>0</v>
      </c>
      <c r="H74" s="753">
        <f>SUMIF(BD!$A$41:$A$57,B74,BD!$C$41:$C$57)</f>
        <v>0</v>
      </c>
      <c r="I74" s="9"/>
      <c r="J74" s="9"/>
      <c r="K74" s="9"/>
      <c r="L74" s="17"/>
      <c r="M74" s="571"/>
      <c r="N74" s="482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7">
        <f>Indexador!B46</f>
        <v>44593</v>
      </c>
      <c r="C75" s="769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0</v>
      </c>
      <c r="D75" s="769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0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-1770.76</v>
      </c>
      <c r="F75" s="1707"/>
      <c r="G75" s="769">
        <f>IFERROR(VLOOKUP(B75,transmissorapiscofins[#All],2,FALSE),0)</f>
        <v>0</v>
      </c>
      <c r="H75" s="753">
        <f>SUMIF(BD!$A$41:$A$57,B75,BD!$C$41:$C$57)</f>
        <v>0</v>
      </c>
      <c r="I75" s="9"/>
      <c r="J75" s="9"/>
      <c r="K75" s="9"/>
      <c r="L75" s="17"/>
      <c r="M75" s="571"/>
      <c r="N75" s="482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7">
        <f>Indexador!B47</f>
        <v>44621</v>
      </c>
      <c r="C76" s="769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32702.26</v>
      </c>
      <c r="D76" s="769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0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-2200.44</v>
      </c>
      <c r="F76" s="1707"/>
      <c r="G76" s="769">
        <f>IFERROR(VLOOKUP(B76,transmissorapiscofins[#All],2,FALSE),0)</f>
        <v>0</v>
      </c>
      <c r="H76" s="753">
        <f>SUMIF(BD!$A$41:$A$57,B76,BD!$C$41:$C$57)</f>
        <v>0</v>
      </c>
      <c r="I76" s="9"/>
      <c r="J76" s="9"/>
      <c r="K76" s="9"/>
      <c r="L76" s="17"/>
      <c r="M76" s="571"/>
      <c r="N76" s="482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8">
        <f>Indexador!B48</f>
        <v>44652</v>
      </c>
      <c r="C77" s="771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900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04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05"/>
      <c r="G77" s="900">
        <f>IFERROR(VLOOKUP(B77,transmissorapiscofins[#All],2,FALSE),0)</f>
        <v>0</v>
      </c>
      <c r="H77" s="889">
        <f>SUMIF(BD!$A$41:$A$57,B77,BD!$C$41:$C$57)</f>
        <v>0</v>
      </c>
      <c r="I77" s="587">
        <f>SUM(D65:D76)+D76</f>
        <v>4</v>
      </c>
      <c r="J77" s="9"/>
      <c r="K77" s="9"/>
      <c r="L77" s="17"/>
      <c r="M77" s="571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7"/>
      <c r="K78" s="9"/>
      <c r="L78" s="17"/>
      <c r="M78" s="549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3"/>
      <c r="G79" s="534"/>
      <c r="H79" s="535"/>
      <c r="I79" s="529"/>
      <c r="J79" s="529"/>
      <c r="K79" s="530"/>
      <c r="L79" s="796"/>
      <c r="M79" s="774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81"/>
      <c r="B80" s="545" t="s">
        <v>725</v>
      </c>
      <c r="C80" s="556"/>
      <c r="D80" s="557"/>
      <c r="E80" s="557"/>
      <c r="F80" s="557"/>
      <c r="G80" s="537"/>
      <c r="H80" s="538"/>
      <c r="I80" s="557"/>
      <c r="J80" s="558"/>
      <c r="K80" s="559"/>
      <c r="L80" s="795"/>
      <c r="M80" s="582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7"/>
      <c r="M81" s="549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91" t="s">
        <v>726</v>
      </c>
      <c r="C82" s="1148" t="str">
        <f>H5</f>
        <v>48500.004969/2021-88</v>
      </c>
      <c r="D82" s="1149"/>
      <c r="E82" s="1149"/>
      <c r="F82" s="1149"/>
      <c r="H82" s="570"/>
      <c r="L82" s="566"/>
      <c r="M82" s="549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7" t="s">
        <v>727</v>
      </c>
      <c r="C83" s="1150">
        <f>VLOOKUP(LnkTXTSigla,Informacoes[],23,FALSE)</f>
        <v>2873</v>
      </c>
      <c r="D83" s="1151"/>
      <c r="E83" s="1151"/>
      <c r="F83" s="1151"/>
      <c r="G83" s="381"/>
      <c r="H83" s="570"/>
      <c r="I83" s="790"/>
      <c r="L83" s="566"/>
      <c r="M83" s="549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6" t="s">
        <v>728</v>
      </c>
      <c r="C84" s="620" t="str">
        <f>'Informações Gerais'!X49</f>
        <v>27 de abril de 2021</v>
      </c>
      <c r="D84" s="541"/>
      <c r="E84" s="541"/>
      <c r="F84" s="541"/>
      <c r="G84" s="381"/>
      <c r="H84" s="570"/>
      <c r="L84" s="566"/>
      <c r="M84" s="549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7" t="s">
        <v>729</v>
      </c>
      <c r="C85" s="1152"/>
      <c r="D85" s="1153"/>
      <c r="E85" s="1153"/>
      <c r="F85" s="1153"/>
      <c r="G85" s="381"/>
      <c r="H85" s="570"/>
      <c r="L85" s="566"/>
      <c r="M85" s="549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6" t="s">
        <v>730</v>
      </c>
      <c r="C86" s="663"/>
      <c r="D86" s="664"/>
      <c r="E86" s="664"/>
      <c r="F86" s="664"/>
      <c r="G86" s="381"/>
      <c r="H86" s="570"/>
      <c r="L86" s="566"/>
      <c r="M86" s="549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8" t="s">
        <v>731</v>
      </c>
      <c r="C87" s="1154"/>
      <c r="D87" s="1155"/>
      <c r="E87" s="1155"/>
      <c r="F87" s="1155"/>
      <c r="G87" s="381"/>
      <c r="H87" s="570"/>
      <c r="L87" s="566"/>
      <c r="M87" s="549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6" t="s">
        <v>732</v>
      </c>
      <c r="C88" s="622" t="str">
        <f>VLOOKUP(LnkTXTSigla,Informacoes[],20,FALSE)</f>
        <v>07/2008</v>
      </c>
      <c r="D88" s="542"/>
      <c r="E88" s="542"/>
      <c r="F88" s="542"/>
      <c r="G88" s="381"/>
      <c r="H88" s="570"/>
      <c r="L88" s="566"/>
      <c r="M88" s="549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6" t="s">
        <v>733</v>
      </c>
      <c r="C89" s="622" t="str">
        <f>VLOOKUP(LnkTXTSigla,Informacoes[],21,FALSE)</f>
        <v>12 de junho de 2008</v>
      </c>
      <c r="D89" s="623"/>
      <c r="E89" s="542"/>
      <c r="F89" s="541"/>
      <c r="H89" s="570"/>
      <c r="L89" s="566"/>
      <c r="M89" s="549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6" t="s">
        <v>734</v>
      </c>
      <c r="C90" s="624" t="str">
        <f>Q3</f>
        <v>Cooperativa de Eletrificação Rural da Região de Promissão</v>
      </c>
      <c r="D90" s="542"/>
      <c r="E90" s="542"/>
      <c r="F90" s="542"/>
      <c r="H90" s="570"/>
      <c r="L90" s="566"/>
      <c r="M90" s="549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6" t="s">
        <v>735</v>
      </c>
      <c r="C91" s="624" t="str">
        <f>C9</f>
        <v>Cerpro</v>
      </c>
      <c r="D91" s="542"/>
      <c r="E91" s="543"/>
      <c r="F91" s="542"/>
      <c r="H91" s="790"/>
      <c r="L91" s="566"/>
      <c r="M91" s="549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6" t="s">
        <v>736</v>
      </c>
      <c r="C92" s="622" t="str">
        <f>D92&amp;" - "&amp;E92</f>
        <v>Promissão - SP</v>
      </c>
      <c r="D92" s="544" t="str">
        <f>VLOOKUP(LnkTXTSigla,Informacoes[],6,FALSE)</f>
        <v>Promissão</v>
      </c>
      <c r="E92" s="544" t="str">
        <f>VLOOKUP(LnkTXTSigla,Informacoes[],7,FALSE)</f>
        <v>SP</v>
      </c>
      <c r="F92" s="542"/>
      <c r="L92" s="566"/>
      <c r="M92" s="549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6" t="s">
        <v>737</v>
      </c>
      <c r="C93" s="625"/>
      <c r="D93" s="542"/>
      <c r="E93" s="542"/>
      <c r="F93" s="542"/>
      <c r="L93" s="566"/>
      <c r="M93" s="549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6" t="s">
        <v>738</v>
      </c>
      <c r="C94" s="624">
        <f>DataRevRea</f>
        <v>44710</v>
      </c>
      <c r="D94" s="542"/>
      <c r="E94" s="542">
        <f>DATE(YEAR(DataRevRea)+1,MONTH(DataRevRea)-1,1)</f>
        <v>45017</v>
      </c>
      <c r="F94" s="542"/>
      <c r="L94" s="566"/>
      <c r="M94" s="549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6" t="s">
        <v>739</v>
      </c>
      <c r="C95" s="626" t="str">
        <f>TEXT(E95,"mmmm")&amp;" de "&amp;TEXT(E95,"aaaa")&amp; " a "&amp;TEXT(E94,"mmmm")&amp;" de "&amp;TEXT(E94,"aaaa")</f>
        <v>maio de 2022 a abril de 2023</v>
      </c>
      <c r="D95" s="542"/>
      <c r="E95" s="542">
        <f>DATE(YEAR(DataRevRea),MONTH(DataRevRea),DAY(DataRevRea))</f>
        <v>44710</v>
      </c>
      <c r="F95" s="542"/>
      <c r="L95" s="566"/>
      <c r="M95" s="549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6" t="s">
        <v>740</v>
      </c>
      <c r="C96" s="625">
        <f>C94</f>
        <v>44710</v>
      </c>
      <c r="D96" s="627"/>
      <c r="E96" s="542"/>
      <c r="F96" s="542"/>
      <c r="L96" s="566"/>
      <c r="M96" s="549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6" t="s">
        <v>226</v>
      </c>
      <c r="C97" s="628">
        <f>DATE(YEAR(DataRevRea)+1,MONTH(DataRevRea),DAY(DataRevRea)-1)</f>
        <v>45074</v>
      </c>
      <c r="D97" s="627"/>
      <c r="E97" s="542"/>
      <c r="F97" s="542"/>
      <c r="L97" s="566"/>
      <c r="M97" s="549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6" t="s">
        <v>741</v>
      </c>
      <c r="C98" s="628" t="str">
        <f>TEXT(C14,"mmmm")&amp;" de "&amp;TEXT(C14,"aaaa")&amp; " a "&amp;TEXT(C17,"mmmm")&amp;" de "&amp;TEXT(C17,"aaaa")</f>
        <v>maio de 2021 a abril de 2022</v>
      </c>
      <c r="D98" s="542"/>
      <c r="E98" s="542"/>
      <c r="F98" s="542"/>
      <c r="L98" s="566"/>
      <c r="M98" s="549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6" t="s">
        <v>742</v>
      </c>
      <c r="C99" s="621">
        <f ca="1">IF(P1="verdadeiro",K36,H41)</f>
        <v>3.4799999999999998E-2</v>
      </c>
      <c r="D99" s="542"/>
      <c r="E99" s="542"/>
      <c r="F99" s="542"/>
      <c r="I99" s="570"/>
      <c r="L99" s="566"/>
      <c r="M99" s="549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6" t="s">
        <v>700</v>
      </c>
      <c r="C100" s="621">
        <f>H42</f>
        <v>0</v>
      </c>
      <c r="D100" s="542"/>
      <c r="E100" s="542"/>
      <c r="F100" s="542"/>
      <c r="L100" s="566"/>
      <c r="M100" s="549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6" t="s">
        <v>743</v>
      </c>
      <c r="C101" s="621">
        <f>LnkTXTIPCA-C100</f>
        <v>0.12131630216906664</v>
      </c>
      <c r="D101" s="542"/>
      <c r="E101" s="542"/>
      <c r="F101" s="542"/>
      <c r="L101" s="566"/>
      <c r="M101" s="549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6" t="s">
        <v>744</v>
      </c>
      <c r="C102" s="629">
        <f ca="1">Resultado!D33</f>
        <v>3329455.1935485285</v>
      </c>
      <c r="D102" s="542"/>
      <c r="E102" s="542"/>
      <c r="F102" s="542"/>
      <c r="L102" s="566"/>
      <c r="M102" s="549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6" t="s">
        <v>745</v>
      </c>
      <c r="C103" s="629">
        <f>Resultado!D32</f>
        <v>6028139.6394422995</v>
      </c>
      <c r="D103" s="542"/>
      <c r="E103" s="542"/>
      <c r="F103" s="542"/>
      <c r="L103" s="566"/>
      <c r="M103" s="549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6" t="s">
        <v>746</v>
      </c>
      <c r="C104" s="629">
        <f>SUM(Resultado!D25:D29)</f>
        <v>0</v>
      </c>
      <c r="D104" s="542"/>
      <c r="E104" s="542"/>
      <c r="F104" s="542"/>
      <c r="H104" s="585"/>
      <c r="I104" s="585"/>
      <c r="L104" s="566"/>
      <c r="M104" s="549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6" t="s">
        <v>747</v>
      </c>
      <c r="C105" s="629">
        <f>Resultado!D31</f>
        <v>0</v>
      </c>
      <c r="D105" s="542"/>
      <c r="E105" s="542"/>
      <c r="F105" s="542"/>
      <c r="L105" s="566"/>
      <c r="M105" s="549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6" t="s">
        <v>748</v>
      </c>
      <c r="C106" s="630">
        <f>ROUND(Calc_Mercado!J18/1000,0)</f>
        <v>2</v>
      </c>
      <c r="D106" s="542"/>
      <c r="E106" s="542"/>
      <c r="F106" s="542"/>
      <c r="L106" s="566"/>
      <c r="M106" s="549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6" t="s">
        <v>749</v>
      </c>
      <c r="C107" s="630">
        <f ca="1">ROUND(Mercado_RA0_Reais/1000000,0)</f>
        <v>20</v>
      </c>
      <c r="D107" s="542"/>
      <c r="E107" s="542"/>
      <c r="F107" s="542"/>
      <c r="L107" s="566"/>
      <c r="M107" s="549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6" t="s">
        <v>246</v>
      </c>
      <c r="C108" s="630" t="str">
        <f>VLOOKUP(LnkTXTSigla,Informacoes[],9,FALSE)</f>
        <v>CPFL Paulista</v>
      </c>
      <c r="D108" s="542"/>
      <c r="E108" s="542">
        <f>VLOOKUP(LnkTXTSigla,Informacoes[],11,FALSE)</f>
        <v>0</v>
      </c>
      <c r="F108" s="542"/>
      <c r="L108" s="566"/>
      <c r="M108" s="549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8" t="s">
        <v>248</v>
      </c>
      <c r="C109" s="1156" t="str">
        <f>IF(E109=0,"!vazio!"," e "&amp;E109)</f>
        <v>!vazio!</v>
      </c>
      <c r="D109" s="1157">
        <f>IF(Energia!B29=Energia!B28,IF(Energia!B30=Energia!B28,Energia!B31,Energia!B29),Energia!B29)</f>
        <v>0</v>
      </c>
      <c r="E109" s="1157">
        <f>VLOOKUP(LnkTXTSigla,Informacoes[],11,FALSE)</f>
        <v>0</v>
      </c>
      <c r="F109" s="1157"/>
      <c r="L109" s="566"/>
      <c r="M109" s="549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8" t="s">
        <v>750</v>
      </c>
      <c r="C110" s="1156" t="str">
        <f ca="1">IF(AnoRevRea=VLOOKUP(LnkTXTSigla,Informacoes[],22,FALSE),"REVISÃO","REAJUSTE")</f>
        <v>REAJUSTE</v>
      </c>
      <c r="D110" s="1157"/>
      <c r="E110" s="1157"/>
      <c r="F110" s="1157"/>
      <c r="L110" s="566"/>
      <c r="M110" s="549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8" t="s">
        <v>751</v>
      </c>
      <c r="C111" s="1156" t="str">
        <f ca="1">IF(C110="Reajuste", "Reajuste Tarifário Anual - RTA", "Revisão Tarifária Periódica - RTP")</f>
        <v>Reajuste Tarifário Anual - RTA</v>
      </c>
      <c r="D111" s="1156"/>
      <c r="E111" s="1156"/>
      <c r="F111" s="1156"/>
      <c r="L111" s="566"/>
      <c r="M111" s="549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8" t="s">
        <v>752</v>
      </c>
      <c r="C112" s="782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2"/>
      <c r="E112" s="782"/>
      <c r="F112" s="782"/>
      <c r="L112" s="566"/>
      <c r="M112" s="549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7" t="s">
        <v>753</v>
      </c>
      <c r="C113" s="780" t="str">
        <f>VLOOKUP(C9,Informacoes[],37,FALSE)</f>
        <v>Não</v>
      </c>
      <c r="D113" s="780"/>
      <c r="E113" s="780"/>
      <c r="F113" s="780"/>
      <c r="L113" s="566"/>
      <c r="M113" s="549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8" t="s">
        <v>754</v>
      </c>
      <c r="C114" s="781">
        <f>VLOOKUP(C9,Informacoes[],38,FALSE)</f>
        <v>0</v>
      </c>
      <c r="D114" s="781"/>
      <c r="E114" s="781"/>
      <c r="F114" s="781"/>
      <c r="L114" s="566"/>
      <c r="M114" s="549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6"/>
      <c r="M115" s="549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6"/>
      <c r="M116" s="549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6"/>
      <c r="M117" s="549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755</v>
      </c>
      <c r="C118" s="231"/>
      <c r="L118" s="566"/>
      <c r="M118" s="549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58" t="s">
        <v>238</v>
      </c>
      <c r="C119" s="1158" t="s">
        <v>238</v>
      </c>
      <c r="L119" s="566"/>
      <c r="M119" s="549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59" t="str">
        <f>LnkTXTSigla</f>
        <v>Cerpro</v>
      </c>
      <c r="C120" s="1160" t="str">
        <f>LnkTXTSuprid1</f>
        <v>CPFL Paulista</v>
      </c>
      <c r="L120" s="566"/>
      <c r="M120" s="549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6"/>
      <c r="M121" s="549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6"/>
      <c r="M122" s="549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6"/>
      <c r="M123" s="549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6"/>
      <c r="M124" s="549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6"/>
      <c r="M125" s="549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6"/>
      <c r="M126" s="549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6"/>
      <c r="M127" s="549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6"/>
      <c r="M128" s="549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9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9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9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9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9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9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9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9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9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9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9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9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9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9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9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9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9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9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9"/>
    </row>
    <row r="148" spans="13:84">
      <c r="M148" s="549"/>
    </row>
    <row r="149" spans="13:84">
      <c r="M149" s="549"/>
    </row>
    <row r="150" spans="13:84">
      <c r="M150" s="549"/>
    </row>
    <row r="151" spans="13:84">
      <c r="M151" s="549"/>
    </row>
    <row r="152" spans="13:84">
      <c r="M152" s="549"/>
    </row>
    <row r="153" spans="13:84">
      <c r="M153" s="549"/>
    </row>
    <row r="154" spans="13:84">
      <c r="M154" s="549"/>
    </row>
    <row r="155" spans="13:84">
      <c r="M155" s="549"/>
    </row>
    <row r="156" spans="13:84">
      <c r="M156" s="549"/>
    </row>
    <row r="157" spans="13:84">
      <c r="M157" s="549"/>
    </row>
    <row r="158" spans="13:84">
      <c r="M158" s="549"/>
    </row>
    <row r="159" spans="13:84">
      <c r="M159" s="549"/>
    </row>
    <row r="160" spans="13:84">
      <c r="M160" s="549"/>
    </row>
    <row r="161" spans="13:13">
      <c r="M161" s="549"/>
    </row>
    <row r="162" spans="13:13">
      <c r="M162" s="549"/>
    </row>
    <row r="163" spans="13:13">
      <c r="M163" s="549"/>
    </row>
    <row r="164" spans="13:13">
      <c r="M164" s="549"/>
    </row>
    <row r="165" spans="13:13">
      <c r="M165" s="549"/>
    </row>
    <row r="166" spans="13:13">
      <c r="M166" s="549"/>
    </row>
    <row r="167" spans="13:13">
      <c r="M167" s="549"/>
    </row>
    <row r="168" spans="13:13">
      <c r="M168" s="549"/>
    </row>
    <row r="169" spans="13:13">
      <c r="M169" s="549"/>
    </row>
    <row r="170" spans="13:13">
      <c r="M170" s="549"/>
    </row>
    <row r="171" spans="13:13">
      <c r="M171" s="549"/>
    </row>
    <row r="172" spans="13:13">
      <c r="M172" s="549"/>
    </row>
    <row r="173" spans="13:13">
      <c r="M173" s="549"/>
    </row>
    <row r="174" spans="13:13">
      <c r="M174" s="549"/>
    </row>
    <row r="175" spans="13:13">
      <c r="M175" s="549"/>
    </row>
    <row r="176" spans="13:13">
      <c r="M176" s="549"/>
    </row>
    <row r="177" spans="13:13">
      <c r="M177" s="549"/>
    </row>
    <row r="178" spans="13:13">
      <c r="M178" s="549"/>
    </row>
    <row r="179" spans="13:13">
      <c r="M179" s="549"/>
    </row>
    <row r="180" spans="13:13">
      <c r="M180" s="549"/>
    </row>
    <row r="181" spans="13:13">
      <c r="M181" s="549"/>
    </row>
    <row r="182" spans="13:13">
      <c r="M182" s="549"/>
    </row>
    <row r="183" spans="13:13">
      <c r="M183" s="549"/>
    </row>
    <row r="184" spans="13:13">
      <c r="M184" s="549"/>
    </row>
    <row r="185" spans="13:13">
      <c r="M185" s="549"/>
    </row>
    <row r="186" spans="13:13">
      <c r="M186" s="549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zoomScaleNormal="100" workbookViewId="0">
      <selection activeCell="C55" sqref="C55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61" t="s">
        <v>756</v>
      </c>
      <c r="C1" s="1162"/>
      <c r="D1" s="70"/>
      <c r="E1" s="70"/>
      <c r="F1" s="70"/>
      <c r="G1" s="75"/>
    </row>
    <row r="2" spans="1:15" ht="16.5">
      <c r="A2" s="139"/>
      <c r="B2" s="639" t="str">
        <f ca="1">CAPA!C9&amp; " - " &amp;CAPA!C110&amp;" "&amp;AnoRefTar</f>
        <v>Cerpro - REAJUSTE 2022</v>
      </c>
      <c r="C2" s="70"/>
      <c r="D2" s="70"/>
      <c r="E2" s="70"/>
      <c r="F2" s="70"/>
      <c r="G2" s="75"/>
      <c r="H2" s="381" t="s">
        <v>757</v>
      </c>
      <c r="I2" s="689">
        <v>44694.48369212963</v>
      </c>
      <c r="K2" s="724" t="s">
        <v>758</v>
      </c>
      <c r="L2" s="725"/>
    </row>
    <row r="3" spans="1:15" ht="16.5" customHeight="1">
      <c r="A3" s="139"/>
      <c r="B3" s="1069" t="s">
        <v>759</v>
      </c>
      <c r="C3" s="834"/>
      <c r="D3" s="75"/>
      <c r="E3" s="75"/>
      <c r="F3" s="75"/>
      <c r="G3" s="75"/>
      <c r="H3" s="690" t="s">
        <v>760</v>
      </c>
      <c r="I3" s="690">
        <v>12</v>
      </c>
      <c r="K3" s="726" t="s">
        <v>761</v>
      </c>
      <c r="L3" s="687">
        <v>0.32661367924754181</v>
      </c>
    </row>
    <row r="4" spans="1:15" ht="16.5">
      <c r="A4" s="139"/>
      <c r="G4" s="75"/>
      <c r="J4" s="9"/>
      <c r="K4" s="726" t="s">
        <v>762</v>
      </c>
      <c r="L4" s="687">
        <v>0.29090545395764322</v>
      </c>
    </row>
    <row r="5" spans="1:15" ht="16.5" customHeight="1">
      <c r="A5" s="139"/>
      <c r="B5" s="1163" t="s">
        <v>763</v>
      </c>
      <c r="C5" s="1164">
        <f ca="1">D39+D34</f>
        <v>24667280.683595024</v>
      </c>
      <c r="D5" s="144"/>
      <c r="E5" s="79"/>
      <c r="G5" s="75"/>
      <c r="H5" s="688"/>
      <c r="J5" s="275"/>
      <c r="K5" s="727" t="s">
        <v>764</v>
      </c>
      <c r="L5" s="695">
        <v>0.31463538360296806</v>
      </c>
    </row>
    <row r="6" spans="1:15" ht="16.5" customHeight="1">
      <c r="A6" s="139"/>
      <c r="B6" s="76" t="s">
        <v>765</v>
      </c>
      <c r="C6" s="77">
        <f ca="1">Mercado_RA0_Reais</f>
        <v>19723496.496920004</v>
      </c>
      <c r="D6" s="77"/>
      <c r="E6" s="486"/>
      <c r="F6" s="75"/>
      <c r="G6" s="140"/>
      <c r="H6" s="81"/>
      <c r="J6" s="275"/>
      <c r="K6" s="728" t="s">
        <v>766</v>
      </c>
      <c r="L6" s="729">
        <v>751.56</v>
      </c>
      <c r="M6" s="79"/>
    </row>
    <row r="7" spans="1:15" ht="16.5" customHeight="1">
      <c r="A7" s="139"/>
      <c r="B7" s="1165" t="str">
        <f>IF(CAPA!P1="FALSO","IRT Economico","Variação econômica")</f>
        <v>Variação econômica</v>
      </c>
      <c r="C7" s="1166">
        <f ca="1">ROUND((C5/C6-1),4)</f>
        <v>0.25069999999999998</v>
      </c>
      <c r="D7" s="503"/>
      <c r="E7" s="75"/>
      <c r="F7" s="75"/>
      <c r="G7" s="75"/>
      <c r="H7" s="81"/>
      <c r="K7" s="49" t="s">
        <v>767</v>
      </c>
      <c r="L7" s="1035">
        <f>L6/'Tabelas e Gráficos'!U39-1</f>
        <v>0.22575594480868966</v>
      </c>
    </row>
    <row r="8" spans="1:15" ht="16.5" customHeight="1">
      <c r="A8" s="139"/>
      <c r="B8" s="78" t="s">
        <v>768</v>
      </c>
      <c r="C8" s="257">
        <f ca="1">ROUND(Financeiros!E7,4)</f>
        <v>-5.5800000000000002E-2</v>
      </c>
      <c r="D8" s="504"/>
      <c r="E8" s="75"/>
      <c r="F8" s="501"/>
      <c r="G8" s="75"/>
      <c r="H8" s="81"/>
      <c r="K8" s="730" t="s">
        <v>769</v>
      </c>
      <c r="L8" s="731" t="s">
        <v>2222</v>
      </c>
      <c r="M8" s="691" t="s">
        <v>771</v>
      </c>
    </row>
    <row r="9" spans="1:15" ht="16.5" customHeight="1">
      <c r="A9" s="139"/>
      <c r="B9" s="1167" t="str">
        <f>IF(CAPA!P1="FALSO","IRT Economico e Financeiro","Variação econômica e financeira")</f>
        <v>Variação econômica e financeira</v>
      </c>
      <c r="C9" s="1168">
        <f ca="1">ROUND((C7+C8),5)</f>
        <v>0.19489999999999999</v>
      </c>
      <c r="D9" s="503"/>
      <c r="E9" s="503"/>
      <c r="F9" s="75"/>
      <c r="G9" s="75"/>
      <c r="K9" s="726" t="s">
        <v>772</v>
      </c>
      <c r="L9" s="732">
        <f>Aj.Subsídio!G28*12</f>
        <v>5473501.4399999995</v>
      </c>
      <c r="M9" s="732">
        <v>5963028.9767337581</v>
      </c>
    </row>
    <row r="10" spans="1:15" ht="16.5" customHeight="1">
      <c r="A10" s="139"/>
      <c r="B10" s="1167" t="s">
        <v>773</v>
      </c>
      <c r="C10" s="1168">
        <f ca="1">ROUND((LnkTXTEfeito-LnkTXTIRTTotal),4)</f>
        <v>0.1197</v>
      </c>
      <c r="D10" s="735">
        <f ca="1">LnKTxTRA1+Financeiros!D5</f>
        <v>23567154.376724649</v>
      </c>
      <c r="E10" s="75"/>
      <c r="F10" s="75"/>
      <c r="G10" s="75"/>
      <c r="K10" s="726" t="s">
        <v>774</v>
      </c>
      <c r="L10" s="732">
        <f>Aj.Subsídio!G29*12</f>
        <v>0</v>
      </c>
      <c r="M10" s="732">
        <v>0</v>
      </c>
    </row>
    <row r="11" spans="1:15" ht="16.5" customHeight="1">
      <c r="A11" s="139"/>
      <c r="B11" s="1069" t="s">
        <v>775</v>
      </c>
      <c r="C11" s="834"/>
      <c r="D11" s="1169"/>
      <c r="E11" s="1169"/>
      <c r="F11" s="1169"/>
      <c r="G11" s="75"/>
      <c r="K11" s="726" t="s">
        <v>776</v>
      </c>
      <c r="L11" s="732">
        <f>Aj.Subsídio!G30*12</f>
        <v>0</v>
      </c>
      <c r="M11" s="732">
        <v>0</v>
      </c>
    </row>
    <row r="12" spans="1:15" ht="16.5" customHeight="1">
      <c r="E12" s="1170"/>
      <c r="F12" s="1170"/>
      <c r="K12" s="726" t="s">
        <v>777</v>
      </c>
      <c r="L12" s="732">
        <f>Aj.Subsídio!G31*12</f>
        <v>25620.48</v>
      </c>
      <c r="M12" s="732">
        <v>19317.37723232566</v>
      </c>
      <c r="O12" s="915"/>
    </row>
    <row r="13" spans="1:15" ht="14.25">
      <c r="B13" s="1171"/>
      <c r="C13" s="1172" t="s">
        <v>770</v>
      </c>
      <c r="D13" s="1173" t="s">
        <v>771</v>
      </c>
      <c r="E13" s="1172" t="s">
        <v>778</v>
      </c>
      <c r="F13" s="1171" t="s">
        <v>779</v>
      </c>
      <c r="K13" s="726" t="s">
        <v>780</v>
      </c>
      <c r="L13" s="732">
        <f>Aj.Subsídio!G32*12</f>
        <v>450513.36</v>
      </c>
      <c r="M13" s="732">
        <v>279855.42073307693</v>
      </c>
      <c r="O13" s="915"/>
    </row>
    <row r="14" spans="1:15" ht="14.25">
      <c r="B14" s="1174" t="s">
        <v>781</v>
      </c>
      <c r="C14" s="1175">
        <f ca="1">SUM(C15:C23)</f>
        <v>3263016.7535252078</v>
      </c>
      <c r="D14" s="1176">
        <f ca="1">SUM(D15:D23)</f>
        <v>4729123.6706041945</v>
      </c>
      <c r="E14" s="1177">
        <f t="shared" ref="E14:E34" ca="1" si="0">(D14-C14)/LnkTXTRA0</f>
        <v>7.4333012775292251E-2</v>
      </c>
      <c r="F14" s="1178">
        <f ca="1">IF(ISERROR(D14/C14-1),"-",D14/C14-1)</f>
        <v>0.44931026342266689</v>
      </c>
      <c r="G14" s="292"/>
      <c r="H14" s="101"/>
      <c r="K14" s="726" t="s">
        <v>782</v>
      </c>
      <c r="L14" s="732">
        <f>Aj.Subsídio!G33*12</f>
        <v>95209.56</v>
      </c>
      <c r="M14" s="732">
        <v>119107.06402116618</v>
      </c>
      <c r="O14" s="915"/>
    </row>
    <row r="15" spans="1:15" ht="14.25" hidden="1">
      <c r="B15" s="78" t="s">
        <v>783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70" t="e">
        <f>VLOOKUP(K15,BD!$B$61:$C$66,2,FALSE)</f>
        <v>#N/A</v>
      </c>
      <c r="M15" s="49"/>
    </row>
    <row r="16" spans="1:15" ht="14.25" hidden="1">
      <c r="B16" s="78" t="s">
        <v>784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70" t="e">
        <f>VLOOKUP(K16,BD!$B$61:$C$66,2,FALSE)</f>
        <v>#N/A</v>
      </c>
    </row>
    <row r="17" spans="2:14" ht="14.25">
      <c r="B17" s="78" t="s">
        <v>785</v>
      </c>
      <c r="C17" s="225">
        <f ca="1">Mercado_Faturado_Encargo_TFSEE_BRUTO</f>
        <v>45866.266342703326</v>
      </c>
      <c r="D17" s="133">
        <f ca="1">Encargos!C6</f>
        <v>56881.93393419528</v>
      </c>
      <c r="E17" s="223">
        <f t="shared" ca="1" si="0"/>
        <v>5.5850480634669149E-4</v>
      </c>
      <c r="F17" s="258">
        <f t="shared" ca="1" si="1"/>
        <v>0.24016926752191137</v>
      </c>
      <c r="G17" s="292"/>
    </row>
    <row r="18" spans="2:14" ht="14.25">
      <c r="B18" s="78" t="s">
        <v>786</v>
      </c>
      <c r="C18" s="226">
        <f ca="1">Mercado_Faturado_Encargo_CDE_BRUTO</f>
        <v>2741138.8933965573</v>
      </c>
      <c r="D18" s="227">
        <f ca="1">Encargos!C7</f>
        <v>3950481.0116799995</v>
      </c>
      <c r="E18" s="224">
        <f t="shared" ca="1" si="0"/>
        <v>6.1314793676278012E-2</v>
      </c>
      <c r="F18" s="258">
        <f t="shared" ca="1" si="1"/>
        <v>0.44118235715700682</v>
      </c>
      <c r="G18" s="292"/>
      <c r="H18" s="142"/>
      <c r="K18" s="49" t="s">
        <v>787</v>
      </c>
      <c r="L18" s="733">
        <v>44694.518645833334</v>
      </c>
      <c r="M18" s="49"/>
      <c r="N18" s="633"/>
    </row>
    <row r="19" spans="2:14" ht="16.5" hidden="1" customHeight="1">
      <c r="B19" s="78" t="s">
        <v>788</v>
      </c>
      <c r="C19" s="225">
        <f ca="1">Mercado_Faturado_Encargo_CFURH_BRUTO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6" t="s">
        <v>789</v>
      </c>
      <c r="L19" s="726"/>
      <c r="M19" s="726"/>
      <c r="N19" s="295"/>
    </row>
    <row r="20" spans="2:14" ht="14.25">
      <c r="B20" s="78" t="s">
        <v>790</v>
      </c>
      <c r="C20" s="225">
        <f ca="1">Mercado_Faturado_Encargo_ESSERR_BRUTO*0</f>
        <v>0</v>
      </c>
      <c r="D20" s="133">
        <f>Encargos!C9</f>
        <v>0</v>
      </c>
      <c r="E20" s="223">
        <f t="shared" ca="1" si="0"/>
        <v>0</v>
      </c>
      <c r="F20" s="258" t="str">
        <f t="shared" ca="1" si="1"/>
        <v>-</v>
      </c>
      <c r="G20" s="292"/>
      <c r="K20" s="726" t="s">
        <v>791</v>
      </c>
      <c r="L20" s="734"/>
      <c r="M20" s="734"/>
    </row>
    <row r="21" spans="2:14" ht="14.25">
      <c r="B21" s="78" t="s">
        <v>47</v>
      </c>
      <c r="C21" s="225">
        <f ca="1">Mercado_Faturado_Encargo_PROINFA_BRUTO</f>
        <v>476011.59378594742</v>
      </c>
      <c r="D21" s="133">
        <f ca="1">Encargos!C10</f>
        <v>721760.7249899999</v>
      </c>
      <c r="E21" s="223">
        <f t="shared" ca="1" si="0"/>
        <v>1.2459714292667547E-2</v>
      </c>
      <c r="F21" s="258">
        <f t="shared" ca="1" si="1"/>
        <v>0.51626711284381188</v>
      </c>
      <c r="G21" s="292"/>
      <c r="L21" s="198"/>
    </row>
    <row r="22" spans="2:14" ht="14.25">
      <c r="B22" s="78" t="s">
        <v>792</v>
      </c>
      <c r="C22" s="225">
        <f ca="1">Mercado_Faturado_Encargo_PeD_BRUTO*0</f>
        <v>0</v>
      </c>
      <c r="D22" s="405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79" t="s">
        <v>793</v>
      </c>
      <c r="C24" s="1175">
        <f ca="1">SUM(C25:C32)</f>
        <v>4872952.6758582592</v>
      </c>
      <c r="D24" s="1176">
        <f>SUM(D25:D32)</f>
        <v>6028139.6394422995</v>
      </c>
      <c r="E24" s="1177">
        <f t="shared" ca="1" si="0"/>
        <v>5.8569075912297437E-2</v>
      </c>
      <c r="F24" s="1178">
        <f t="shared" ca="1" si="1"/>
        <v>0.23706098548978427</v>
      </c>
      <c r="G24" s="292"/>
      <c r="J24"/>
      <c r="K24" s="23"/>
      <c r="L24" s="198"/>
    </row>
    <row r="25" spans="2:14" ht="14.25">
      <c r="B25" s="81" t="s">
        <v>703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705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794</v>
      </c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795</v>
      </c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706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707</v>
      </c>
      <c r="C32" s="225">
        <f ca="1">Calc_Mercado!C96</f>
        <v>4872952.6758582592</v>
      </c>
      <c r="D32" s="133">
        <f>CUSD!C3</f>
        <v>6028139.6394422995</v>
      </c>
      <c r="E32" s="223">
        <f t="shared" ca="1" si="2"/>
        <v>5.8569075912297437E-2</v>
      </c>
      <c r="F32" s="259">
        <f t="shared" ca="1" si="1"/>
        <v>0.23706098548978427</v>
      </c>
      <c r="G32" s="292"/>
    </row>
    <row r="33" spans="2:8" ht="14.25">
      <c r="B33" s="1179" t="s">
        <v>120</v>
      </c>
      <c r="C33" s="1175">
        <f ca="1">SUM(Calc_Mercado!C79:C84)</f>
        <v>2966844.5089071067</v>
      </c>
      <c r="D33" s="1176">
        <f ca="1">Energia!F23</f>
        <v>3329455.1935485285</v>
      </c>
      <c r="E33" s="1177">
        <f t="shared" ca="1" si="0"/>
        <v>1.8384706012853583E-2</v>
      </c>
      <c r="F33" s="1178">
        <f ca="1">IF(ISERROR(D33/C33-1),"-",D33/C33-1)</f>
        <v>0.12222099390540575</v>
      </c>
      <c r="G33" s="292"/>
    </row>
    <row r="34" spans="2:8" ht="14.25">
      <c r="B34" s="1180" t="s">
        <v>798</v>
      </c>
      <c r="C34" s="1181">
        <f ca="1">C14+C24+C33</f>
        <v>11102813.938290574</v>
      </c>
      <c r="D34" s="1182">
        <f ca="1">D33+D24+D14</f>
        <v>14086718.503595024</v>
      </c>
      <c r="E34" s="1183">
        <f t="shared" ca="1" si="0"/>
        <v>0.15128679470044337</v>
      </c>
      <c r="F34" s="1184">
        <f ca="1">IF(ISERROR(D34/C34-1),"-",D34/C34-1)</f>
        <v>0.26875210031339702</v>
      </c>
      <c r="G34" s="292"/>
    </row>
    <row r="35" spans="2:8" ht="14.25">
      <c r="G35" s="69"/>
      <c r="H35" s="108"/>
    </row>
    <row r="36" spans="2:8" ht="14.25">
      <c r="B36" s="1069" t="s">
        <v>109</v>
      </c>
      <c r="C36" s="834"/>
      <c r="D36" s="834"/>
      <c r="E36" s="1169"/>
      <c r="F36" s="1169"/>
      <c r="G36" s="69"/>
    </row>
    <row r="37" spans="2:8" ht="8.25" customHeight="1">
      <c r="G37" s="69"/>
      <c r="H37" s="142"/>
    </row>
    <row r="38" spans="2:8" ht="15.75" customHeight="1">
      <c r="B38" s="692"/>
      <c r="C38" s="692" t="s">
        <v>770</v>
      </c>
      <c r="D38" s="692" t="s">
        <v>771</v>
      </c>
      <c r="E38" s="1185" t="s">
        <v>778</v>
      </c>
      <c r="F38" s="692" t="s">
        <v>779</v>
      </c>
      <c r="G38" s="69"/>
      <c r="H38" s="143"/>
    </row>
    <row r="39" spans="2:8" ht="15.75" customHeight="1">
      <c r="B39" s="1186" t="s">
        <v>799</v>
      </c>
      <c r="C39" s="1187">
        <f ca="1">LnkTXTRA0-C34</f>
        <v>8620682.5586294308</v>
      </c>
      <c r="D39" s="1188">
        <f>IFERROR(IF(CAPA!P1="VERDADEIRO",SMALL(IF(LnkTXTPBReq=0,CAPA!K29,LnkTXTPBReq):LNKTXTLImPB,1),C39*(1+LnkTXTIPCA-CAPA!H42)),0)</f>
        <v>10580562.18</v>
      </c>
      <c r="E39" s="1189">
        <f ca="1">(D39-C39)/LnkTXTRA0</f>
        <v>9.9367757723719072E-2</v>
      </c>
      <c r="F39" s="1190">
        <f ca="1">IF(ISERROR(D39/C39-1),"-",D39/C39-1)</f>
        <v>0.2273462232301664</v>
      </c>
      <c r="G39" s="69"/>
      <c r="H39" s="142"/>
    </row>
    <row r="40" spans="2:8" ht="14.25">
      <c r="B40" s="737"/>
      <c r="C40" s="738"/>
      <c r="D40" s="739"/>
      <c r="E40" s="737"/>
      <c r="F40" s="737"/>
    </row>
    <row r="41" spans="2:8" ht="14.25">
      <c r="B41" s="1069" t="s">
        <v>800</v>
      </c>
      <c r="C41" s="834"/>
      <c r="D41" s="834"/>
      <c r="E41" s="1169"/>
      <c r="F41" s="1169"/>
    </row>
    <row r="42" spans="2:8" ht="9" customHeight="1">
      <c r="E42" s="75"/>
      <c r="F42" s="75"/>
    </row>
    <row r="43" spans="2:8" ht="15.75" customHeight="1">
      <c r="B43" s="737"/>
      <c r="C43" s="1171" t="s">
        <v>801</v>
      </c>
      <c r="D43" s="1171" t="s">
        <v>778</v>
      </c>
      <c r="E43" s="474" t="s">
        <v>802</v>
      </c>
      <c r="F43" s="474"/>
      <c r="G43" s="474"/>
    </row>
    <row r="44" spans="2:8" ht="15.75" customHeight="1">
      <c r="B44" s="1191" t="s">
        <v>803</v>
      </c>
      <c r="C44" s="1192">
        <f ca="1">SUM(C45:C64)</f>
        <v>-1100126.3068703734</v>
      </c>
      <c r="D44" s="1193">
        <f ca="1">C44/Financeiros!D4</f>
        <v>-5.5777448336412752E-2</v>
      </c>
      <c r="E44" s="474">
        <f t="shared" ref="E44:E99" ca="1" si="3">IF(D44=0,0,1)</f>
        <v>1</v>
      </c>
      <c r="F44" s="474"/>
      <c r="G44" s="474"/>
    </row>
    <row r="45" spans="2:8" ht="15.75" customHeight="1">
      <c r="B45" s="82" t="str">
        <f>Financeiros!C9</f>
        <v>Repasse de PIS COFINS</v>
      </c>
      <c r="C45" s="460">
        <f>Financeiros!D9</f>
        <v>387731.83742470801</v>
      </c>
      <c r="D45" s="480">
        <f ca="1">C45/Financeiros!$D$4</f>
        <v>1.9658372311687013E-2</v>
      </c>
      <c r="E45" s="474">
        <f t="shared" ca="1" si="3"/>
        <v>1</v>
      </c>
      <c r="F45" s="474"/>
      <c r="G45" s="474"/>
    </row>
    <row r="46" spans="2:8" ht="15.75" customHeight="1">
      <c r="B46" s="82" t="s">
        <v>804</v>
      </c>
      <c r="C46" s="460">
        <f ca="1">LnkTXTNeutralidade</f>
        <v>220391.41032326259</v>
      </c>
      <c r="D46" s="480">
        <f ca="1">C46/Financeiros!$D$4</f>
        <v>1.1174053766667519E-2</v>
      </c>
      <c r="E46" s="474">
        <f t="shared" ca="1" si="3"/>
        <v>1</v>
      </c>
      <c r="F46" s="474"/>
      <c r="G46" s="474"/>
    </row>
    <row r="47" spans="2:8" ht="15.75" hidden="1" customHeight="1">
      <c r="B47" s="83" t="str">
        <f>Financeiros!C21</f>
        <v>Manual de Contabilidade do Setor Elétrico</v>
      </c>
      <c r="C47" s="461">
        <f>Financeiros!D21</f>
        <v>0</v>
      </c>
      <c r="D47" s="480">
        <f ca="1">C47/Financeiros!$D$4</f>
        <v>0</v>
      </c>
      <c r="E47" s="474">
        <f t="shared" ca="1" si="3"/>
        <v>0</v>
      </c>
      <c r="F47" s="474"/>
      <c r="G47" s="474"/>
    </row>
    <row r="48" spans="2:8" ht="15.75" hidden="1" customHeight="1">
      <c r="B48" s="68" t="str">
        <f>Financeiros!C23</f>
        <v>Ajustes Processos anteriores</v>
      </c>
      <c r="C48" s="460">
        <f>Financeiros!D23</f>
        <v>0</v>
      </c>
      <c r="D48" s="480">
        <f ca="1">C48/Financeiros!$D$4</f>
        <v>0</v>
      </c>
      <c r="E48" s="474">
        <f t="shared" ca="1" si="3"/>
        <v>0</v>
      </c>
      <c r="F48" s="474"/>
      <c r="G48" s="474"/>
    </row>
    <row r="49" spans="2:5" ht="15.75" hidden="1" customHeight="1">
      <c r="B49" s="83" t="str">
        <f>Financeiros!C24</f>
        <v>Ajuste CUST + PISCONFINS Transmissão</v>
      </c>
      <c r="C49" s="461">
        <f>Financeiros!D24</f>
        <v>0</v>
      </c>
      <c r="D49" s="480">
        <f ca="1">C49/Financeiros!$D$4</f>
        <v>0</v>
      </c>
      <c r="E49" s="474">
        <f t="shared" ca="1" si="3"/>
        <v>0</v>
      </c>
    </row>
    <row r="50" spans="2:5" ht="15.75" customHeight="1">
      <c r="B50" s="68" t="str">
        <f>Financeiros!C25</f>
        <v>Compensação DIC FIC</v>
      </c>
      <c r="C50" s="461">
        <f>Financeiros!D25</f>
        <v>-101090.8966218686</v>
      </c>
      <c r="D50" s="480">
        <f ca="1">C50/Financeiros!$D$4</f>
        <v>-5.1254044452845784E-3</v>
      </c>
      <c r="E50" s="474">
        <f t="shared" ca="1" si="3"/>
        <v>1</v>
      </c>
    </row>
    <row r="51" spans="2:5" ht="15.75" customHeight="1">
      <c r="B51" s="68" t="str">
        <f>Financeiros!C26</f>
        <v>Subvenção CDE</v>
      </c>
      <c r="C51" s="461">
        <f ca="1">Financeiros!D26</f>
        <v>-1599892.1389602604</v>
      </c>
      <c r="D51" s="480">
        <f ca="1">C51/Financeiros!$D$4</f>
        <v>-8.1116050554732907E-2</v>
      </c>
      <c r="E51" s="474">
        <f t="shared" ca="1" si="3"/>
        <v>1</v>
      </c>
    </row>
    <row r="52" spans="2:5" ht="15.75" hidden="1" customHeight="1">
      <c r="B52" s="68" t="str">
        <f>Financeiros!C27</f>
        <v>Retenção de Adicionais de Bandeiras Tarifárias</v>
      </c>
      <c r="C52" s="461">
        <f>Financeiros!D27</f>
        <v>0</v>
      </c>
      <c r="D52" s="480">
        <f ca="1">C52/Financeiros!$D$4</f>
        <v>0</v>
      </c>
      <c r="E52" s="474">
        <f t="shared" ca="1" si="3"/>
        <v>0</v>
      </c>
    </row>
    <row r="53" spans="2:5" ht="15.75" hidden="1" customHeight="1">
      <c r="B53" s="68" t="str">
        <f>Financeiros!C28</f>
        <v>Multa LPT</v>
      </c>
      <c r="C53" s="461">
        <f>Financeiros!D28</f>
        <v>0</v>
      </c>
      <c r="D53" s="480">
        <f ca="1">C53/Financeiros!$D$4</f>
        <v>0</v>
      </c>
      <c r="E53" s="474">
        <f t="shared" ca="1" si="3"/>
        <v>0</v>
      </c>
    </row>
    <row r="54" spans="2:5" ht="15.75" hidden="1" customHeight="1">
      <c r="B54" s="68" t="str">
        <f>Financeiros!C32</f>
        <v>Ressarcimento P&amp;D</v>
      </c>
      <c r="C54" s="461">
        <f>Financeiros!D32</f>
        <v>0</v>
      </c>
      <c r="D54" s="480">
        <f ca="1">C54/Financeiros!$D$4</f>
        <v>0</v>
      </c>
      <c r="E54" s="474">
        <f t="shared" ca="1" si="3"/>
        <v>0</v>
      </c>
    </row>
    <row r="55" spans="2:5" ht="15.75" customHeight="1">
      <c r="B55" s="68" t="str">
        <f>Financeiros!C29</f>
        <v>Repasse de ICMS</v>
      </c>
      <c r="C55" s="461">
        <f>Financeiros!D29</f>
        <v>7.7741477922672155</v>
      </c>
      <c r="D55" s="772">
        <f ca="1">C55/Financeiros!$D$4</f>
        <v>3.9415667467891489E-7</v>
      </c>
      <c r="E55" s="474">
        <f t="shared" ca="1" si="3"/>
        <v>1</v>
      </c>
    </row>
    <row r="56" spans="2:5" ht="15.75" hidden="1" customHeight="1">
      <c r="B56" s="68" t="str">
        <f>Financeiros!C34</f>
        <v>Previsão de Risco Hidrologico</v>
      </c>
      <c r="C56" s="461">
        <f>Financeiros!D34</f>
        <v>0</v>
      </c>
      <c r="D56" s="480">
        <f ca="1">C56/Financeiros!$D$4</f>
        <v>0</v>
      </c>
      <c r="E56" s="474">
        <f t="shared" ca="1" si="3"/>
        <v>0</v>
      </c>
    </row>
    <row r="57" spans="2:5" ht="15.75" hidden="1" customHeight="1">
      <c r="B57" s="68" t="str">
        <f>Financeiros!C35</f>
        <v>Efeito COVID da Supridora</v>
      </c>
      <c r="C57" s="461">
        <f>Financeiros!D35</f>
        <v>0</v>
      </c>
      <c r="D57" s="480">
        <f ca="1">C57/Financeiros!$D$4</f>
        <v>0</v>
      </c>
      <c r="E57" s="474">
        <f t="shared" ca="1" si="3"/>
        <v>0</v>
      </c>
    </row>
    <row r="58" spans="2:5" ht="15.75" hidden="1" customHeight="1">
      <c r="B58" s="68" t="str">
        <f>Financeiros!C36</f>
        <v>Crédito de Pis Cofins sobre ICMS</v>
      </c>
      <c r="C58" s="461">
        <f>Financeiros!D36</f>
        <v>0</v>
      </c>
      <c r="D58" s="480">
        <f ca="1">C58/Financeiros!$D$4</f>
        <v>0</v>
      </c>
      <c r="E58" s="474">
        <f t="shared" ca="1" si="3"/>
        <v>0</v>
      </c>
    </row>
    <row r="59" spans="2:5" ht="15.75" hidden="1" customHeight="1">
      <c r="B59" s="68" t="str">
        <f>Financeiros!C37</f>
        <v>Diferimento Pis Cofins TUSD</v>
      </c>
      <c r="C59" s="461">
        <f>Financeiros!D37</f>
        <v>0</v>
      </c>
      <c r="D59" s="480">
        <f ca="1">C59/Financeiros!$D$4</f>
        <v>0</v>
      </c>
      <c r="E59" s="474">
        <f t="shared" ca="1" si="3"/>
        <v>0</v>
      </c>
    </row>
    <row r="60" spans="2:5" ht="15.75" hidden="1" customHeight="1">
      <c r="B60" s="68" t="str">
        <f>Financeiros!C38</f>
        <v>Diferimento Pis Cofins TE</v>
      </c>
      <c r="C60" s="461">
        <f>Financeiros!D38</f>
        <v>0</v>
      </c>
      <c r="D60" s="480">
        <f ca="1">C60/Financeiros!$D$4</f>
        <v>0</v>
      </c>
      <c r="E60" s="474">
        <f t="shared" ca="1" si="3"/>
        <v>0</v>
      </c>
    </row>
    <row r="61" spans="2:5" ht="15.75" hidden="1" customHeight="1">
      <c r="B61" s="68" t="str">
        <f>Financeiros!C39</f>
        <v>Financeiros associados ao §7º do Art. 88 da Ren 414/2021</v>
      </c>
      <c r="C61" s="461">
        <f>Financeiros!D39</f>
        <v>0</v>
      </c>
      <c r="D61" s="480">
        <f ca="1">C61/Financeiros!$D$4</f>
        <v>0</v>
      </c>
      <c r="E61" s="474">
        <f t="shared" ca="1" si="3"/>
        <v>0</v>
      </c>
    </row>
    <row r="62" spans="2:5" ht="15.75" hidden="1" customHeight="1">
      <c r="B62" s="68">
        <f>Financeiros!C40</f>
        <v>0</v>
      </c>
      <c r="C62" s="461">
        <f>Financeiros!D40</f>
        <v>0</v>
      </c>
      <c r="D62" s="480">
        <f ca="1">C62/Financeiros!$D$4</f>
        <v>0</v>
      </c>
      <c r="E62" s="474">
        <f t="shared" ca="1" si="3"/>
        <v>0</v>
      </c>
    </row>
    <row r="63" spans="2:5" ht="15.75" customHeight="1">
      <c r="B63" s="68" t="str">
        <f>Financeiros!C41</f>
        <v>Reversão Postergação Covid TUSD em 2021</v>
      </c>
      <c r="C63" s="461">
        <f>Financeiros!D41</f>
        <v>-28378.362367771737</v>
      </c>
      <c r="D63" s="480">
        <f ca="1">C63/Financeiros!$D$4</f>
        <v>-1.4388099175114953E-3</v>
      </c>
      <c r="E63" s="474">
        <f t="shared" ca="1" si="3"/>
        <v>1</v>
      </c>
    </row>
    <row r="64" spans="2:5" ht="15.75" customHeight="1">
      <c r="B64" s="68" t="str">
        <f>Financeiros!C42</f>
        <v>Reversão Postergação Covid TE em 2021</v>
      </c>
      <c r="C64" s="461">
        <f>Financeiros!D42</f>
        <v>21104.069183764557</v>
      </c>
      <c r="D64" s="480">
        <f ca="1">C64/Financeiros!$D$4</f>
        <v>1.0699963460870207E-3</v>
      </c>
      <c r="E64" s="474">
        <f t="shared" ca="1" si="3"/>
        <v>1</v>
      </c>
    </row>
    <row r="65" spans="2:5" ht="15.75" hidden="1" customHeight="1">
      <c r="B65" s="68" t="str">
        <f>Financeiros!C43</f>
        <v>CVA ccc</v>
      </c>
      <c r="C65" s="461">
        <f>Financeiros!D43</f>
        <v>0</v>
      </c>
      <c r="D65" s="480">
        <f ca="1">C65/Financeiros!$D$4</f>
        <v>0</v>
      </c>
      <c r="E65" s="474">
        <f t="shared" ca="1" si="3"/>
        <v>0</v>
      </c>
    </row>
    <row r="66" spans="2:5" ht="15.75" hidden="1" customHeight="1">
      <c r="B66" s="68" t="str">
        <f>Financeiros!C44</f>
        <v>CVA cde</v>
      </c>
      <c r="C66" s="461">
        <f>Financeiros!D44</f>
        <v>0</v>
      </c>
      <c r="D66" s="480">
        <f ca="1">C66/Financeiros!$D$4</f>
        <v>0</v>
      </c>
      <c r="E66" s="474">
        <f t="shared" ca="1" si="3"/>
        <v>0</v>
      </c>
    </row>
    <row r="67" spans="2:5" ht="15.75" hidden="1" customHeight="1">
      <c r="B67" s="68" t="str">
        <f>Financeiros!C45</f>
        <v>CVA cde energia</v>
      </c>
      <c r="C67" s="461">
        <f>Financeiros!D45</f>
        <v>0</v>
      </c>
      <c r="D67" s="480">
        <f ca="1">C67/Financeiros!$D$4</f>
        <v>0</v>
      </c>
      <c r="E67" s="474">
        <f t="shared" ca="1" si="3"/>
        <v>0</v>
      </c>
    </row>
    <row r="68" spans="2:5" ht="15.75" hidden="1" customHeight="1">
      <c r="B68" s="68" t="str">
        <f>Financeiros!C46</f>
        <v>CVA RB - Nodal</v>
      </c>
      <c r="C68" s="461">
        <f>Financeiros!D46</f>
        <v>0</v>
      </c>
      <c r="D68" s="480">
        <f ca="1">C68/Financeiros!$D$4</f>
        <v>0</v>
      </c>
      <c r="E68" s="474">
        <f t="shared" ca="1" si="3"/>
        <v>0</v>
      </c>
    </row>
    <row r="69" spans="2:5" ht="15.75" hidden="1" customHeight="1">
      <c r="B69" s="68" t="str">
        <f>Financeiros!C47</f>
        <v>CVA RB - Fronteira</v>
      </c>
      <c r="C69" s="461">
        <f>Financeiros!D47</f>
        <v>0</v>
      </c>
      <c r="D69" s="480">
        <f ca="1">C69/Financeiros!$D$4</f>
        <v>0</v>
      </c>
      <c r="E69" s="474">
        <f t="shared" ca="1" si="3"/>
        <v>0</v>
      </c>
    </row>
    <row r="70" spans="2:5" ht="15.75" hidden="1" customHeight="1">
      <c r="B70" s="68" t="str">
        <f>Financeiros!C48</f>
        <v>CVA RB - TUSDg EXP</v>
      </c>
      <c r="C70" s="461">
        <f>Financeiros!D48</f>
        <v>0</v>
      </c>
      <c r="D70" s="480">
        <f ca="1">C70/Financeiros!$D$4</f>
        <v>0</v>
      </c>
      <c r="E70" s="474">
        <f t="shared" ca="1" si="3"/>
        <v>0</v>
      </c>
    </row>
    <row r="71" spans="2:5" ht="15.75" hidden="1" customHeight="1">
      <c r="B71" s="68" t="str">
        <f>Financeiros!C49</f>
        <v>CVA RB - TUSDg ONS</v>
      </c>
      <c r="C71" s="461">
        <f>Financeiros!D49</f>
        <v>0</v>
      </c>
      <c r="D71" s="480">
        <f ca="1">C71/Financeiros!$D$4</f>
        <v>0</v>
      </c>
      <c r="E71" s="474">
        <f t="shared" ca="1" si="3"/>
        <v>0</v>
      </c>
    </row>
    <row r="72" spans="2:5" ht="15.75" hidden="1" customHeight="1">
      <c r="B72" s="68" t="str">
        <f>Financeiros!C50</f>
        <v>CVA RB - EUST Itaipu</v>
      </c>
      <c r="C72" s="461">
        <f>Financeiros!D50</f>
        <v>0</v>
      </c>
      <c r="D72" s="480">
        <f ca="1">C72/Financeiros!$D$4</f>
        <v>0</v>
      </c>
      <c r="E72" s="474">
        <f t="shared" ca="1" si="3"/>
        <v>0</v>
      </c>
    </row>
    <row r="73" spans="2:5" ht="15.75" hidden="1" customHeight="1">
      <c r="B73" s="68" t="str">
        <f>Financeiros!C51</f>
        <v>CVA - Transporte Itaipu</v>
      </c>
      <c r="C73" s="461">
        <f>Financeiros!D51</f>
        <v>0</v>
      </c>
      <c r="D73" s="480">
        <f ca="1">C73/Financeiros!$D$4</f>
        <v>0</v>
      </c>
      <c r="E73" s="474">
        <f t="shared" ca="1" si="3"/>
        <v>0</v>
      </c>
    </row>
    <row r="74" spans="2:5" ht="15.75" hidden="1" customHeight="1">
      <c r="B74" s="68" t="str">
        <f>Financeiros!C52</f>
        <v>CVA - Energia - Energia de Revenda</v>
      </c>
      <c r="C74" s="461">
        <f ca="1">Financeiros!D52</f>
        <v>0</v>
      </c>
      <c r="D74" s="480">
        <f ca="1">C74/Financeiros!$D$4</f>
        <v>0</v>
      </c>
      <c r="E74" s="474">
        <f t="shared" ca="1" si="3"/>
        <v>0</v>
      </c>
    </row>
    <row r="75" spans="2:5" ht="15.75" hidden="1" customHeight="1">
      <c r="B75" s="68" t="str">
        <f>Financeiros!C53</f>
        <v>CVA - Energia - Perda Não Técnica</v>
      </c>
      <c r="C75" s="461">
        <f ca="1">Financeiros!D53</f>
        <v>0</v>
      </c>
      <c r="D75" s="480">
        <f ca="1">C75/Financeiros!$D$4</f>
        <v>0</v>
      </c>
      <c r="E75" s="474">
        <f t="shared" ca="1" si="3"/>
        <v>0</v>
      </c>
    </row>
    <row r="76" spans="2:5" ht="15.75" hidden="1" customHeight="1">
      <c r="B76" s="68" t="str">
        <f>Financeiros!C54</f>
        <v>CVA - Energia - Perda Técnica</v>
      </c>
      <c r="C76" s="461">
        <f ca="1">Financeiros!D54</f>
        <v>0</v>
      </c>
      <c r="D76" s="480">
        <f ca="1">C76/Financeiros!$D$4</f>
        <v>0</v>
      </c>
      <c r="E76" s="474">
        <f t="shared" ca="1" si="3"/>
        <v>0</v>
      </c>
    </row>
    <row r="77" spans="2:5" ht="15.75" hidden="1" customHeight="1">
      <c r="B77" s="68" t="str">
        <f>Financeiros!C55</f>
        <v>CVA - Energia -  Perda de RB sobre a distribuição</v>
      </c>
      <c r="C77" s="461">
        <f ca="1">Financeiros!D55</f>
        <v>0</v>
      </c>
      <c r="D77" s="480">
        <f ca="1">C77/Financeiros!$D$4</f>
        <v>0</v>
      </c>
      <c r="E77" s="474">
        <f t="shared" ca="1" si="3"/>
        <v>0</v>
      </c>
    </row>
    <row r="78" spans="2:5" ht="15.75" hidden="1" customHeight="1">
      <c r="B78" s="68" t="str">
        <f>Financeiros!C56</f>
        <v>CVA - Energia -  Perda de RB sobre o mercado cativo</v>
      </c>
      <c r="C78" s="461">
        <f ca="1">Financeiros!D56</f>
        <v>0</v>
      </c>
      <c r="D78" s="480">
        <f ca="1">C78/Financeiros!$D$4</f>
        <v>0</v>
      </c>
      <c r="E78" s="474">
        <f t="shared" ca="1" si="3"/>
        <v>0</v>
      </c>
    </row>
    <row r="79" spans="2:5" ht="15.75" hidden="1" customHeight="1">
      <c r="B79" s="68" t="str">
        <f>Financeiros!C57</f>
        <v>CVA - Encargos - PROINFA</v>
      </c>
      <c r="C79" s="461">
        <f ca="1">Financeiros!D57</f>
        <v>0</v>
      </c>
      <c r="D79" s="480">
        <f ca="1">C79/Financeiros!$D$4</f>
        <v>0</v>
      </c>
      <c r="E79" s="474">
        <f t="shared" ca="1" si="3"/>
        <v>0</v>
      </c>
    </row>
    <row r="80" spans="2:5" ht="15.75" hidden="1" customHeight="1">
      <c r="B80" s="68" t="str">
        <f>Financeiros!C58</f>
        <v>CVA - Encargos - CFURH</v>
      </c>
      <c r="C80" s="461">
        <f>Financeiros!D58</f>
        <v>0</v>
      </c>
      <c r="D80" s="480">
        <f ca="1">C80/Financeiros!$D$4</f>
        <v>0</v>
      </c>
      <c r="E80" s="474">
        <f t="shared" ca="1" si="3"/>
        <v>0</v>
      </c>
    </row>
    <row r="81" spans="2:5" ht="15.75" hidden="1" customHeight="1">
      <c r="B81" s="68" t="str">
        <f>Financeiros!C59</f>
        <v>CVA - Encargos - ESS/EER</v>
      </c>
      <c r="C81" s="461">
        <f>Financeiros!D59</f>
        <v>0</v>
      </c>
      <c r="D81" s="480">
        <f ca="1">C81/Financeiros!$D$4</f>
        <v>0</v>
      </c>
      <c r="E81" s="474">
        <f t="shared" ca="1" si="3"/>
        <v>0</v>
      </c>
    </row>
    <row r="82" spans="2:5" ht="15.75" hidden="1" customHeight="1">
      <c r="B82" s="68" t="str">
        <f>Financeiros!C60</f>
        <v>Saldo a Compensar CVAccc</v>
      </c>
      <c r="C82" s="461">
        <f>Financeiros!D60</f>
        <v>0</v>
      </c>
      <c r="D82" s="480">
        <f ca="1">C82/Financeiros!$D$4</f>
        <v>0</v>
      </c>
      <c r="E82" s="474">
        <f t="shared" ca="1" si="3"/>
        <v>0</v>
      </c>
    </row>
    <row r="83" spans="2:5" ht="15.75" hidden="1" customHeight="1">
      <c r="B83" s="68" t="str">
        <f>Financeiros!C61</f>
        <v>Saldo a Compensar CVAcde</v>
      </c>
      <c r="C83" s="461">
        <f ca="1">Financeiros!D61</f>
        <v>0</v>
      </c>
      <c r="D83" s="480">
        <f ca="1">C83/Financeiros!$D$4</f>
        <v>0</v>
      </c>
      <c r="E83" s="474">
        <f t="shared" ca="1" si="3"/>
        <v>0</v>
      </c>
    </row>
    <row r="84" spans="2:5" ht="15.75" hidden="1" customHeight="1">
      <c r="B84" s="68" t="str">
        <f>Financeiros!C62</f>
        <v>Saldo a Compensar CVA cde energia</v>
      </c>
      <c r="C84" s="461">
        <f ca="1">Financeiros!D62</f>
        <v>0</v>
      </c>
      <c r="D84" s="480">
        <f ca="1">C84/Financeiros!$D$4</f>
        <v>0</v>
      </c>
      <c r="E84" s="474">
        <f t="shared" ca="1" si="3"/>
        <v>0</v>
      </c>
    </row>
    <row r="85" spans="2:5" ht="15.75" hidden="1" customHeight="1">
      <c r="B85" s="68" t="str">
        <f>Financeiros!C63</f>
        <v>Saldo a Compensar CVA RB - Nodal</v>
      </c>
      <c r="C85" s="461">
        <f ca="1">Financeiros!D63</f>
        <v>0</v>
      </c>
      <c r="D85" s="480">
        <f ca="1">C85/Financeiros!$D$4</f>
        <v>0</v>
      </c>
      <c r="E85" s="474">
        <f t="shared" ca="1" si="3"/>
        <v>0</v>
      </c>
    </row>
    <row r="86" spans="2:5" ht="15.75" hidden="1" customHeight="1">
      <c r="B86" s="68" t="str">
        <f>Financeiros!C64</f>
        <v>Saldo a Compensar CVA RB - Fronteira</v>
      </c>
      <c r="C86" s="461">
        <f ca="1">Financeiros!D64</f>
        <v>0</v>
      </c>
      <c r="D86" s="480">
        <f ca="1">C86/Financeiros!$D$4</f>
        <v>0</v>
      </c>
      <c r="E86" s="474">
        <f t="shared" ca="1" si="3"/>
        <v>0</v>
      </c>
    </row>
    <row r="87" spans="2:5" ht="15.75" hidden="1" customHeight="1">
      <c r="B87" s="68" t="str">
        <f>Financeiros!C65</f>
        <v>Saldo a Compensar CVA RB - TUSDg EXP</v>
      </c>
      <c r="C87" s="461">
        <f ca="1">Financeiros!D65</f>
        <v>0</v>
      </c>
      <c r="D87" s="480">
        <f ca="1">C87/Financeiros!$D$4</f>
        <v>0</v>
      </c>
      <c r="E87" s="474">
        <f t="shared" ca="1" si="3"/>
        <v>0</v>
      </c>
    </row>
    <row r="88" spans="2:5" ht="15.75" hidden="1" customHeight="1">
      <c r="B88" s="68" t="str">
        <f>Financeiros!C66</f>
        <v>Saldo a Compensar CVA RB - TUSDg ONS</v>
      </c>
      <c r="C88" s="461">
        <f ca="1">Financeiros!D66</f>
        <v>0</v>
      </c>
      <c r="D88" s="480">
        <f ca="1">C88/Financeiros!$D$4</f>
        <v>0</v>
      </c>
      <c r="E88" s="474">
        <f t="shared" ca="1" si="3"/>
        <v>0</v>
      </c>
    </row>
    <row r="89" spans="2:5" ht="15.75" hidden="1" customHeight="1">
      <c r="B89" s="68" t="str">
        <f>Financeiros!C67</f>
        <v>Saldo a Compensar CVA RB - EUST Itaipu</v>
      </c>
      <c r="C89" s="461">
        <f ca="1">Financeiros!D67</f>
        <v>0</v>
      </c>
      <c r="D89" s="480">
        <f ca="1">C89/Financeiros!$D$4</f>
        <v>0</v>
      </c>
      <c r="E89" s="474">
        <f t="shared" ca="1" si="3"/>
        <v>0</v>
      </c>
    </row>
    <row r="90" spans="2:5" ht="15.75" hidden="1" customHeight="1">
      <c r="B90" s="68" t="str">
        <f>Financeiros!C68</f>
        <v>Saldo a Compensar CVA - Transporte Itaipu</v>
      </c>
      <c r="C90" s="461">
        <f ca="1">Financeiros!D68</f>
        <v>0</v>
      </c>
      <c r="D90" s="480">
        <f ca="1">C90/Financeiros!$D$4</f>
        <v>0</v>
      </c>
      <c r="E90" s="474">
        <f t="shared" ca="1" si="3"/>
        <v>0</v>
      </c>
    </row>
    <row r="91" spans="2:5" ht="15.75" hidden="1" customHeight="1">
      <c r="B91" s="68" t="str">
        <f>Financeiros!C69</f>
        <v>Saldo a Compensar CVA - Energia - Energia de Revenda</v>
      </c>
      <c r="C91" s="461">
        <f ca="1">Financeiros!D69</f>
        <v>0</v>
      </c>
      <c r="D91" s="480">
        <f ca="1">C91/Financeiros!$D$4</f>
        <v>0</v>
      </c>
      <c r="E91" s="474">
        <f t="shared" ca="1" si="3"/>
        <v>0</v>
      </c>
    </row>
    <row r="92" spans="2:5" ht="15.75" hidden="1" customHeight="1">
      <c r="B92" s="68" t="str">
        <f>Financeiros!C70</f>
        <v>Saldo a Compensar CVA - Energia - Perda Não Técnica</v>
      </c>
      <c r="C92" s="461">
        <f ca="1">Financeiros!D70</f>
        <v>0</v>
      </c>
      <c r="D92" s="480">
        <f ca="1">C92/Financeiros!$D$4</f>
        <v>0</v>
      </c>
      <c r="E92" s="474">
        <f t="shared" ca="1" si="3"/>
        <v>0</v>
      </c>
    </row>
    <row r="93" spans="2:5" ht="15.75" hidden="1" customHeight="1">
      <c r="B93" s="68" t="str">
        <f>Financeiros!C71</f>
        <v>Saldo a Compensar CVA - Energia - Perda Técnica</v>
      </c>
      <c r="C93" s="461">
        <f ca="1">Financeiros!D71</f>
        <v>0</v>
      </c>
      <c r="D93" s="480">
        <f ca="1">C93/Financeiros!$D$4</f>
        <v>0</v>
      </c>
      <c r="E93" s="474">
        <f t="shared" ca="1" si="3"/>
        <v>0</v>
      </c>
    </row>
    <row r="94" spans="2:5" ht="15.75" hidden="1" customHeight="1">
      <c r="B94" s="68" t="str">
        <f>Financeiros!C72</f>
        <v>Saldo a Compensar CVA - Energia -  Perda de RB sobre a distribuição</v>
      </c>
      <c r="C94" s="461">
        <f ca="1">Financeiros!D72</f>
        <v>0</v>
      </c>
      <c r="D94" s="480">
        <f ca="1">C94/Financeiros!$D$4</f>
        <v>0</v>
      </c>
      <c r="E94" s="474">
        <f t="shared" ca="1" si="3"/>
        <v>0</v>
      </c>
    </row>
    <row r="95" spans="2:5" ht="15.75" hidden="1" customHeight="1">
      <c r="B95" s="68" t="str">
        <f>Financeiros!C73</f>
        <v>Saldo a Compensar CVA - Energia -  Perda de RB sobre o mercado cativo</v>
      </c>
      <c r="C95" s="461">
        <f ca="1">Financeiros!D73</f>
        <v>0</v>
      </c>
      <c r="D95" s="480">
        <f ca="1">C95/Financeiros!$D$4</f>
        <v>0</v>
      </c>
      <c r="E95" s="474">
        <f t="shared" ca="1" si="3"/>
        <v>0</v>
      </c>
    </row>
    <row r="96" spans="2:5" ht="15.75" hidden="1" customHeight="1">
      <c r="B96" s="68" t="str">
        <f>Financeiros!C74</f>
        <v>Saldo a Compensar CVA - Encargos - PROINFA</v>
      </c>
      <c r="C96" s="461">
        <f ca="1">Financeiros!D74</f>
        <v>0</v>
      </c>
      <c r="D96" s="480">
        <f ca="1">C96/Financeiros!$D$4</f>
        <v>0</v>
      </c>
      <c r="E96" s="474">
        <f t="shared" ca="1" si="3"/>
        <v>0</v>
      </c>
    </row>
    <row r="97" spans="2:5" ht="15.75" hidden="1" customHeight="1">
      <c r="B97" s="68" t="str">
        <f>Financeiros!C75</f>
        <v>Saldo a Compensar CVA - Encargos - CFURH</v>
      </c>
      <c r="C97" s="461">
        <f ca="1">Financeiros!D75</f>
        <v>0</v>
      </c>
      <c r="D97" s="480">
        <f ca="1">C97/Financeiros!$D$4</f>
        <v>0</v>
      </c>
      <c r="E97" s="474">
        <f t="shared" ca="1" si="3"/>
        <v>0</v>
      </c>
    </row>
    <row r="98" spans="2:5" ht="15.75" hidden="1" customHeight="1">
      <c r="B98" s="68" t="str">
        <f>Financeiros!C76</f>
        <v>Saldo a Compensar CVA - Encargos - ESS/EER</v>
      </c>
      <c r="C98" s="461">
        <f ca="1">Financeiros!D76</f>
        <v>0</v>
      </c>
      <c r="D98" s="480">
        <f ca="1">C98/Financeiros!$D$4</f>
        <v>0</v>
      </c>
      <c r="E98" s="474">
        <f t="shared" ca="1" si="3"/>
        <v>0</v>
      </c>
    </row>
    <row r="99" spans="2:5" ht="15.75" hidden="1" customHeight="1">
      <c r="B99" s="834" t="str">
        <f>Financeiros!C77</f>
        <v>Reversão de Risco Hidrológico</v>
      </c>
      <c r="C99" s="1036">
        <f ca="1">Financeiros!D77</f>
        <v>0</v>
      </c>
      <c r="D99" s="1037">
        <f ca="1">C99/Financeiros!$D$4</f>
        <v>0</v>
      </c>
      <c r="E99" s="474">
        <f t="shared" ca="1" si="3"/>
        <v>0</v>
      </c>
    </row>
    <row r="100" spans="2:5" ht="15.75" customHeight="1">
      <c r="B100" s="737"/>
      <c r="C100" s="1038"/>
      <c r="D100" s="1039"/>
    </row>
    <row r="101" spans="2:5" ht="15.75" customHeight="1">
      <c r="C101" s="461"/>
      <c r="D101" s="480"/>
    </row>
    <row r="102" spans="2:5" ht="15.75" customHeight="1">
      <c r="C102" s="461"/>
      <c r="D102" s="480"/>
    </row>
    <row r="103" spans="2:5" ht="15.75" customHeight="1">
      <c r="C103" s="461"/>
      <c r="D103" s="480"/>
    </row>
    <row r="104" spans="2:5" ht="15.75" customHeight="1">
      <c r="C104" s="461"/>
      <c r="D104" s="480"/>
    </row>
    <row r="105" spans="2:5" ht="15.75" customHeight="1">
      <c r="C105" s="461"/>
      <c r="D105" s="480"/>
    </row>
    <row r="106" spans="2:5" ht="15.75" customHeight="1">
      <c r="C106" s="461"/>
      <c r="D106" s="480"/>
    </row>
    <row r="107" spans="2:5" ht="15.75" customHeight="1">
      <c r="C107" s="461"/>
      <c r="D107" s="480"/>
    </row>
    <row r="108" spans="2:5" ht="15.75" customHeight="1">
      <c r="C108" s="461"/>
      <c r="D108" s="480"/>
    </row>
    <row r="109" spans="2:5" ht="15.75" customHeight="1">
      <c r="C109" s="461"/>
      <c r="D109" s="480"/>
    </row>
    <row r="110" spans="2:5" ht="15.75" customHeight="1">
      <c r="C110" s="461"/>
      <c r="D110" s="480"/>
    </row>
    <row r="111" spans="2:5" ht="15.75" customHeight="1">
      <c r="C111" s="461"/>
      <c r="D111" s="480"/>
    </row>
    <row r="112" spans="2:5" ht="15.75" customHeight="1">
      <c r="C112" s="461"/>
      <c r="D112" s="480"/>
    </row>
    <row r="113" spans="3:4" ht="15.75" customHeight="1">
      <c r="C113" s="461"/>
      <c r="D113" s="48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66"/>
  <sheetViews>
    <sheetView showGridLines="0" topLeftCell="AQ191" zoomScale="88" zoomScaleNormal="88" workbookViewId="0">
      <selection activeCell="AX236" sqref="AX236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IF(AW239&gt;AW236,"um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809</v>
      </c>
      <c r="K6" s="358" t="s">
        <v>810</v>
      </c>
      <c r="L6" s="308"/>
      <c r="S6" s="358" t="s">
        <v>810</v>
      </c>
      <c r="T6" s="358"/>
      <c r="U6" s="358"/>
      <c r="V6" s="358"/>
      <c r="AC6" s="23" t="str">
        <f>IF(LnkTXTSuprid2="!vazio!","","s")</f>
        <v/>
      </c>
      <c r="AD6" s="23">
        <f>SMALL(N41:N42,1)</f>
        <v>430.3577906743721</v>
      </c>
      <c r="AE6" s="23">
        <f>SMALL(Q41:Q42,1)</f>
        <v>529.48318787202572</v>
      </c>
    </row>
    <row r="7" spans="2:49" ht="18.75" customHeight="1">
      <c r="B7" s="304" t="s">
        <v>811</v>
      </c>
      <c r="K7" s="1194" t="s">
        <v>812</v>
      </c>
      <c r="L7" s="1194" t="s">
        <v>813</v>
      </c>
      <c r="S7" s="1722" t="s">
        <v>814</v>
      </c>
      <c r="T7" s="1722"/>
      <c r="U7" s="1722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8" t="s">
        <v>819</v>
      </c>
      <c r="L8" s="20">
        <f ca="1">Resultado!E14</f>
        <v>7.4333012775292251E-2</v>
      </c>
      <c r="S8" s="47" t="s">
        <v>820</v>
      </c>
      <c r="T8" s="369">
        <f ca="1">U8/$U$15</f>
        <v>0.33698107127904697</v>
      </c>
      <c r="U8" s="56">
        <f>AU213</f>
        <v>10580562.18</v>
      </c>
      <c r="V8" s="61" t="s">
        <v>232</v>
      </c>
      <c r="W8" s="62">
        <f ca="1">T12</f>
        <v>0.20341202822744492</v>
      </c>
      <c r="X8" s="62">
        <f ca="1">W8/(1-$W$10)</f>
        <v>0.25891582283991332</v>
      </c>
    </row>
    <row r="9" spans="2:49" ht="15" customHeight="1">
      <c r="B9" s="306" t="s">
        <v>821</v>
      </c>
      <c r="K9" s="365" t="s">
        <v>793</v>
      </c>
      <c r="L9" s="366">
        <f ca="1">Resultado!E24</f>
        <v>5.8569075912297437E-2</v>
      </c>
      <c r="S9" s="47" t="s">
        <v>822</v>
      </c>
      <c r="T9" s="369">
        <f ca="1">U9/$U$15</f>
        <v>0.10604005333652033</v>
      </c>
      <c r="U9" s="56">
        <f ca="1">AU204</f>
        <v>3329455.1935485285</v>
      </c>
      <c r="V9" s="47" t="s">
        <v>823</v>
      </c>
      <c r="W9" s="57">
        <f ca="1">T13</f>
        <v>1.0958009121667465E-2</v>
      </c>
      <c r="X9" s="62">
        <f ca="1">W9/(1-$W$10)</f>
        <v>1.3948053972754225E-2</v>
      </c>
      <c r="AD9" s="426"/>
      <c r="AE9" s="426"/>
    </row>
    <row r="10" spans="2:49" ht="27.75" customHeight="1">
      <c r="B10" s="306" t="s">
        <v>824</v>
      </c>
      <c r="K10" s="358" t="s">
        <v>825</v>
      </c>
      <c r="L10" s="25">
        <f ca="1">Resultado!E33</f>
        <v>1.8384706012853583E-2</v>
      </c>
      <c r="S10" s="47" t="s">
        <v>826</v>
      </c>
      <c r="T10" s="369">
        <f ca="1">U10/$U$15</f>
        <v>0.19199064463311477</v>
      </c>
      <c r="U10" s="56">
        <f>AU206</f>
        <v>6028139.6394422995</v>
      </c>
      <c r="V10" s="1195" t="s">
        <v>827</v>
      </c>
      <c r="W10" s="1196">
        <f ca="1">SUM(W8:W9)</f>
        <v>0.21437003734911239</v>
      </c>
      <c r="X10" s="1196">
        <f ca="1">SUM(X8:X9)</f>
        <v>0.27286387681266755</v>
      </c>
      <c r="AE10" s="426"/>
    </row>
    <row r="11" spans="2:49" ht="15" customHeight="1">
      <c r="B11" s="304" t="s">
        <v>822</v>
      </c>
      <c r="K11" s="358" t="s">
        <v>828</v>
      </c>
      <c r="L11" s="25">
        <f ca="1">Resultado!E39</f>
        <v>9.9367757723719072E-2</v>
      </c>
      <c r="S11" s="1197" t="s">
        <v>819</v>
      </c>
      <c r="T11" s="1198">
        <f ca="1">U11/$U$15</f>
        <v>0.15061819340220545</v>
      </c>
      <c r="U11" s="1199">
        <f ca="1">AU194</f>
        <v>4729123.6706041945</v>
      </c>
      <c r="V11" s="56"/>
      <c r="AE11" s="426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829</v>
      </c>
      <c r="K12" s="23" t="s">
        <v>800</v>
      </c>
      <c r="L12" s="19">
        <f ca="1">LnkTXTIRTFin</f>
        <v>-5.5800000000000002E-2</v>
      </c>
      <c r="S12" s="47" t="s">
        <v>232</v>
      </c>
      <c r="T12" s="57">
        <f ca="1">Calc_Mercado!J8</f>
        <v>0.20341202822744492</v>
      </c>
      <c r="U12" s="56">
        <f ca="1">T12*U15</f>
        <v>6386749.2754161051</v>
      </c>
      <c r="V12" s="56"/>
      <c r="AD12" s="426"/>
      <c r="AE12" s="426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800</v>
      </c>
      <c r="K13" s="23" t="s">
        <v>830</v>
      </c>
      <c r="L13" s="19">
        <f ca="1">LnkTXTERFIN</f>
        <v>0.1197</v>
      </c>
      <c r="S13" s="47" t="s">
        <v>831</v>
      </c>
      <c r="T13" s="58">
        <f ca="1">Calc_Mercado!J9</f>
        <v>1.0958009121667465E-2</v>
      </c>
      <c r="U13" s="56">
        <f ca="1">T13*U15</f>
        <v>344060.56233586109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832</v>
      </c>
      <c r="K14" s="358" t="s">
        <v>833</v>
      </c>
      <c r="L14" s="366">
        <f>LnkTXTEfeito</f>
        <v>0.31463538360296806</v>
      </c>
      <c r="S14" s="47" t="s">
        <v>834</v>
      </c>
      <c r="T14" s="369">
        <f ca="1">SUM(T12:T13)</f>
        <v>0.21437003734911239</v>
      </c>
      <c r="U14" s="56">
        <f ca="1">SUM(U12:U13)</f>
        <v>6730809.837751966</v>
      </c>
      <c r="V14" s="56"/>
      <c r="AD14" s="23" t="s">
        <v>109</v>
      </c>
      <c r="AE14" s="23" t="s">
        <v>120</v>
      </c>
      <c r="AF14" s="23" t="s">
        <v>793</v>
      </c>
      <c r="AG14" s="23" t="s">
        <v>781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835</v>
      </c>
      <c r="S15" s="1195" t="s">
        <v>836</v>
      </c>
      <c r="T15" s="1200">
        <f ca="1">SUM(T8:T11)+T14</f>
        <v>1</v>
      </c>
      <c r="U15" s="1201">
        <f ca="1">SUM(U8:U11)/(1-T14)</f>
        <v>31398090.52134699</v>
      </c>
      <c r="V15" s="666"/>
      <c r="AC15" s="23" t="s">
        <v>837</v>
      </c>
      <c r="AD15" s="426">
        <f ca="1">Resultado!C39</f>
        <v>8620682.5586294308</v>
      </c>
      <c r="AE15" s="426">
        <f ca="1">Resultado!C33</f>
        <v>2966844.5089071067</v>
      </c>
      <c r="AF15" s="426">
        <f ca="1">Resultado!C24</f>
        <v>4872952.6758582592</v>
      </c>
      <c r="AG15" s="426">
        <f ca="1">Resultado!C14</f>
        <v>3263016.7535252078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838</v>
      </c>
      <c r="AC16" s="23" t="s">
        <v>839</v>
      </c>
      <c r="AD16" s="426">
        <f>Resultado!D39</f>
        <v>10580562.18</v>
      </c>
      <c r="AE16" s="426">
        <f ca="1">Resultado!D33</f>
        <v>3329455.1935485285</v>
      </c>
      <c r="AF16" s="426">
        <f>Resultado!D24</f>
        <v>6028139.6394422995</v>
      </c>
      <c r="AG16" s="426">
        <f ca="1">Resultado!D14</f>
        <v>4729123.6706041945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703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840</v>
      </c>
      <c r="S19" s="358" t="s">
        <v>810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700</v>
      </c>
      <c r="S20" s="1720" t="s">
        <v>841</v>
      </c>
      <c r="T20" s="1720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820</v>
      </c>
      <c r="T21" s="55">
        <f ca="1">AX213</f>
        <v>0.42893103280073358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822</v>
      </c>
      <c r="T22" s="55">
        <f ca="1">AX204</f>
        <v>0.13497455338734532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826</v>
      </c>
      <c r="T23" s="55">
        <f ca="1">AX206</f>
        <v>0.24437795623946965</v>
      </c>
      <c r="Z23" s="30" t="s">
        <v>842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843</v>
      </c>
      <c r="S24" s="47" t="s">
        <v>38</v>
      </c>
      <c r="T24" s="55">
        <f ca="1">AX195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AX196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AX201</f>
        <v>2.9259841579133077E-2</v>
      </c>
      <c r="AL26" s="358"/>
    </row>
    <row r="27" spans="2:46" ht="15" customHeight="1">
      <c r="S27" s="47" t="s">
        <v>41</v>
      </c>
      <c r="T27" s="55">
        <f ca="1">AX198</f>
        <v>0.16015064904609722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AX197+AX203+AX199</f>
        <v>2.3059669472210859E-3</v>
      </c>
      <c r="AD28" s="47"/>
      <c r="AE28" s="397"/>
      <c r="AF28" s="56"/>
      <c r="AL28" s="358"/>
    </row>
    <row r="29" spans="2:46" ht="15" customHeight="1">
      <c r="S29" s="47" t="s">
        <v>844</v>
      </c>
      <c r="T29" s="55">
        <f ca="1">AX200</f>
        <v>0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AX202</f>
        <v>0</v>
      </c>
      <c r="AL30" s="358"/>
    </row>
    <row r="31" spans="2:46" ht="15" customHeight="1">
      <c r="S31" s="1202" t="s">
        <v>845</v>
      </c>
      <c r="T31" s="1203">
        <f ca="1">SUM(T21:T30)</f>
        <v>0.99999999999999989</v>
      </c>
    </row>
    <row r="36" spans="1:36" ht="15" customHeight="1">
      <c r="N36" s="665" t="s">
        <v>846</v>
      </c>
      <c r="O36" s="665"/>
      <c r="P36" s="1204">
        <f>VLOOKUP(LnkTXTSigla,Informacoes[],35,FALSE)</f>
        <v>41472</v>
      </c>
      <c r="Q36" s="1205">
        <f>DATE(2013,MONTH(DataRevRea),1)</f>
        <v>41395</v>
      </c>
    </row>
    <row r="37" spans="1:36" ht="15" customHeight="1">
      <c r="L37" s="358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206"/>
      <c r="M38" s="1207">
        <f t="shared" ref="M38:V38" si="0">DATE(M37,MONTH(DataRevRea),1)</f>
        <v>41395</v>
      </c>
      <c r="N38" s="1207">
        <f t="shared" si="0"/>
        <v>41760</v>
      </c>
      <c r="O38" s="1207">
        <f t="shared" si="0"/>
        <v>42125</v>
      </c>
      <c r="P38" s="1207">
        <f t="shared" si="0"/>
        <v>42491</v>
      </c>
      <c r="Q38" s="1207">
        <f t="shared" si="0"/>
        <v>42856</v>
      </c>
      <c r="R38" s="1207">
        <f t="shared" si="0"/>
        <v>43221</v>
      </c>
      <c r="S38" s="1207">
        <f t="shared" si="0"/>
        <v>43586</v>
      </c>
      <c r="T38" s="1207">
        <f t="shared" si="0"/>
        <v>43952</v>
      </c>
      <c r="U38" s="1207">
        <f t="shared" si="0"/>
        <v>44317</v>
      </c>
      <c r="V38" s="1207">
        <f t="shared" si="0"/>
        <v>44682</v>
      </c>
      <c r="W38" s="1207" t="s">
        <v>779</v>
      </c>
    </row>
    <row r="39" spans="1:36" ht="15" customHeight="1">
      <c r="L39" s="65" t="str">
        <f>CAPA!C9</f>
        <v>Cerpro</v>
      </c>
      <c r="M39" s="411">
        <f>SUMIF(TAbtarifasb1[[#All],[Sigla]],LnkTXTSigla,TAbtarifasb1[[#All],[2013]])</f>
        <v>404.93</v>
      </c>
      <c r="N39" s="411">
        <f>SUMIF(TAbtarifasb1[[#All],[Sigla]],LnkTXTSigla,TAbtarifasb1[[#All],[2014]])</f>
        <v>263.02999999999997</v>
      </c>
      <c r="O39" s="411">
        <f>SUMIF(TAbtarifasb1[[#All],[Sigla]],LnkTXTSigla,TAbtarifasb1[[#All],[2015]])</f>
        <v>371.49669002205025</v>
      </c>
      <c r="P39" s="423">
        <f>SUMIF(TAbtarifasb1[[#All],[Sigla]],LnkTXTSigla,TAbtarifasb1[[#All],[2016]])</f>
        <v>371.5</v>
      </c>
      <c r="Q39" s="423">
        <f>SUMIF(TAbtarifasb1[[#All],[Sigla]],LnkTXTSigla,TAbtarifasb1[[#All],[2017]])</f>
        <v>467.95</v>
      </c>
      <c r="R39" s="792">
        <f>SUMIF(TAbtarifasb1[[#All],[Sigla]],LnkTXTSigla,TAbtarifasb1[[#All],[2018]])</f>
        <v>504.95621166549836</v>
      </c>
      <c r="S39" s="792">
        <f>SUMIF(TAbtarifasb1[[#All],[Sigla]],LnkTXTSigla,TAbtarifasb1[[#All],[2019]])</f>
        <v>601.67000000000007</v>
      </c>
      <c r="T39" s="426">
        <f>SUMIF(TAbtarifasb1[[#All],[Sigla]],LnkTXTSigla,TAbtarifasb1[[#All],[2020]])</f>
        <v>582.07999999999993</v>
      </c>
      <c r="U39" s="426">
        <f>SUMIF(TAbtarifasb1[[#All],[Sigla]],LnkTXTSigla,TAbtarifasb1[[#All],[2021]])</f>
        <v>613.14</v>
      </c>
      <c r="V39" s="426">
        <f>Resultado!L6</f>
        <v>751.56</v>
      </c>
      <c r="W39" s="779">
        <f>V39/M39-1</f>
        <v>0.85602449806139314</v>
      </c>
    </row>
    <row r="40" spans="1:36" ht="15" customHeight="1">
      <c r="L40" s="65" t="str">
        <f>LnkTXTSuprid1</f>
        <v>CPFL Paulista</v>
      </c>
      <c r="M40" s="411">
        <f>SUMIF(TAbtarifasb1[[#All],[Sigla]],LnkTXTSuprid1,TAbtarifasb1[[#All],[2013]])</f>
        <v>316.86</v>
      </c>
      <c r="N40" s="411">
        <f>SUMIF(TAbtarifasb1[[#All],[Sigla]],LnkTXTSuprid1,TAbtarifasb1[[#All],[2014]])</f>
        <v>316.86</v>
      </c>
      <c r="O40" s="411">
        <f>SUMIF(TAbtarifasb1[[#All],[Sigla]],LnkTXTSuprid1,TAbtarifasb1[[#All],[2015]])</f>
        <v>419.64</v>
      </c>
      <c r="P40" s="411">
        <f>SUMIF(TAbtarifasb1[[#All],[Sigla]],LnkTXTSuprid1,TAbtarifasb1[[#All],[2016]])</f>
        <v>447.18999999999994</v>
      </c>
      <c r="Q40" s="411">
        <f>SUMIF(TAbtarifasb1[[#All],[Sigla]],LnkTXTSuprid1,TAbtarifasb1[[#All],[2017]])</f>
        <v>404.17</v>
      </c>
      <c r="R40" s="411">
        <f>SUMIF(TAbtarifasb1[[#All],[Sigla]],LnkTXTSuprid1,TAbtarifasb1[[#All],[2018]])</f>
        <v>484.63</v>
      </c>
      <c r="S40" s="411">
        <f>SUMIF(TAbtarifasb1[[#All],[Sigla]],LnkTXTSuprid1,TAbtarifasb1[[#All],[2019]])</f>
        <v>523.02</v>
      </c>
      <c r="T40" s="411">
        <f>SUMIF(TAbtarifasb1[[#All],[Sigla]],LnkTXTSuprid1,TAbtarifasb1[[#All],[2020]])</f>
        <v>550.20000000000005</v>
      </c>
      <c r="U40" s="411">
        <f>SUMIF(TAbtarifasb1[[#All],[Sigla]],LnkTXTSuprid1,TAbtarifasb1[[#All],[2021]])</f>
        <v>595.66</v>
      </c>
      <c r="V40" s="411">
        <f>SUMIF(TAbtarifasb1[[#All],[Sigla]],LnkTXTSuprid1,TAbtarifasb1[[#All],[2022]])</f>
        <v>678.65</v>
      </c>
      <c r="W40" s="779">
        <f>V40/M40-1</f>
        <v>1.1417976393359841</v>
      </c>
    </row>
    <row r="41" spans="1:36" ht="15" customHeight="1">
      <c r="L41" s="65" t="s">
        <v>847</v>
      </c>
      <c r="M41" s="412">
        <f>M39</f>
        <v>404.93</v>
      </c>
      <c r="N41" s="412">
        <f>VLOOKUP(DATE(YEAR(O38),MONTH(O38)-1,1),Índices!$B:$F,2,FALSE)/VLOOKUP(DATE(YEAR(Q36),MONTH(Q36)-1,1),Índices!$B:$F,2,FALSE)*M41</f>
        <v>452.78752115371179</v>
      </c>
      <c r="O41" s="412">
        <f>VLOOKUP(DATE(YEAR(O38),MONTH(O38)-1,1),Índices!$B:$F,2,FALSE)/VLOOKUP(DATE(YEAR(N38),MONTH(N38)-1,1),Índices!$B:$F,2,FALSE)*N41</f>
        <v>468.86317889497121</v>
      </c>
      <c r="P41" s="412">
        <f>VLOOKUP(DATE(YEAR(P38),MONTH(P38)-1,1),Índices!$B:$F,2,FALSE)/VLOOKUP(DATE(YEAR(O38),MONTH(O38)-1,1),Índices!$B:$F,2,FALSE)*O41</f>
        <v>518.71277229268378</v>
      </c>
      <c r="Q41" s="412">
        <f>VLOOKUP(DATE(YEAR(Q38),MONTH(Q38)-1,1),Índices!$B:$F,2,FALSE)/VLOOKUP(DATE(YEAR(P38),MONTH(P38)-1,1),Índices!$B:$F,2,FALSE)*P41</f>
        <v>536.17913107569541</v>
      </c>
      <c r="R41" s="368">
        <f>IF(R37=YEAR(CAPA!$C$114),'Tabelas e Gráficos'!R39,(VLOOKUP(DATE(YEAR(R38),MONTH(R38)-1,1),Índices!$B:$F,2,FALSE)/VLOOKUP(DATE(YEAR(Q38),MONTH(Q38)-1,1),Índices!$B:$F,2,FALSE)*Q41))</f>
        <v>546.29324649286127</v>
      </c>
      <c r="S41" s="368">
        <f>IF(S37=YEAR(CAPA!$C$114),'Tabelas e Gráficos'!S39,(VLOOKUP(DATE(YEAR(S38),MONTH(S38)-1,1),Índices!$B:$F,2,FALSE)/VLOOKUP(DATE(YEAR(R38),MONTH(R38)-1,1),Índices!$B:$F,2,FALSE)*R41))</f>
        <v>593.50628554576588</v>
      </c>
      <c r="T41" s="368">
        <f>IF(T37=YEAR(CAPA!$C$114),'Tabelas e Gráficos'!T39,(VLOOKUP(DATE(YEAR(T38),MONTH(T38)-1,1),Índices!$B:$F,2,FALSE)/VLOOKUP(DATE(YEAR(S38),MONTH(S38)-1,1),Índices!$B:$F,2,FALSE)*S41))</f>
        <v>633.18073217573829</v>
      </c>
      <c r="U41" s="412">
        <f>VLOOKUP(DATE(YEAR(U38),MONTH(U38)-1,1),Índices!$B:$F,2,FALSE)/VLOOKUP(DATE(YEAR(T38),MONTH(T38)-1,1),Índices!$B:$F,2,FALSE)*T41</f>
        <v>835.89432872978227</v>
      </c>
      <c r="V41" s="412">
        <f>VLOOKUP(DATE(YEAR(V38),MONTH(V38)-1,1),Índices!$B:$F,2,FALSE)/VLOOKUP(DATE(YEAR(U38),MONTH(U38)-1,1),Índices!$B:$F,2,FALSE)*U41</f>
        <v>958.44365318020937</v>
      </c>
      <c r="W41" s="779">
        <f>V41/M41-1</f>
        <v>1.3669366388763722</v>
      </c>
    </row>
    <row r="42" spans="1:36" ht="15" customHeight="1">
      <c r="L42" s="1208" t="s">
        <v>848</v>
      </c>
      <c r="M42" s="1210">
        <f>M39</f>
        <v>404.93</v>
      </c>
      <c r="N42" s="1210">
        <f>VLOOKUP(DATE(YEAR(N38),MONTH(N38)-1,1),Índices!$B:$F,3,FALSE)/VLOOKUP(DATE(YEAR(Q36),MONTH(Q36)-1,1),Índices!$B:$F,3,FALSE)*M42</f>
        <v>430.3577906743721</v>
      </c>
      <c r="O42" s="1210">
        <f>VLOOKUP(DATE(YEAR(O38),MONTH(O38)-1,1),Índices!$B:$F,3,FALSE)/VLOOKUP(DATE(YEAR(N38),MONTH(N38)-1,1),Índices!$B:$F,3,FALSE)*N42</f>
        <v>465.52442079065804</v>
      </c>
      <c r="P42" s="1210">
        <f>VLOOKUP(DATE(YEAR(P38),MONTH(P38)-1,1),Índices!$B:$F,3,FALSE)/VLOOKUP(DATE(YEAR(O38),MONTH(O38)-1,1),Índices!$B:$F,3,FALSE)*O42</f>
        <v>508.71481942360708</v>
      </c>
      <c r="Q42" s="1210">
        <f>VLOOKUP(DATE(YEAR(Q38),MONTH(Q38)-1,1),Índices!$B:$F,3,FALSE)/VLOOKUP(DATE(YEAR(P38),MONTH(P38)-1,1),Índices!$B:$F,3,FALSE)*P42</f>
        <v>529.48318787202572</v>
      </c>
      <c r="R42" s="1209">
        <f>IF(R37=YEAR(CAPA!$C$114),'Tabelas e Gráficos'!R39,(VLOOKUP(DATE(YEAR(R38),MONTH(R38)-1,1),Índices!$B:$F,3,FALSE)/VLOOKUP(DATE(YEAR(Q38),MONTH(Q38)-1,1),Índices!$B:$F,3,FALSE)*'Tabelas e Gráficos'!Q42))</f>
        <v>544.11173399916584</v>
      </c>
      <c r="S42" s="1209">
        <f>IF(S37=YEAR(CAPA!$C$114),'Tabelas e Gráficos'!S39,(VLOOKUP(DATE(YEAR(S38),MONTH(S38)-1,1),Índices!$B:$F,3,FALSE)/VLOOKUP(DATE(YEAR(R38),MONTH(R38)-1,1),Índices!$B:$F,3,FALSE)*'Tabelas e Gráficos'!R42))</f>
        <v>570.99360654494626</v>
      </c>
      <c r="T42" s="1209">
        <f>IF(T37=YEAR(CAPA!$C$114),'Tabelas e Gráficos'!T39,(VLOOKUP(DATE(YEAR(T38),MONTH(T38)-1,1),Índices!$B:$F,3,FALSE)/VLOOKUP(DATE(YEAR(S38),MONTH(S38)-1,1),Índices!$B:$F,3,FALSE)*'Tabelas e Gráficos'!S42))</f>
        <v>584.69333868635272</v>
      </c>
      <c r="U42" s="1210">
        <f>VLOOKUP(DATE(YEAR(U38),MONTH(U38)-1,1),Índices!$B:$F,3,FALSE)/VLOOKUP(DATE(YEAR(T38),MONTH(T38)-1,1),Índices!$B:$F,3,FALSE)*T42</f>
        <v>624.21453826822153</v>
      </c>
      <c r="V42" s="1210">
        <f>VLOOKUP(DATE(YEAR(V38),MONTH(V38)-1,1),Índices!$B:$F,3,FALSE)/VLOOKUP(DATE(YEAR(U38),MONTH(U38)-1,1),Índices!$B:$F,3,FALSE)*U42</f>
        <v>699.94193781109345</v>
      </c>
      <c r="W42" s="779">
        <f>V42/M42-1</f>
        <v>0.72855046010691593</v>
      </c>
    </row>
    <row r="43" spans="1:36" ht="15" customHeight="1">
      <c r="X43" s="23">
        <v>938.62</v>
      </c>
    </row>
    <row r="44" spans="1:36" ht="15" customHeight="1">
      <c r="X44" s="914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6"/>
      <c r="B49" s="676"/>
      <c r="C49" s="676"/>
      <c r="D49" s="676"/>
      <c r="E49" s="676"/>
      <c r="F49" s="676"/>
      <c r="G49" s="676"/>
      <c r="H49" s="677"/>
      <c r="I49" s="676"/>
      <c r="J49" s="676"/>
      <c r="K49" s="678"/>
      <c r="L49" s="678"/>
      <c r="M49" s="678"/>
      <c r="N49" s="678"/>
      <c r="O49" s="678"/>
      <c r="P49" s="678"/>
      <c r="Q49" s="676"/>
      <c r="R49" s="676"/>
      <c r="S49" s="679"/>
      <c r="T49" s="676"/>
      <c r="U49" s="676"/>
      <c r="V49" s="676"/>
      <c r="W49" s="676"/>
      <c r="X49" s="676"/>
      <c r="Y49" s="676"/>
      <c r="Z49" s="676"/>
      <c r="AA49" s="676"/>
      <c r="AB49" s="676"/>
      <c r="AC49" s="676"/>
      <c r="AD49" s="676"/>
    </row>
    <row r="50" spans="1:47" ht="15" customHeight="1">
      <c r="B50" s="307" t="s">
        <v>807</v>
      </c>
      <c r="C50" s="308" t="s">
        <v>849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721"/>
      <c r="M51" s="1721"/>
      <c r="N51" s="1721"/>
      <c r="O51" s="49"/>
      <c r="P51" s="49"/>
    </row>
    <row r="52" spans="1:47" ht="15" customHeight="1">
      <c r="B52" s="310" t="s">
        <v>852</v>
      </c>
      <c r="C52" s="311">
        <f ca="1">Resultado!C5</f>
        <v>24667280.683595024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19723496.496920004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0.25065455242416235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-5.5800000000000002E-2</v>
      </c>
      <c r="D55" s="312"/>
      <c r="E55" s="28"/>
      <c r="H55" s="23"/>
      <c r="K55" s="49"/>
      <c r="L55" s="675"/>
      <c r="M55" s="672"/>
      <c r="N55" s="673"/>
      <c r="O55" s="49"/>
      <c r="P55" s="49"/>
    </row>
    <row r="56" spans="1:47" ht="15" customHeight="1">
      <c r="B56" s="1211" t="str">
        <f>Resultado!B9</f>
        <v>Variação econômica e financeira</v>
      </c>
      <c r="C56" s="1212">
        <f ca="1">C54+C55</f>
        <v>0.19485455242416233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2"/>
      <c r="M57" s="532"/>
      <c r="N57" s="532"/>
      <c r="O57" s="532"/>
      <c r="P57" s="532"/>
      <c r="Q57" s="532"/>
      <c r="R57" s="532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3"/>
      <c r="M58" s="534"/>
      <c r="N58" s="535"/>
      <c r="O58" s="529"/>
      <c r="P58" s="529"/>
      <c r="Q58" s="530"/>
      <c r="R58" s="531"/>
      <c r="S58" s="49"/>
      <c r="AT58" s="19"/>
      <c r="AU58" s="410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10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10563.659</v>
      </c>
      <c r="G60" s="311">
        <f ca="1">Calc_Mercado!D8</f>
        <v>6779114.2738800077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2396.4049999999997</v>
      </c>
      <c r="G65" s="311">
        <f ca="1">Calc_Mercado!D13</f>
        <v>1676878.3129400006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8167.2539999999999</v>
      </c>
      <c r="G67" s="311">
        <f ca="1">Calc_Mercado!D15</f>
        <v>5102235.9609400071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867</v>
      </c>
      <c r="F69" s="311">
        <f ca="1">Calc_Mercado!C18</f>
        <v>40537.047999999995</v>
      </c>
      <c r="G69" s="311">
        <f ca="1">Calc_Mercado!D18</f>
        <v>12944382.223039998</v>
      </c>
      <c r="H69" s="318">
        <f t="shared" ca="1" si="1"/>
        <v>1</v>
      </c>
    </row>
    <row r="70" spans="2:43" ht="15" customHeight="1">
      <c r="C70" s="315"/>
      <c r="D70" s="312"/>
      <c r="E70" s="1211" t="s">
        <v>845</v>
      </c>
      <c r="F70" s="1213">
        <f ca="1">Calc_Mercado!C25</f>
        <v>51100.706999999995</v>
      </c>
      <c r="G70" s="1213">
        <f ca="1">Calc_Mercado!D25</f>
        <v>19723496.496920004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23"/>
      <c r="D74" s="1723"/>
      <c r="E74" s="1723"/>
      <c r="I74" s="1214" t="s">
        <v>819</v>
      </c>
      <c r="J74" s="1215">
        <f ca="1">SUM(J75:J83)</f>
        <v>3263016.7535252078</v>
      </c>
      <c r="K74" s="1216">
        <f ca="1">SUM(K75:K83)</f>
        <v>0.16543804766232784</v>
      </c>
      <c r="L74" s="318" t="s">
        <v>858</v>
      </c>
      <c r="N74" s="34"/>
      <c r="AG74" s="49"/>
      <c r="AH74" s="1714"/>
      <c r="AI74" s="1714"/>
      <c r="AJ74" s="1714"/>
      <c r="AK74" s="668"/>
      <c r="AL74" s="49"/>
      <c r="AM74" s="49"/>
      <c r="AN74" s="49"/>
      <c r="AO74" s="49"/>
    </row>
    <row r="75" spans="2:43" ht="15" hidden="1" customHeight="1">
      <c r="B75" s="30"/>
      <c r="C75" s="1718"/>
      <c r="D75" s="1718"/>
      <c r="E75" s="1718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15"/>
      <c r="AI75" s="1715"/>
      <c r="AJ75" s="1715"/>
      <c r="AK75" s="669"/>
      <c r="AL75" s="430"/>
      <c r="AM75" s="49"/>
      <c r="AN75" s="49"/>
      <c r="AO75" s="49"/>
    </row>
    <row r="76" spans="2:43" ht="15" hidden="1" customHeight="1">
      <c r="B76" s="30"/>
      <c r="C76" s="1718"/>
      <c r="D76" s="1718"/>
      <c r="E76" s="1718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70"/>
      <c r="AL76" s="49"/>
      <c r="AM76" s="49"/>
      <c r="AN76" s="49"/>
      <c r="AO76" s="49"/>
    </row>
    <row r="77" spans="2:43" ht="15" customHeight="1">
      <c r="B77" s="30"/>
      <c r="C77" s="1718"/>
      <c r="D77" s="1718"/>
      <c r="E77" s="1718"/>
      <c r="I77" s="35" t="str">
        <f>Resultado!B17</f>
        <v>Taxa de Fisc. de Serviços de E.E. – TFSEE</v>
      </c>
      <c r="J77" s="320">
        <f ca="1">Mercado_Faturado_Encargo_TFSEE_BRUTO</f>
        <v>45866.266342703326</v>
      </c>
      <c r="K77" s="36">
        <f t="shared" ca="1" si="2"/>
        <v>2.3254632539350078E-3</v>
      </c>
      <c r="L77" s="318">
        <f ca="1">IF(J77=0,0,1)</f>
        <v>1</v>
      </c>
      <c r="N77" s="36"/>
      <c r="AG77" s="49"/>
      <c r="AH77" s="49"/>
      <c r="AI77" s="49"/>
      <c r="AJ77" s="49"/>
      <c r="AK77" s="670"/>
      <c r="AL77" s="49"/>
      <c r="AM77" s="49"/>
      <c r="AN77" s="49"/>
      <c r="AO77" s="49"/>
    </row>
    <row r="78" spans="2:43" ht="15" customHeight="1">
      <c r="B78" s="30"/>
      <c r="C78" s="1718"/>
      <c r="D78" s="1718"/>
      <c r="E78" s="1718"/>
      <c r="I78" s="35" t="str">
        <f>Resultado!B18</f>
        <v>Conta de Desenvolvimento Energético – CDE</v>
      </c>
      <c r="J78" s="320">
        <f ca="1">Mercado_Faturado_Encargo_CDE_BRUTO</f>
        <v>2741138.8933965573</v>
      </c>
      <c r="K78" s="36">
        <f t="shared" ca="1" si="2"/>
        <v>0.13897834462690781</v>
      </c>
      <c r="L78" s="318">
        <f t="shared" ref="L78:L94" ca="1" si="3">IF(J78=0,0,1)</f>
        <v>1</v>
      </c>
      <c r="N78" s="36"/>
      <c r="AG78" s="49"/>
      <c r="AH78" s="1715"/>
      <c r="AI78" s="1715"/>
      <c r="AJ78" s="1715"/>
      <c r="AK78" s="669"/>
      <c r="AL78" s="430"/>
      <c r="AM78" s="49"/>
      <c r="AN78" s="49"/>
      <c r="AO78" s="49"/>
    </row>
    <row r="79" spans="2:43" ht="15" hidden="1" customHeight="1">
      <c r="B79" s="30"/>
      <c r="C79" s="1718"/>
      <c r="D79" s="1718"/>
      <c r="E79" s="1718"/>
      <c r="I79" s="35" t="str">
        <f>Resultado!B19</f>
        <v>Compensação financeira - CFURH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70"/>
      <c r="AL79" s="49"/>
      <c r="AM79" s="49"/>
      <c r="AN79" s="427"/>
      <c r="AO79" s="427"/>
      <c r="AP79" s="427"/>
      <c r="AQ79" s="427"/>
    </row>
    <row r="80" spans="2:43" ht="15" hidden="1" customHeight="1">
      <c r="B80" s="30"/>
      <c r="C80" s="1718"/>
      <c r="D80" s="1718"/>
      <c r="E80" s="1718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70"/>
      <c r="AL80" s="49"/>
      <c r="AM80" s="49"/>
      <c r="AN80" s="49"/>
      <c r="AO80" s="49"/>
    </row>
    <row r="81" spans="2:41" ht="15" customHeight="1">
      <c r="B81" s="30"/>
      <c r="C81" s="1718"/>
      <c r="D81" s="1718"/>
      <c r="E81" s="1718"/>
      <c r="I81" s="35" t="str">
        <f>Resultado!B21</f>
        <v>PROINFA</v>
      </c>
      <c r="J81" s="320">
        <f ca="1">Mercado_Faturado_Encargo_PROINFA_BRUTO</f>
        <v>476011.59378594742</v>
      </c>
      <c r="K81" s="36">
        <f t="shared" ca="1" si="2"/>
        <v>2.4134239781485031E-2</v>
      </c>
      <c r="L81" s="318">
        <f t="shared" ca="1" si="3"/>
        <v>1</v>
      </c>
      <c r="N81" s="34"/>
      <c r="AG81" s="49"/>
      <c r="AH81" s="49"/>
      <c r="AI81" s="49"/>
      <c r="AJ81" s="49"/>
      <c r="AK81" s="670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15"/>
      <c r="AI82" s="1715"/>
      <c r="AJ82" s="1715"/>
      <c r="AK82" s="669"/>
      <c r="AL82" s="430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70"/>
      <c r="AL83" s="49"/>
      <c r="AM83" s="49"/>
      <c r="AN83" s="49"/>
      <c r="AO83" s="49"/>
    </row>
    <row r="84" spans="2:41" ht="15" customHeight="1">
      <c r="I84" s="1214" t="s">
        <v>871</v>
      </c>
      <c r="J84" s="1215">
        <f ca="1">SUM(Calc_Mercado!C79:C85)</f>
        <v>2966844.5089071067</v>
      </c>
      <c r="K84" s="1216">
        <f ca="1">SUM(K85)</f>
        <v>0.15042183364244799</v>
      </c>
      <c r="L84" s="318">
        <f t="shared" ca="1" si="3"/>
        <v>1</v>
      </c>
      <c r="N84" s="36"/>
      <c r="AG84" s="49"/>
      <c r="AH84" s="49"/>
      <c r="AI84" s="49"/>
      <c r="AJ84" s="49"/>
      <c r="AK84" s="670"/>
      <c r="AL84" s="49"/>
      <c r="AM84" s="49"/>
      <c r="AN84" s="49"/>
      <c r="AO84" s="49"/>
    </row>
    <row r="85" spans="2:41" ht="15" customHeight="1">
      <c r="B85" s="30"/>
      <c r="I85" s="37" t="s">
        <v>872</v>
      </c>
      <c r="J85" s="320">
        <f ca="1">J84</f>
        <v>2966844.5089071067</v>
      </c>
      <c r="K85" s="36">
        <f t="shared" ref="K85:K96" ca="1" si="4">J85/$J$97</f>
        <v>0.15042183364244799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5"/>
      <c r="AL85" s="49"/>
      <c r="AM85" s="49"/>
      <c r="AN85" s="49"/>
      <c r="AO85" s="49"/>
    </row>
    <row r="86" spans="2:41" ht="15" customHeight="1">
      <c r="B86" s="1717"/>
      <c r="C86" s="1717"/>
      <c r="D86" s="1717"/>
      <c r="E86" s="1717"/>
      <c r="F86" s="1717"/>
      <c r="G86" s="39"/>
      <c r="I86" s="1214" t="s">
        <v>873</v>
      </c>
      <c r="J86" s="1215">
        <f ca="1">Resultado!C24</f>
        <v>4872952.6758582592</v>
      </c>
      <c r="K86" s="1216">
        <f t="shared" ca="1" si="4"/>
        <v>0.24706332757070801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5"/>
      <c r="AL86" s="49"/>
      <c r="AM86" s="49"/>
      <c r="AN86" s="49"/>
      <c r="AO86" s="49"/>
    </row>
    <row r="87" spans="2:41" ht="15" hidden="1" customHeight="1">
      <c r="B87" s="1716"/>
      <c r="C87" s="1716"/>
      <c r="D87" s="1716"/>
      <c r="E87" s="1716"/>
      <c r="F87" s="1716"/>
      <c r="G87" s="42"/>
      <c r="I87" s="37" t="s">
        <v>703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1"/>
      <c r="AI87" s="672"/>
      <c r="AJ87" s="673"/>
      <c r="AK87" s="674"/>
      <c r="AL87" s="430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705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16"/>
      <c r="C89" s="1716"/>
      <c r="D89" s="1716"/>
      <c r="E89" s="1716"/>
      <c r="F89" s="1716"/>
      <c r="G89" s="42"/>
      <c r="I89" s="37" t="s">
        <v>794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706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17"/>
      <c r="C94" s="1717"/>
      <c r="D94" s="1717"/>
      <c r="E94" s="1717"/>
      <c r="F94" s="1717"/>
      <c r="G94" s="42"/>
      <c r="I94" s="37" t="s">
        <v>707</v>
      </c>
      <c r="J94" s="320">
        <f ca="1">Resultado!C32</f>
        <v>4872952.6758582592</v>
      </c>
      <c r="K94" s="36">
        <f t="shared" ca="1" si="4"/>
        <v>0.24706332757070801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16"/>
      <c r="C95" s="1716"/>
      <c r="D95" s="1716"/>
      <c r="E95" s="1716"/>
      <c r="F95" s="1716"/>
      <c r="I95" s="1214" t="s">
        <v>874</v>
      </c>
      <c r="J95" s="1215">
        <f ca="1">J86+J84+J74</f>
        <v>11102813.938290574</v>
      </c>
      <c r="K95" s="1216">
        <f t="shared" ca="1" si="4"/>
        <v>0.56292320887548386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16"/>
      <c r="C96" s="1716"/>
      <c r="D96" s="1716"/>
      <c r="E96" s="1716"/>
      <c r="F96" s="1716"/>
      <c r="I96" s="1214" t="s">
        <v>875</v>
      </c>
      <c r="J96" s="1215">
        <f ca="1">J97-J95</f>
        <v>8620682.5586294308</v>
      </c>
      <c r="K96" s="1216">
        <f t="shared" ca="1" si="4"/>
        <v>0.43707679112451614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17"/>
      <c r="C97" s="1717"/>
      <c r="D97" s="1717"/>
      <c r="E97" s="1717"/>
      <c r="F97" s="1717"/>
      <c r="G97" s="28"/>
      <c r="I97" s="1211" t="s">
        <v>876</v>
      </c>
      <c r="J97" s="1213">
        <f ca="1">Mercado_RA0_Reais</f>
        <v>19723496.496920004</v>
      </c>
      <c r="K97" s="1217">
        <f ca="1">K95+K96</f>
        <v>1</v>
      </c>
      <c r="L97" s="31"/>
      <c r="AG97" s="49"/>
      <c r="AH97" s="667"/>
      <c r="AI97" s="667"/>
      <c r="AJ97" s="667"/>
      <c r="AK97" s="49"/>
      <c r="AL97" s="49"/>
      <c r="AM97" s="49"/>
      <c r="AN97" s="49"/>
      <c r="AO97" s="49"/>
    </row>
    <row r="98" spans="2:41" ht="15" customHeight="1">
      <c r="B98" s="1716"/>
      <c r="C98" s="1716"/>
      <c r="D98" s="1716"/>
      <c r="E98" s="1716"/>
      <c r="F98" s="1716"/>
      <c r="G98" s="42"/>
      <c r="M98" s="307" t="s">
        <v>811</v>
      </c>
      <c r="N98" s="308" t="s">
        <v>849</v>
      </c>
      <c r="AH98" s="431"/>
      <c r="AI98" s="432"/>
      <c r="AJ98" s="432"/>
      <c r="AL98" s="49"/>
      <c r="AM98" s="49"/>
      <c r="AN98" s="49"/>
    </row>
    <row r="99" spans="2:41" ht="15" customHeight="1">
      <c r="B99" s="1716"/>
      <c r="C99" s="1716"/>
      <c r="D99" s="1716"/>
      <c r="E99" s="1716"/>
      <c r="F99" s="1716"/>
      <c r="G99" s="42"/>
      <c r="M99" s="301" t="s">
        <v>819</v>
      </c>
      <c r="N99" s="301" t="s">
        <v>851</v>
      </c>
      <c r="O99" s="323" t="s">
        <v>858</v>
      </c>
      <c r="AH99" s="431"/>
      <c r="AI99" s="432"/>
      <c r="AJ99" s="432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56881.93393419528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3950481.0116799995</v>
      </c>
      <c r="O103" s="324">
        <f t="shared" ca="1" si="5"/>
        <v>1</v>
      </c>
    </row>
    <row r="104" spans="2:41" ht="15" hidden="1" customHeight="1">
      <c r="B104" s="1716"/>
      <c r="C104" s="1716"/>
      <c r="D104" s="1716"/>
      <c r="E104" s="1716"/>
      <c r="F104" s="1716"/>
      <c r="G104" s="45"/>
      <c r="M104" s="35" t="s">
        <v>877</v>
      </c>
      <c r="N104" s="320">
        <f>Encargos!I20</f>
        <v>0</v>
      </c>
      <c r="O104" s="324">
        <f t="shared" si="5"/>
        <v>0</v>
      </c>
    </row>
    <row r="105" spans="2:41" ht="15" hidden="1" customHeight="1">
      <c r="B105" s="1716"/>
      <c r="C105" s="1716"/>
      <c r="D105" s="1716"/>
      <c r="E105" s="1716"/>
      <c r="F105" s="1716"/>
      <c r="G105" s="45"/>
      <c r="M105" s="35" t="str">
        <f>Resultado!B20</f>
        <v>Encargos Serv. Sist. - ESS e Energ. Reserv. – EER</v>
      </c>
      <c r="N105" s="320">
        <f>Resultado!D20</f>
        <v>0</v>
      </c>
      <c r="O105" s="324">
        <f t="shared" si="5"/>
        <v>0</v>
      </c>
    </row>
    <row r="106" spans="2:41" ht="15" customHeight="1">
      <c r="B106" s="1717"/>
      <c r="C106" s="1717"/>
      <c r="D106" s="1717"/>
      <c r="E106" s="1717"/>
      <c r="F106" s="1717"/>
      <c r="G106" s="39"/>
      <c r="M106" s="35" t="str">
        <f>Resultado!B21</f>
        <v>PROINFA</v>
      </c>
      <c r="N106" s="320">
        <f ca="1">Resultado!D21</f>
        <v>721760.7249899999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211" t="s">
        <v>845</v>
      </c>
      <c r="N109" s="1213">
        <f ca="1">SUM(N100:N108)</f>
        <v>4729123.6706041945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Energia!M15</f>
        <v>0</v>
      </c>
    </row>
    <row r="113" spans="2:44" ht="15" customHeight="1">
      <c r="B113" s="46"/>
      <c r="C113" s="312"/>
      <c r="D113" s="312"/>
      <c r="P113" s="35" t="s">
        <v>742</v>
      </c>
      <c r="Q113" s="1218">
        <f ca="1">Energia!M14</f>
        <v>3.4799999999999998E-2</v>
      </c>
    </row>
    <row r="114" spans="2:44" ht="15" customHeight="1">
      <c r="B114" s="46"/>
      <c r="C114" s="312"/>
      <c r="D114" s="312"/>
      <c r="P114" s="1211" t="s">
        <v>845</v>
      </c>
      <c r="Q114" s="1217">
        <f ca="1">SUM(Q112:Q113)</f>
        <v>3.4799999999999998E-2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219" t="s">
        <v>881</v>
      </c>
      <c r="T119" s="1220">
        <f ca="1">SUM(T120:T121)</f>
        <v>10563.659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10563.659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219" t="s">
        <v>884</v>
      </c>
      <c r="T122" s="1221">
        <f ca="1">SUM(T123:T124)</f>
        <v>380.86959510982177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885</v>
      </c>
      <c r="T123" s="327">
        <f>SUM(Energia!C11:C12)</f>
        <v>0</v>
      </c>
      <c r="U123" s="323">
        <f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380.86959510982177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211" t="s">
        <v>880</v>
      </c>
      <c r="T125" s="1222">
        <f ca="1">T119+T122</f>
        <v>10944.528595109821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223" t="s">
        <v>887</v>
      </c>
      <c r="W127" s="1223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206" t="s">
        <v>27</v>
      </c>
      <c r="W128" s="1224" t="s">
        <v>77</v>
      </c>
      <c r="X128" s="1206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COMPANHIA PAULISTA DE FORÇA E LUZ</v>
      </c>
      <c r="W129" s="329" t="str">
        <f>Energia!C28</f>
        <v>A4 (2,3 a 25 kV)</v>
      </c>
      <c r="X129" s="330">
        <f>Energia!H28</f>
        <v>310.31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hidden="1" customHeight="1">
      <c r="B130" s="46"/>
      <c r="C130" s="312"/>
      <c r="D130" s="312"/>
      <c r="P130" s="44"/>
      <c r="Q130" s="312"/>
      <c r="S130" s="37"/>
      <c r="T130" s="328"/>
      <c r="V130" s="329">
        <f>Energia!B29</f>
        <v>0</v>
      </c>
      <c r="W130" s="329">
        <f>Energia!C29</f>
        <v>0</v>
      </c>
      <c r="X130" s="330" t="str">
        <f>Energia!H29</f>
        <v/>
      </c>
      <c r="Y130" s="323">
        <f>IF(W130=0,0,1)</f>
        <v>0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225">
        <f>Energia!B32</f>
        <v>0</v>
      </c>
      <c r="W133" s="1225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226"/>
      <c r="W134" s="1227"/>
      <c r="X134" s="1228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223" t="s">
        <v>889</v>
      </c>
      <c r="AA136" s="1223"/>
      <c r="AB136" s="1223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COMPANHIA PAULISTA DE FORÇA E LUZ</v>
      </c>
      <c r="AA138" s="335">
        <f>Energia!E35</f>
        <v>11175.282860000003</v>
      </c>
      <c r="AB138" s="336">
        <f>Energia!G35</f>
        <v>310.31</v>
      </c>
      <c r="AC138" s="337">
        <f>AA138*AB138</f>
        <v>3467802.0242866008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29">
        <f>Energia!C19</f>
        <v>215.08</v>
      </c>
      <c r="AB140" s="1230">
        <f>Energia!D19</f>
        <v>0</v>
      </c>
      <c r="AC140" s="1231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219" t="s">
        <v>891</v>
      </c>
      <c r="AA141" s="1232">
        <f ca="1">Energia!M29-Energia!L29</f>
        <v>-445.83426489018166</v>
      </c>
      <c r="AB141" s="1233">
        <f>Energia!M34</f>
        <v>0</v>
      </c>
      <c r="AC141" s="1233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211" t="s">
        <v>845</v>
      </c>
      <c r="AA142" s="1234">
        <f ca="1">SUM(AA138:AA141)</f>
        <v>10944.528595109821</v>
      </c>
      <c r="AB142" s="1235">
        <f ca="1">AC142/AA142</f>
        <v>316.8525710496171</v>
      </c>
      <c r="AC142" s="1235">
        <f ca="1">SUM(AC138:AC141)</f>
        <v>3467802.0242866008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36" t="s">
        <v>829</v>
      </c>
      <c r="AF144" s="1236"/>
      <c r="AG144" s="1236"/>
      <c r="AH144" s="1236"/>
      <c r="AI144" s="1236"/>
      <c r="AJ144" s="1236"/>
      <c r="AK144" s="308" t="s">
        <v>849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206" t="s">
        <v>27</v>
      </c>
      <c r="AF145" s="1206" t="s">
        <v>77</v>
      </c>
      <c r="AG145" s="1206" t="s">
        <v>892</v>
      </c>
      <c r="AH145" s="1206" t="s">
        <v>893</v>
      </c>
      <c r="AI145" s="1206" t="s">
        <v>60</v>
      </c>
      <c r="AJ145" s="1206" t="s">
        <v>894</v>
      </c>
      <c r="AK145" s="1206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1" t="str">
        <f>CUSD!B6</f>
        <v>COMPANHIA PAULISTA DE FORÇA E LUZ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6">
        <f>CUSD!H6</f>
        <v>141375.10999999999</v>
      </c>
      <c r="AJ146" s="407">
        <f>CUSD!J6</f>
        <v>12.84</v>
      </c>
      <c r="AK146" s="339">
        <f>IFERROR(AI146*AJ146,0)</f>
        <v>1815256.4123999998</v>
      </c>
      <c r="AL146" s="408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1" t="str">
        <f>CUSD!B7</f>
        <v>COMPANHIA PAULISTA DE FORÇA E LUZ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6">
        <f>CUSD!H7</f>
        <v>121718.06999999998</v>
      </c>
      <c r="AJ147" s="407">
        <f>CUSD!J7</f>
        <v>28.58</v>
      </c>
      <c r="AK147" s="339">
        <f t="shared" ref="AK147:AK153" si="7">IFERROR(AI147*AJ147,0)</f>
        <v>3478702.4405999994</v>
      </c>
      <c r="AL147" s="408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1" t="str">
        <f>CUSD!B8</f>
        <v>COMPANHIA PAULISTA DE FORÇA E LUZ</v>
      </c>
      <c r="AF148" s="387" t="str">
        <f>CUSD!C8</f>
        <v>A4 (2,3 a 25 kV)</v>
      </c>
      <c r="AG148" s="339" t="str">
        <f>CUSD!F8</f>
        <v>Energia</v>
      </c>
      <c r="AH148" s="339" t="str">
        <f>CUSD!F8</f>
        <v>Energia</v>
      </c>
      <c r="AI148" s="406">
        <f>CUSD!H8</f>
        <v>48688.055990000008</v>
      </c>
      <c r="AJ148" s="407">
        <f>CUSD!J8</f>
        <v>13.69</v>
      </c>
      <c r="AK148" s="339">
        <f t="shared" si="7"/>
        <v>666539.48650310014</v>
      </c>
      <c r="AL148" s="408">
        <f>IF(AE148=0,0,1)</f>
        <v>1</v>
      </c>
      <c r="AM148" s="407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1" t="str">
        <f>CUSD!B9</f>
        <v>COMPANHIA PAULISTA DE FORÇA E LUZ</v>
      </c>
      <c r="AF149" s="387" t="str">
        <f>CUSD!C9</f>
        <v>A4 (2,3 a 25 kV)</v>
      </c>
      <c r="AG149" s="339" t="str">
        <f>CUSD!F9</f>
        <v>Energia</v>
      </c>
      <c r="AH149" s="339" t="str">
        <f>CUSD!F9</f>
        <v>Energia</v>
      </c>
      <c r="AI149" s="406">
        <f>CUSD!H9</f>
        <v>4940.9276800000007</v>
      </c>
      <c r="AJ149" s="407">
        <f>CUSD!J9</f>
        <v>13.69</v>
      </c>
      <c r="AK149" s="339">
        <f t="shared" si="7"/>
        <v>67641.299939200006</v>
      </c>
      <c r="AL149" s="408">
        <f t="shared" si="6"/>
        <v>1</v>
      </c>
      <c r="AM149" s="407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>
        <f>CUSD!B10</f>
        <v>0</v>
      </c>
      <c r="AF150" s="387">
        <f>CUSD!C10</f>
        <v>0</v>
      </c>
      <c r="AG150" s="339" t="str">
        <f>CUSD!F10</f>
        <v/>
      </c>
      <c r="AH150" s="339" t="str">
        <f>CUSD!F10</f>
        <v/>
      </c>
      <c r="AI150" s="406" t="str">
        <f>CUSD!H10</f>
        <v/>
      </c>
      <c r="AJ150" s="407" t="str">
        <f>CUSD!J10</f>
        <v/>
      </c>
      <c r="AK150" s="339">
        <f t="shared" si="7"/>
        <v>0</v>
      </c>
      <c r="AL150" s="408">
        <v>0</v>
      </c>
      <c r="AM150" s="407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>
        <f>CUSD!B11</f>
        <v>0</v>
      </c>
      <c r="AF151" s="387">
        <f>CUSD!C11</f>
        <v>0</v>
      </c>
      <c r="AG151" s="339" t="str">
        <f>CUSD!F11</f>
        <v/>
      </c>
      <c r="AH151" s="339" t="str">
        <f>CUSD!F11</f>
        <v/>
      </c>
      <c r="AI151" s="406" t="str">
        <f>CUSD!H11</f>
        <v/>
      </c>
      <c r="AJ151" s="407" t="str">
        <f>CUSD!J11</f>
        <v/>
      </c>
      <c r="AK151" s="339">
        <f t="shared" si="7"/>
        <v>0</v>
      </c>
      <c r="AL151" s="408">
        <v>0</v>
      </c>
      <c r="AM151" s="407"/>
    </row>
    <row r="152" spans="2:39" ht="15" hidden="1" customHeight="1">
      <c r="B152" s="46"/>
      <c r="C152" s="312"/>
      <c r="D152" s="312"/>
      <c r="P152" s="44"/>
      <c r="Q152" s="312"/>
      <c r="AC152" s="49"/>
      <c r="AD152" s="49"/>
      <c r="AE152" s="387">
        <f>CUSD!B12</f>
        <v>0</v>
      </c>
      <c r="AF152" s="387">
        <f>CUSD!C12</f>
        <v>0</v>
      </c>
      <c r="AG152" s="339" t="str">
        <f>CUSD!F12</f>
        <v/>
      </c>
      <c r="AH152" s="339" t="str">
        <f>CUSD!F12</f>
        <v/>
      </c>
      <c r="AI152" s="406" t="str">
        <f>CUSD!H12</f>
        <v/>
      </c>
      <c r="AJ152" s="407" t="str">
        <f>CUSD!J12</f>
        <v/>
      </c>
      <c r="AK152" s="339">
        <f t="shared" si="7"/>
        <v>0</v>
      </c>
      <c r="AL152" s="408">
        <f t="shared" si="6"/>
        <v>0</v>
      </c>
      <c r="AM152" s="407"/>
    </row>
    <row r="153" spans="2:39" ht="15" hidden="1" customHeight="1">
      <c r="B153" s="46"/>
      <c r="C153" s="312"/>
      <c r="D153" s="312"/>
      <c r="P153" s="44"/>
      <c r="Q153" s="312"/>
      <c r="AC153" s="49"/>
      <c r="AD153" s="49"/>
      <c r="AE153" s="387">
        <f>CUSD!B13</f>
        <v>0</v>
      </c>
      <c r="AF153" s="387">
        <f>CUSD!C13</f>
        <v>0</v>
      </c>
      <c r="AG153" s="339" t="str">
        <f>CUSD!F13</f>
        <v/>
      </c>
      <c r="AH153" s="339" t="str">
        <f>CUSD!F13</f>
        <v/>
      </c>
      <c r="AI153" s="406" t="str">
        <f>CUSD!H13</f>
        <v/>
      </c>
      <c r="AJ153" s="407" t="str">
        <f>CUSD!J13</f>
        <v/>
      </c>
      <c r="AK153" s="339">
        <f t="shared" si="7"/>
        <v>0</v>
      </c>
      <c r="AL153" s="408">
        <f t="shared" si="6"/>
        <v>0</v>
      </c>
      <c r="AM153" s="407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6" t="str">
        <f>CUSD!H14</f>
        <v/>
      </c>
      <c r="AJ154" s="407" t="str">
        <f>CUSD!J14</f>
        <v/>
      </c>
      <c r="AK154" s="339">
        <f t="shared" ref="AK154:AK160" si="8">IFERROR(AI154*AJ154,0)</f>
        <v>0</v>
      </c>
      <c r="AL154" s="408">
        <f t="shared" si="6"/>
        <v>0</v>
      </c>
      <c r="AM154" s="407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6" t="str">
        <f>CUSD!H15</f>
        <v/>
      </c>
      <c r="AJ155" s="407" t="str">
        <f>CUSD!J15</f>
        <v/>
      </c>
      <c r="AK155" s="339">
        <f t="shared" si="8"/>
        <v>0</v>
      </c>
      <c r="AL155" s="408">
        <f t="shared" si="6"/>
        <v>0</v>
      </c>
      <c r="AM155" s="407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6" t="str">
        <f>CUSD!H16</f>
        <v/>
      </c>
      <c r="AJ156" s="407" t="str">
        <f>CUSD!J16</f>
        <v/>
      </c>
      <c r="AK156" s="339">
        <f t="shared" si="8"/>
        <v>0</v>
      </c>
      <c r="AL156" s="408">
        <f t="shared" si="6"/>
        <v>0</v>
      </c>
      <c r="AM156" s="407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6" t="str">
        <f>CUSD!H17</f>
        <v/>
      </c>
      <c r="AJ157" s="407" t="str">
        <f>CUSD!J17</f>
        <v/>
      </c>
      <c r="AK157" s="339">
        <f t="shared" si="8"/>
        <v>0</v>
      </c>
      <c r="AL157" s="408">
        <v>0</v>
      </c>
      <c r="AM157" s="407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6" t="str">
        <f>CUSD!H18</f>
        <v/>
      </c>
      <c r="AJ158" s="407" t="str">
        <f>CUSD!J18</f>
        <v/>
      </c>
      <c r="AK158" s="339">
        <f t="shared" si="8"/>
        <v>0</v>
      </c>
      <c r="AL158" s="408">
        <f t="shared" si="6"/>
        <v>0</v>
      </c>
      <c r="AM158" s="407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6" t="str">
        <f>CUSD!H19</f>
        <v/>
      </c>
      <c r="AJ159" s="407" t="str">
        <f>CUSD!J19</f>
        <v/>
      </c>
      <c r="AK159" s="339">
        <f t="shared" si="8"/>
        <v>0</v>
      </c>
      <c r="AL159" s="408">
        <f t="shared" si="6"/>
        <v>0</v>
      </c>
      <c r="AM159" s="407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6" t="str">
        <f>CUSD!H20</f>
        <v/>
      </c>
      <c r="AJ160" s="407" t="str">
        <f>CUSD!J20</f>
        <v/>
      </c>
      <c r="AK160" s="339">
        <f t="shared" si="8"/>
        <v>0</v>
      </c>
      <c r="AL160" s="408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211" t="s">
        <v>895</v>
      </c>
      <c r="AF161" s="1211"/>
      <c r="AG161" s="1211"/>
      <c r="AH161" s="1211"/>
      <c r="AI161" s="1237">
        <f>SUM(AI146:AI160)</f>
        <v>316722.16366999998</v>
      </c>
      <c r="AJ161" s="1213"/>
      <c r="AK161" s="1213">
        <f>SUM(AK146:AK160)</f>
        <v>6028139.6394422995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36" t="s">
        <v>896</v>
      </c>
      <c r="AN163" s="308" t="s">
        <v>849</v>
      </c>
    </row>
    <row r="164" spans="2:42" ht="15" customHeight="1">
      <c r="B164" s="46"/>
      <c r="C164" s="312"/>
      <c r="D164" s="312"/>
      <c r="P164" s="44"/>
      <c r="Q164" s="312"/>
      <c r="AM164" s="1238" t="s">
        <v>800</v>
      </c>
      <c r="AN164" s="1206" t="s">
        <v>851</v>
      </c>
      <c r="AO164" s="23" t="s">
        <v>858</v>
      </c>
      <c r="AP164" s="682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909">
        <f>LnkTXTPISCOFINS</f>
        <v>387731.83742470801</v>
      </c>
      <c r="AO165" s="23">
        <f t="shared" ref="AO165:AO182" si="9">IF(AN165=0,0,1)</f>
        <v>1</v>
      </c>
      <c r="AP165" s="682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909">
        <f ca="1">SUM(Financeiros!D12:D17)</f>
        <v>220391.41032326259</v>
      </c>
      <c r="AO166" s="23">
        <f t="shared" ca="1" si="9"/>
        <v>1</v>
      </c>
      <c r="AP166" s="682"/>
    </row>
    <row r="167" spans="2:42" ht="15" hidden="1" customHeight="1">
      <c r="B167" s="46"/>
      <c r="C167" s="312"/>
      <c r="D167" s="312"/>
      <c r="P167" s="44"/>
      <c r="Q167" s="312"/>
      <c r="AM167" s="23" t="s">
        <v>2232</v>
      </c>
      <c r="AN167" s="426">
        <f ca="1">Financeiros!D18</f>
        <v>0</v>
      </c>
      <c r="AO167" s="23">
        <f t="shared" ca="1" si="9"/>
        <v>0</v>
      </c>
      <c r="AP167" s="682"/>
    </row>
    <row r="168" spans="2:42" ht="15" hidden="1" customHeight="1">
      <c r="B168" s="46"/>
      <c r="C168" s="312"/>
      <c r="D168" s="312"/>
      <c r="P168" s="44"/>
      <c r="Q168" s="312"/>
      <c r="AM168" s="53" t="str">
        <f>Financeiros!C23</f>
        <v>Ajustes Processos anteriores</v>
      </c>
      <c r="AN168" s="909">
        <f>Financeiros!D23</f>
        <v>0</v>
      </c>
      <c r="AO168" s="23">
        <f t="shared" si="9"/>
        <v>0</v>
      </c>
      <c r="AP168" s="682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Financeiros!C24</f>
        <v>Ajuste CUST + PISCONFINS Transmissão</v>
      </c>
      <c r="AN169" s="909">
        <f>Financeiros!D24</f>
        <v>0</v>
      </c>
      <c r="AO169" s="23">
        <f t="shared" si="9"/>
        <v>0</v>
      </c>
      <c r="AP169" s="682"/>
    </row>
    <row r="170" spans="2:42" ht="15" customHeight="1">
      <c r="B170" s="46"/>
      <c r="C170" s="312"/>
      <c r="D170" s="312"/>
      <c r="P170" s="44"/>
      <c r="Q170" s="312"/>
      <c r="AM170" s="53" t="str">
        <f>Financeiros!C25</f>
        <v>Compensação DIC FIC</v>
      </c>
      <c r="AN170" s="909">
        <f>LnkTXTDICFIC</f>
        <v>-101090.8966218686</v>
      </c>
      <c r="AO170" s="23">
        <f t="shared" si="9"/>
        <v>1</v>
      </c>
      <c r="AP170" s="682"/>
    </row>
    <row r="171" spans="2:42" ht="15" customHeight="1">
      <c r="B171" s="46"/>
      <c r="C171" s="312"/>
      <c r="D171" s="312"/>
      <c r="P171" s="44"/>
      <c r="Q171" s="312"/>
      <c r="AM171" s="53" t="str">
        <f>Financeiros!C26</f>
        <v>Subvenção CDE</v>
      </c>
      <c r="AN171" s="909">
        <f ca="1">LnkTxTSubvencaoCDE</f>
        <v>-1599892.1389602604</v>
      </c>
      <c r="AO171" s="23">
        <f t="shared" ca="1" si="9"/>
        <v>1</v>
      </c>
      <c r="AP171" s="682"/>
    </row>
    <row r="172" spans="2:42" ht="15" hidden="1" customHeight="1">
      <c r="B172" s="46"/>
      <c r="C172" s="312"/>
      <c r="D172" s="312"/>
      <c r="P172" s="44"/>
      <c r="Q172" s="312"/>
      <c r="AM172" s="53" t="str">
        <f>Financeiros!C27</f>
        <v>Retenção de Adicionais de Bandeiras Tarifárias</v>
      </c>
      <c r="AN172" s="909">
        <f>Financeiros!D27</f>
        <v>0</v>
      </c>
      <c r="AO172" s="23">
        <f t="shared" si="9"/>
        <v>0</v>
      </c>
      <c r="AP172" s="682"/>
    </row>
    <row r="173" spans="2:42" ht="15" hidden="1" customHeight="1">
      <c r="B173" s="46"/>
      <c r="C173" s="312"/>
      <c r="D173" s="312"/>
      <c r="P173" s="44"/>
      <c r="Q173" s="312"/>
      <c r="AM173" s="53" t="s">
        <v>898</v>
      </c>
      <c r="AN173" s="909">
        <f>Financeiros!D33</f>
        <v>0</v>
      </c>
      <c r="AO173" s="23">
        <f t="shared" si="9"/>
        <v>0</v>
      </c>
      <c r="AP173" s="682"/>
    </row>
    <row r="174" spans="2:42" ht="15" customHeight="1">
      <c r="B174" s="46"/>
      <c r="C174" s="312"/>
      <c r="D174" s="312"/>
      <c r="P174" s="44"/>
      <c r="Q174" s="312"/>
      <c r="AM174" s="53" t="str">
        <f>Financeiros!C29</f>
        <v>Repasse de ICMS</v>
      </c>
      <c r="AN174" s="909">
        <f>Financeiros!D29</f>
        <v>7.7741477922672155</v>
      </c>
      <c r="AO174" s="682">
        <f>IF(AN174=0,0,1)</f>
        <v>1</v>
      </c>
      <c r="AP174" s="682"/>
    </row>
    <row r="175" spans="2:42" ht="15" hidden="1" customHeight="1">
      <c r="B175" s="46"/>
      <c r="C175" s="312"/>
      <c r="D175" s="312"/>
      <c r="P175" s="44"/>
      <c r="Q175" s="312"/>
      <c r="AM175" s="53" t="s">
        <v>899</v>
      </c>
      <c r="AN175" s="909">
        <f>Financeiros!D36</f>
        <v>0</v>
      </c>
      <c r="AO175" s="23">
        <f t="shared" si="9"/>
        <v>0</v>
      </c>
      <c r="AP175" s="682"/>
    </row>
    <row r="176" spans="2:42" ht="15" hidden="1" customHeight="1">
      <c r="B176" s="46"/>
      <c r="C176" s="312"/>
      <c r="D176" s="312"/>
      <c r="P176" s="44"/>
      <c r="Q176" s="312"/>
      <c r="AM176" s="53" t="str">
        <f>Financeiros!C34</f>
        <v>Previsão de Risco Hidrologico</v>
      </c>
      <c r="AN176" s="910">
        <f>Financeiros!D34</f>
        <v>0</v>
      </c>
      <c r="AO176" s="23">
        <f t="shared" si="9"/>
        <v>0</v>
      </c>
      <c r="AP176" s="682"/>
    </row>
    <row r="177" spans="2:50" ht="15" hidden="1" customHeight="1">
      <c r="B177" s="46"/>
      <c r="C177" s="312"/>
      <c r="D177" s="312"/>
      <c r="P177" s="44"/>
      <c r="Q177" s="312"/>
      <c r="AM177" s="53" t="str">
        <f>Financeiros!C35</f>
        <v>Efeito COVID da Supridora</v>
      </c>
      <c r="AN177" s="909">
        <f>Financeiros!D35</f>
        <v>0</v>
      </c>
      <c r="AO177" s="23">
        <f t="shared" si="9"/>
        <v>0</v>
      </c>
      <c r="AP177" s="682"/>
    </row>
    <row r="178" spans="2:50" ht="15" hidden="1" customHeight="1">
      <c r="B178" s="46"/>
      <c r="C178" s="312"/>
      <c r="D178" s="312"/>
      <c r="P178" s="44"/>
      <c r="Q178" s="312"/>
      <c r="AM178" s="53" t="s">
        <v>900</v>
      </c>
      <c r="AN178" s="909">
        <f>Financeiros!D37+Financeiros!D38</f>
        <v>0</v>
      </c>
      <c r="AO178" s="23">
        <f t="shared" si="9"/>
        <v>0</v>
      </c>
      <c r="AP178" s="682"/>
    </row>
    <row r="179" spans="2:50" ht="15" hidden="1" customHeight="1">
      <c r="B179" s="46"/>
      <c r="C179" s="312"/>
      <c r="D179" s="312"/>
      <c r="P179" s="44"/>
      <c r="Q179" s="312"/>
      <c r="AM179" s="53" t="str">
        <f>Financeiros!C39</f>
        <v>Financeiros associados ao §7º do Art. 88 da Ren 414/2021</v>
      </c>
      <c r="AN179" s="909">
        <f>Financeiros!D39</f>
        <v>0</v>
      </c>
      <c r="AO179" s="23">
        <f t="shared" si="9"/>
        <v>0</v>
      </c>
      <c r="AP179" s="682"/>
    </row>
    <row r="180" spans="2:50" ht="15" hidden="1" customHeight="1">
      <c r="B180" s="46"/>
      <c r="C180" s="312"/>
      <c r="D180" s="312"/>
      <c r="P180" s="44"/>
      <c r="Q180" s="312"/>
      <c r="AM180" s="53">
        <f>Financeiros!C40</f>
        <v>0</v>
      </c>
      <c r="AN180" s="909">
        <f>Financeiros!D40</f>
        <v>0</v>
      </c>
      <c r="AO180" s="23">
        <f t="shared" si="9"/>
        <v>0</v>
      </c>
      <c r="AP180" s="682"/>
    </row>
    <row r="181" spans="2:50" ht="15" customHeight="1">
      <c r="B181" s="46"/>
      <c r="C181" s="312"/>
      <c r="D181" s="312"/>
      <c r="P181" s="44"/>
      <c r="Q181" s="312"/>
      <c r="AM181" s="53" t="str">
        <f>Financeiros!C41</f>
        <v>Reversão Postergação Covid TUSD em 2021</v>
      </c>
      <c r="AN181" s="909">
        <f>Financeiros!D41</f>
        <v>-28378.362367771737</v>
      </c>
      <c r="AO181" s="23">
        <f t="shared" si="9"/>
        <v>1</v>
      </c>
      <c r="AP181" s="1043"/>
    </row>
    <row r="182" spans="2:50" ht="15" customHeight="1">
      <c r="B182" s="46"/>
      <c r="C182" s="312"/>
      <c r="D182" s="312"/>
      <c r="P182" s="44"/>
      <c r="Q182" s="312"/>
      <c r="AM182" s="53" t="str">
        <f>Financeiros!C42</f>
        <v>Reversão Postergação Covid TE em 2021</v>
      </c>
      <c r="AN182" s="909">
        <f>Financeiros!D42</f>
        <v>21104.069183764557</v>
      </c>
      <c r="AO182" s="23">
        <f t="shared" si="9"/>
        <v>1</v>
      </c>
      <c r="AP182" s="1043"/>
    </row>
    <row r="183" spans="2:50" ht="15" customHeight="1">
      <c r="B183" s="46"/>
      <c r="C183" s="312"/>
      <c r="D183" s="312"/>
      <c r="P183" s="44"/>
      <c r="Q183" s="312"/>
      <c r="AM183" s="1211" t="s">
        <v>803</v>
      </c>
      <c r="AN183" s="1239">
        <f ca="1">SUM(AN165:AN182)</f>
        <v>-1100126.3068703734</v>
      </c>
      <c r="AP183" s="24"/>
    </row>
    <row r="184" spans="2:50" ht="15" customHeight="1">
      <c r="B184" s="46"/>
      <c r="C184" s="312"/>
      <c r="D184" s="312"/>
      <c r="P184" s="44"/>
      <c r="Q184" s="312"/>
    </row>
    <row r="185" spans="2:50" ht="15" customHeight="1">
      <c r="B185" s="46"/>
      <c r="C185" s="312"/>
      <c r="D185" s="312"/>
      <c r="P185" s="44"/>
      <c r="Q185" s="312"/>
    </row>
    <row r="186" spans="2:50" ht="15" customHeight="1">
      <c r="B186" s="46"/>
      <c r="C186" s="312"/>
      <c r="D186" s="312"/>
      <c r="P186" s="44"/>
      <c r="Q186" s="312"/>
      <c r="AM186" s="53"/>
      <c r="AN186" s="344"/>
      <c r="AP186" s="1236" t="s">
        <v>901</v>
      </c>
      <c r="AQ186" s="308" t="s">
        <v>849</v>
      </c>
    </row>
    <row r="187" spans="2:50" ht="15" customHeight="1">
      <c r="B187" s="46"/>
      <c r="C187" s="312"/>
      <c r="D187" s="312"/>
      <c r="P187" s="44"/>
      <c r="Q187" s="312"/>
      <c r="AM187" s="53"/>
      <c r="AN187" s="344"/>
      <c r="AP187" s="1224" t="s">
        <v>902</v>
      </c>
      <c r="AQ187" s="1206" t="s">
        <v>903</v>
      </c>
    </row>
    <row r="188" spans="2:50" ht="15" customHeight="1">
      <c r="B188" s="46"/>
      <c r="C188" s="312"/>
      <c r="D188" s="312"/>
      <c r="P188" s="44"/>
      <c r="Q188" s="312"/>
      <c r="AM188" s="53"/>
      <c r="AN188" s="344"/>
      <c r="AP188" s="305" t="s">
        <v>904</v>
      </c>
      <c r="AQ188" s="230">
        <f>LnkTXTEfeitoAT</f>
        <v>0.32661367924754181</v>
      </c>
    </row>
    <row r="189" spans="2:50" ht="15" customHeight="1">
      <c r="B189" s="46"/>
      <c r="C189" s="312"/>
      <c r="D189" s="312"/>
      <c r="P189" s="44"/>
      <c r="Q189" s="312"/>
      <c r="AM189" s="53"/>
      <c r="AN189" s="344"/>
      <c r="AP189" s="305" t="s">
        <v>905</v>
      </c>
      <c r="AQ189" s="230">
        <f>LnkTXTEfeitoBT</f>
        <v>0.29090545395764322</v>
      </c>
    </row>
    <row r="190" spans="2:50" ht="15" customHeight="1">
      <c r="B190" s="46"/>
      <c r="C190" s="312"/>
      <c r="D190" s="312"/>
      <c r="P190" s="44"/>
      <c r="Q190" s="312"/>
      <c r="AM190" s="53"/>
      <c r="AN190" s="344"/>
      <c r="AP190" s="1211" t="s">
        <v>906</v>
      </c>
      <c r="AQ190" s="1217">
        <f>LnkTXTEfeito</f>
        <v>0.31463538360296806</v>
      </c>
    </row>
    <row r="191" spans="2:50" ht="15" customHeight="1">
      <c r="B191" s="46"/>
      <c r="C191" s="312"/>
      <c r="D191" s="312"/>
      <c r="P191" s="44"/>
      <c r="Q191" s="312"/>
      <c r="AM191" s="53"/>
      <c r="AN191" s="344"/>
      <c r="AW191" s="426"/>
    </row>
    <row r="192" spans="2:50" ht="15" customHeight="1">
      <c r="B192" s="46"/>
      <c r="C192" s="312"/>
      <c r="D192" s="312"/>
      <c r="P192" s="44"/>
      <c r="Q192" s="312"/>
      <c r="AM192" s="53"/>
      <c r="AN192" s="344"/>
      <c r="AS192" s="1236" t="s">
        <v>907</v>
      </c>
      <c r="AT192" s="30"/>
      <c r="AU192" s="30"/>
      <c r="AV192" s="30"/>
      <c r="AW192" s="30"/>
      <c r="AX192" s="308" t="s">
        <v>849</v>
      </c>
    </row>
    <row r="193" spans="2:54" ht="39" customHeight="1" thickBot="1">
      <c r="B193" s="54"/>
      <c r="C193" s="322"/>
      <c r="D193" s="54"/>
      <c r="AS193" s="1045" t="s">
        <v>908</v>
      </c>
      <c r="AT193" s="1045" t="s">
        <v>869</v>
      </c>
      <c r="AU193" s="1045" t="s">
        <v>909</v>
      </c>
      <c r="AV193" s="1045" t="s">
        <v>910</v>
      </c>
      <c r="AW193" s="1045" t="s">
        <v>911</v>
      </c>
      <c r="AX193" s="1045" t="s">
        <v>912</v>
      </c>
      <c r="AY193" s="323" t="s">
        <v>858</v>
      </c>
      <c r="BB193" s="413"/>
    </row>
    <row r="194" spans="2:54" ht="15" customHeight="1" thickTop="1">
      <c r="B194" s="54"/>
      <c r="C194" s="322"/>
      <c r="D194" s="54"/>
      <c r="AS194" s="1240" t="s">
        <v>913</v>
      </c>
      <c r="AT194" s="1241">
        <f ca="1">SUM(AT195:AT203)</f>
        <v>3263016.7535252078</v>
      </c>
      <c r="AU194" s="1241">
        <f ca="1">SUM(AU195:AU203)</f>
        <v>4729123.6706041945</v>
      </c>
      <c r="AV194" s="1242">
        <f ca="1">IF(AU194=0,0,ROUND(AU194/AT194-1,4))</f>
        <v>0.44929999999999998</v>
      </c>
      <c r="AW194" s="1242">
        <f ca="1">SUM(AW195:AW203)</f>
        <v>7.4333012775292251E-2</v>
      </c>
      <c r="AX194" s="1242">
        <f t="shared" ref="AX194:AX213" ca="1" si="10">AU194/$AU$211</f>
        <v>0.19171645757245137</v>
      </c>
      <c r="AY194" s="323">
        <v>1</v>
      </c>
    </row>
    <row r="195" spans="2:54" ht="15" hidden="1" customHeight="1">
      <c r="AS195" s="1046" t="str">
        <f t="shared" ref="AS195:AT198" si="11">I75</f>
        <v>Reserva Global de Reversão – RGR</v>
      </c>
      <c r="AT195" s="1047">
        <f t="shared" si="11"/>
        <v>0</v>
      </c>
      <c r="AU195" s="1047">
        <f>Resultado!D15</f>
        <v>0</v>
      </c>
      <c r="AV195" s="1048">
        <f t="shared" ref="AV195:AV209" si="12">IF(AU195=0,0,ROUND(AU195/AT195-1,3))</f>
        <v>0</v>
      </c>
      <c r="AW195" s="1048">
        <f t="shared" ref="AW195:AW203" ca="1" si="13">(AU195-AT195)/$AT$211</f>
        <v>0</v>
      </c>
      <c r="AX195" s="1048">
        <f t="shared" ca="1" si="10"/>
        <v>0</v>
      </c>
      <c r="AY195" s="323">
        <f ca="1">IF(AW195=0,0,1)</f>
        <v>0</v>
      </c>
    </row>
    <row r="196" spans="2:54" ht="15" hidden="1" customHeight="1">
      <c r="H196" s="23"/>
      <c r="AS196" s="1046" t="str">
        <f t="shared" si="11"/>
        <v>Conta de Consumo de Combustíveis – CCC</v>
      </c>
      <c r="AT196" s="1047">
        <f t="shared" si="11"/>
        <v>0</v>
      </c>
      <c r="AU196" s="1047">
        <f>Resultado!D16</f>
        <v>0</v>
      </c>
      <c r="AV196" s="1048">
        <f t="shared" si="12"/>
        <v>0</v>
      </c>
      <c r="AW196" s="1048">
        <f t="shared" ca="1" si="13"/>
        <v>0</v>
      </c>
      <c r="AX196" s="1048">
        <f t="shared" ca="1" si="10"/>
        <v>0</v>
      </c>
      <c r="AY196" s="323">
        <f t="shared" ref="AY196:AY238" ca="1" si="14">IF(AW196=0,0,1)</f>
        <v>0</v>
      </c>
    </row>
    <row r="197" spans="2:54" ht="15" customHeight="1">
      <c r="B197" s="29"/>
      <c r="C197" s="39"/>
      <c r="H197" s="23"/>
      <c r="AS197" s="1046" t="str">
        <f t="shared" si="11"/>
        <v>Taxa de Fisc. de Serviços de E.E. – TFSEE</v>
      </c>
      <c r="AT197" s="1047">
        <f t="shared" ca="1" si="11"/>
        <v>45866.266342703326</v>
      </c>
      <c r="AU197" s="1047">
        <f ca="1">Resultado!D17</f>
        <v>56881.93393419528</v>
      </c>
      <c r="AV197" s="1048">
        <f ca="1">IF(AU197=0,0,ROUND(AU197/AT197-1,4))</f>
        <v>0.2402</v>
      </c>
      <c r="AW197" s="1048">
        <f ca="1">(AU197-AT197)/$AT$211</f>
        <v>5.5850480634669149E-4</v>
      </c>
      <c r="AX197" s="1048">
        <f t="shared" ca="1" si="10"/>
        <v>2.3059669472210859E-3</v>
      </c>
      <c r="AY197" s="323">
        <f t="shared" ca="1" si="14"/>
        <v>1</v>
      </c>
    </row>
    <row r="198" spans="2:54" ht="15" customHeight="1">
      <c r="C198" s="28"/>
      <c r="H198" s="23"/>
      <c r="AS198" s="1046" t="str">
        <f t="shared" si="11"/>
        <v>Conta de Desenvolvimento Energético – CDE</v>
      </c>
      <c r="AT198" s="1047">
        <f t="shared" ca="1" si="11"/>
        <v>2741138.8933965573</v>
      </c>
      <c r="AU198" s="1047">
        <f ca="1">Resultado!D18-Encargos!I20</f>
        <v>3950481.0116799995</v>
      </c>
      <c r="AV198" s="1048">
        <f ca="1">IF(AU198=0,0,ROUND(AU198/AT198-1,4))</f>
        <v>0.44119999999999998</v>
      </c>
      <c r="AW198" s="1048">
        <f ca="1">(AU198-AT198)/$AT$211</f>
        <v>6.1314793676278012E-2</v>
      </c>
      <c r="AX198" s="1048">
        <f t="shared" ca="1" si="10"/>
        <v>0.16015064904609722</v>
      </c>
      <c r="AY198" s="323">
        <f t="shared" ca="1" si="14"/>
        <v>1</v>
      </c>
    </row>
    <row r="199" spans="2:54" ht="15" hidden="1" customHeight="1">
      <c r="C199" s="28"/>
      <c r="H199" s="23"/>
      <c r="AS199" s="1046" t="s">
        <v>914</v>
      </c>
      <c r="AT199" s="1047">
        <f ca="1">J79</f>
        <v>0</v>
      </c>
      <c r="AU199" s="1047">
        <f>Encargos!I20</f>
        <v>0</v>
      </c>
      <c r="AV199" s="1048">
        <v>1</v>
      </c>
      <c r="AW199" s="1048">
        <f t="shared" ca="1" si="13"/>
        <v>0</v>
      </c>
      <c r="AX199" s="1048">
        <f t="shared" ca="1" si="10"/>
        <v>0</v>
      </c>
      <c r="AY199" s="323">
        <f t="shared" ca="1" si="14"/>
        <v>0</v>
      </c>
    </row>
    <row r="200" spans="2:54" ht="15" hidden="1" customHeight="1">
      <c r="C200" s="28"/>
      <c r="H200" s="23"/>
      <c r="AS200" s="1046" t="str">
        <f>I80</f>
        <v>Encargos Serv. Sist. - ESS e Energ. Reserv. – EER</v>
      </c>
      <c r="AT200" s="1047">
        <f ca="1">J80</f>
        <v>0</v>
      </c>
      <c r="AU200" s="1047">
        <f>Resultado!D20</f>
        <v>0</v>
      </c>
      <c r="AV200" s="1048">
        <v>1</v>
      </c>
      <c r="AW200" s="1048">
        <f t="shared" ca="1" si="13"/>
        <v>0</v>
      </c>
      <c r="AX200" s="1048">
        <f t="shared" ca="1" si="10"/>
        <v>0</v>
      </c>
      <c r="AY200" s="323">
        <f ca="1">IF(AW200=0,0,1)</f>
        <v>0</v>
      </c>
    </row>
    <row r="201" spans="2:54" ht="15" customHeight="1">
      <c r="C201" s="28"/>
      <c r="H201" s="23"/>
      <c r="AS201" s="1046" t="str">
        <f>I81</f>
        <v>PROINFA</v>
      </c>
      <c r="AT201" s="1047">
        <f ca="1">J81</f>
        <v>476011.59378594742</v>
      </c>
      <c r="AU201" s="1047">
        <f ca="1">Resultado!D21</f>
        <v>721760.7249899999</v>
      </c>
      <c r="AV201" s="1048">
        <f ca="1">IF(AU201=0,0,ROUND(AU201/AT201-1,4))</f>
        <v>0.51629999999999998</v>
      </c>
      <c r="AW201" s="1048">
        <f ca="1">(AU201-AT201)/$AT$211</f>
        <v>1.2459714292667547E-2</v>
      </c>
      <c r="AX201" s="1048">
        <f t="shared" ca="1" si="10"/>
        <v>2.9259841579133077E-2</v>
      </c>
      <c r="AY201" s="323">
        <f t="shared" ca="1" si="14"/>
        <v>1</v>
      </c>
    </row>
    <row r="202" spans="2:54" ht="15" hidden="1" customHeight="1">
      <c r="B202" s="29"/>
      <c r="C202" s="39"/>
      <c r="H202" s="23"/>
      <c r="AS202" s="1046" t="str">
        <f>I82</f>
        <v>P&amp;D e Eficiência Energética</v>
      </c>
      <c r="AT202" s="1047">
        <f ca="1">J82</f>
        <v>0</v>
      </c>
      <c r="AU202" s="1047">
        <f>Resultado!D22</f>
        <v>0</v>
      </c>
      <c r="AV202" s="1048">
        <f>IF(AU202=0,0,ROUND(AU202/AT202-1,4))</f>
        <v>0</v>
      </c>
      <c r="AW202" s="1048">
        <f t="shared" ca="1" si="13"/>
        <v>0</v>
      </c>
      <c r="AX202" s="1048">
        <f t="shared" ca="1" si="10"/>
        <v>0</v>
      </c>
      <c r="AY202" s="323">
        <v>0</v>
      </c>
    </row>
    <row r="203" spans="2:54" ht="15" hidden="1" customHeight="1">
      <c r="C203" s="345"/>
      <c r="H203" s="23"/>
      <c r="AS203" s="1046" t="str">
        <f>I83</f>
        <v>ONS</v>
      </c>
      <c r="AT203" s="1047">
        <f ca="1">J83</f>
        <v>0</v>
      </c>
      <c r="AU203" s="1047">
        <f>Resultado!D23</f>
        <v>0</v>
      </c>
      <c r="AV203" s="1048">
        <f t="shared" si="12"/>
        <v>0</v>
      </c>
      <c r="AW203" s="1048">
        <f t="shared" ca="1" si="13"/>
        <v>0</v>
      </c>
      <c r="AX203" s="1048">
        <f t="shared" ca="1" si="10"/>
        <v>0</v>
      </c>
      <c r="AY203" s="323">
        <v>0</v>
      </c>
    </row>
    <row r="204" spans="2:54" ht="15" customHeight="1">
      <c r="C204" s="312"/>
      <c r="H204" s="23"/>
      <c r="AS204" s="1240" t="s">
        <v>915</v>
      </c>
      <c r="AT204" s="1241">
        <f ca="1">AT205</f>
        <v>2966844.5089071067</v>
      </c>
      <c r="AU204" s="1241">
        <f ca="1">AU205</f>
        <v>3329455.1935485285</v>
      </c>
      <c r="AV204" s="1242">
        <f ca="1">IF(AU204=0,0,ROUND(AU204/AT204-1,4))</f>
        <v>0.1222</v>
      </c>
      <c r="AW204" s="1242">
        <f ca="1">AW205</f>
        <v>1.8384706012853583E-2</v>
      </c>
      <c r="AX204" s="1242">
        <f t="shared" ca="1" si="10"/>
        <v>0.13497455338734532</v>
      </c>
      <c r="AY204" s="323">
        <f t="shared" ca="1" si="14"/>
        <v>1</v>
      </c>
    </row>
    <row r="205" spans="2:54" ht="15" customHeight="1">
      <c r="C205" s="312"/>
      <c r="H205" s="23"/>
      <c r="AS205" s="1046" t="s">
        <v>872</v>
      </c>
      <c r="AT205" s="1047">
        <f ca="1">J85</f>
        <v>2966844.5089071067</v>
      </c>
      <c r="AU205" s="1047">
        <f ca="1">Resultado!D33</f>
        <v>3329455.1935485285</v>
      </c>
      <c r="AV205" s="1048">
        <f ca="1">IF(AU205=0,0,ROUND(AU205/AT205-1,4))</f>
        <v>0.1222</v>
      </c>
      <c r="AW205" s="1048">
        <f ca="1">(AU205-AT205)/$AT$211</f>
        <v>1.8384706012853583E-2</v>
      </c>
      <c r="AX205" s="1048">
        <f t="shared" ca="1" si="10"/>
        <v>0.13497455338734532</v>
      </c>
      <c r="AY205" s="323">
        <f t="shared" ca="1" si="14"/>
        <v>1</v>
      </c>
    </row>
    <row r="206" spans="2:54" ht="15" customHeight="1">
      <c r="AS206" s="1240" t="s">
        <v>916</v>
      </c>
      <c r="AT206" s="1241">
        <f ca="1">SUM(AT207:AT210)</f>
        <v>4872952.6758582592</v>
      </c>
      <c r="AU206" s="1241">
        <f>SUM(AU207:AU210)</f>
        <v>6028139.6394422995</v>
      </c>
      <c r="AV206" s="1242">
        <f ca="1">IF(AU206=0,0,ROUND(AU206/AT206-1,4))</f>
        <v>0.23710000000000001</v>
      </c>
      <c r="AW206" s="1242">
        <f ca="1">SUM(AW207:AW210)</f>
        <v>5.8569075912297437E-2</v>
      </c>
      <c r="AX206" s="1242">
        <f t="shared" ca="1" si="10"/>
        <v>0.24437795623946965</v>
      </c>
      <c r="AY206" s="323">
        <f t="shared" ca="1" si="14"/>
        <v>1</v>
      </c>
    </row>
    <row r="207" spans="2:54" ht="15" hidden="1" customHeight="1">
      <c r="AS207" s="1046" t="str">
        <f>Resultado!B25</f>
        <v>Rede Básica</v>
      </c>
      <c r="AT207" s="1047">
        <f ca="1">J87</f>
        <v>0</v>
      </c>
      <c r="AU207" s="1047">
        <f>Resultado!D25</f>
        <v>0</v>
      </c>
      <c r="AV207" s="1048"/>
      <c r="AW207" s="1048">
        <f ca="1">(AU207-AT207)/$AT$211</f>
        <v>0</v>
      </c>
      <c r="AX207" s="1048">
        <f t="shared" ca="1" si="10"/>
        <v>0</v>
      </c>
      <c r="AY207" s="323">
        <f t="shared" ca="1" si="14"/>
        <v>0</v>
      </c>
    </row>
    <row r="208" spans="2:54" ht="15" hidden="1" customHeight="1">
      <c r="AS208" s="1046" t="str">
        <f>Resultado!B26</f>
        <v>Rede Básica Fronteira</v>
      </c>
      <c r="AT208" s="1047">
        <f ca="1">J88</f>
        <v>0</v>
      </c>
      <c r="AU208" s="1047">
        <f>Resultado!D26</f>
        <v>0</v>
      </c>
      <c r="AV208" s="1048"/>
      <c r="AW208" s="1048">
        <f ca="1">(AU208-AT208)/$AT$211</f>
        <v>0</v>
      </c>
      <c r="AX208" s="1048">
        <f t="shared" ca="1" si="10"/>
        <v>0</v>
      </c>
      <c r="AY208" s="323">
        <f t="shared" ca="1" si="14"/>
        <v>0</v>
      </c>
    </row>
    <row r="209" spans="2:51" ht="15" hidden="1" customHeight="1">
      <c r="H209" s="23"/>
      <c r="AS209" s="1046" t="str">
        <f>Resultado!B31</f>
        <v>Conexão</v>
      </c>
      <c r="AT209" s="1047">
        <f ca="1">J93</f>
        <v>0</v>
      </c>
      <c r="AU209" s="1047">
        <f>Resultado!D31</f>
        <v>0</v>
      </c>
      <c r="AV209" s="1048">
        <f t="shared" si="12"/>
        <v>0</v>
      </c>
      <c r="AW209" s="1048">
        <f ca="1">(AU209-AT209)/$AT$211</f>
        <v>0</v>
      </c>
      <c r="AX209" s="1048">
        <f t="shared" ca="1" si="10"/>
        <v>0</v>
      </c>
      <c r="AY209" s="323">
        <f t="shared" ca="1" si="14"/>
        <v>0</v>
      </c>
    </row>
    <row r="210" spans="2:51" ht="15" customHeight="1">
      <c r="H210" s="23"/>
      <c r="AS210" s="1046" t="str">
        <f>Resultado!B32</f>
        <v>Uso do sistema de distribuição</v>
      </c>
      <c r="AT210" s="1047">
        <f ca="1">J94</f>
        <v>4872952.6758582592</v>
      </c>
      <c r="AU210" s="1047">
        <f>Resultado!D32</f>
        <v>6028139.6394422995</v>
      </c>
      <c r="AV210" s="1048">
        <f ca="1">IF(AU210=0,0,ROUND(AU210/AT210-1,4))</f>
        <v>0.23710000000000001</v>
      </c>
      <c r="AW210" s="1048">
        <f ca="1">(AU210-AT210)/$AT$211</f>
        <v>5.8569075912297437E-2</v>
      </c>
      <c r="AX210" s="1048">
        <f t="shared" ca="1" si="10"/>
        <v>0.24437795623946965</v>
      </c>
      <c r="AY210" s="323">
        <f t="shared" ca="1" si="14"/>
        <v>1</v>
      </c>
    </row>
    <row r="211" spans="2:51" ht="15" hidden="1" customHeight="1">
      <c r="C211" s="19"/>
      <c r="AS211" s="1240" t="s">
        <v>917</v>
      </c>
      <c r="AT211" s="1241">
        <f ca="1">Mercado_RA0_Reais</f>
        <v>19723496.496920004</v>
      </c>
      <c r="AU211" s="1241">
        <f ca="1">AU194+AU204+AU206+AU213</f>
        <v>24667280.683595024</v>
      </c>
      <c r="AV211" s="1243"/>
      <c r="AW211" s="1243"/>
      <c r="AX211" s="1242">
        <f t="shared" ca="1" si="10"/>
        <v>1</v>
      </c>
      <c r="AY211" s="323">
        <f t="shared" si="14"/>
        <v>0</v>
      </c>
    </row>
    <row r="212" spans="2:51" ht="15" customHeight="1">
      <c r="C212" s="19"/>
      <c r="AS212" s="1244" t="s">
        <v>918</v>
      </c>
      <c r="AT212" s="1245">
        <f ca="1">AT194+AT204+AT206</f>
        <v>11102813.938290574</v>
      </c>
      <c r="AU212" s="1245">
        <f ca="1">AU194+AU204+AU206</f>
        <v>14086718.503595022</v>
      </c>
      <c r="AV212" s="1246">
        <f ca="1">IF(AU212=0,0,ROUND(AU212/AT212-1,4))</f>
        <v>0.26879999999999998</v>
      </c>
      <c r="AW212" s="1246">
        <f ca="1">(AU212-AT212)/AT211</f>
        <v>0.15128679470044326</v>
      </c>
      <c r="AX212" s="1246">
        <f t="shared" ca="1" si="10"/>
        <v>0.57106896719926636</v>
      </c>
      <c r="AY212" s="323">
        <f t="shared" ca="1" si="14"/>
        <v>1</v>
      </c>
    </row>
    <row r="213" spans="2:51" ht="15" customHeight="1">
      <c r="B213" s="28"/>
      <c r="C213" s="19"/>
      <c r="AS213" s="1244" t="s">
        <v>919</v>
      </c>
      <c r="AT213" s="1245">
        <f ca="1">AT211-AT212</f>
        <v>8620682.5586294308</v>
      </c>
      <c r="AU213" s="1245">
        <f>Resultado!D39</f>
        <v>10580562.18</v>
      </c>
      <c r="AV213" s="1246">
        <f ca="1">IF(AU213=0,0,ROUND(AU213/AT213-1,4))</f>
        <v>0.2273</v>
      </c>
      <c r="AW213" s="1246">
        <f ca="1">(AU213-AT213)/AT211</f>
        <v>9.9367757723719072E-2</v>
      </c>
      <c r="AX213" s="1246">
        <f t="shared" ca="1" si="10"/>
        <v>0.42893103280073358</v>
      </c>
      <c r="AY213" s="323">
        <f t="shared" ca="1" si="14"/>
        <v>1</v>
      </c>
    </row>
    <row r="214" spans="2:51" ht="15" customHeight="1">
      <c r="AS214" s="1247" t="str">
        <f>Resultado!B7</f>
        <v>Variação econômica</v>
      </c>
      <c r="AT214" s="1247"/>
      <c r="AU214" s="1247"/>
      <c r="AV214" s="1248"/>
      <c r="AW214" s="1249">
        <f ca="1">ROUND((AU213+AU212)/(AT212+AT213)-1,4)</f>
        <v>0.25069999999999998</v>
      </c>
      <c r="AX214" s="1248"/>
      <c r="AY214" s="323">
        <v>1</v>
      </c>
    </row>
    <row r="215" spans="2:51" ht="15" hidden="1" customHeight="1">
      <c r="AS215" s="1049"/>
      <c r="AT215" s="1049"/>
      <c r="AU215" s="1049"/>
      <c r="AV215" s="1050"/>
      <c r="AW215" s="1051"/>
      <c r="AX215" s="1051"/>
      <c r="AY215" s="323">
        <f t="shared" si="14"/>
        <v>0</v>
      </c>
    </row>
    <row r="216" spans="2:51" ht="15" customHeight="1">
      <c r="AS216" s="1240" t="s">
        <v>920</v>
      </c>
      <c r="AT216" s="1250"/>
      <c r="AU216" s="1250"/>
      <c r="AV216" s="1251"/>
      <c r="AW216" s="1242" t="s">
        <v>921</v>
      </c>
      <c r="AX216" s="1242"/>
      <c r="AY216" s="323">
        <v>1</v>
      </c>
    </row>
    <row r="217" spans="2:51" ht="15" customHeight="1">
      <c r="AS217" s="1052" t="str">
        <f>Financeiros!C9</f>
        <v>Repasse de PIS COFINS</v>
      </c>
      <c r="AT217" s="1052"/>
      <c r="AU217" s="1053">
        <f>LnkTXTPISCOFINS</f>
        <v>387731.83742470801</v>
      </c>
      <c r="AV217" s="1054"/>
      <c r="AW217" s="1054">
        <f ca="1">LnkTXTPISCOFINSPer</f>
        <v>1.9658372311687013E-2</v>
      </c>
      <c r="AX217" s="1051"/>
      <c r="AY217" s="323">
        <f ca="1">IF(AW217=0,0,1)</f>
        <v>1</v>
      </c>
    </row>
    <row r="218" spans="2:51" ht="15" customHeight="1">
      <c r="B218" s="346"/>
      <c r="C218" s="347"/>
      <c r="D218" s="347"/>
      <c r="E218" s="347"/>
      <c r="F218" s="347"/>
      <c r="G218" s="347"/>
      <c r="H218" s="347"/>
      <c r="AS218" s="1052" t="str">
        <f t="shared" ref="AS218:AS231" si="15">AM166</f>
        <v>Neutralidade Encargos Setoriais</v>
      </c>
      <c r="AT218" s="1052"/>
      <c r="AU218" s="1053">
        <f ca="1">LnkTXTNeutralidade</f>
        <v>220391.41032326259</v>
      </c>
      <c r="AV218" s="1054"/>
      <c r="AW218" s="1048">
        <f ca="1">AU218/Financeiros!$D$4</f>
        <v>1.1174053766667519E-2</v>
      </c>
      <c r="AX218" s="1051"/>
      <c r="AY218" s="323">
        <f t="shared" ref="AY218:AY226" ca="1" si="16">IF(AW218=0,0,1)</f>
        <v>1</v>
      </c>
    </row>
    <row r="219" spans="2:51" ht="15" hidden="1" customHeight="1">
      <c r="B219" s="348"/>
      <c r="C219" s="349"/>
      <c r="D219" s="349"/>
      <c r="E219" s="349"/>
      <c r="F219" s="350"/>
      <c r="G219" s="350"/>
      <c r="H219" s="350"/>
      <c r="AS219" s="1055" t="str">
        <f t="shared" si="15"/>
        <v>Neutralidade Conta Covid</v>
      </c>
      <c r="AT219" s="1055"/>
      <c r="AU219" s="1056">
        <f t="shared" ref="AU219:AU231" ca="1" si="17">AN167</f>
        <v>0</v>
      </c>
      <c r="AV219" s="1055"/>
      <c r="AW219" s="1048">
        <f ca="1">AU219/Financeiros!$D$4</f>
        <v>0</v>
      </c>
      <c r="AX219" s="1051"/>
      <c r="AY219" s="323">
        <f t="shared" ca="1" si="16"/>
        <v>0</v>
      </c>
    </row>
    <row r="220" spans="2:51" ht="15" hidden="1" customHeight="1">
      <c r="B220" s="348"/>
      <c r="C220" s="349"/>
      <c r="D220" s="349"/>
      <c r="E220" s="349"/>
      <c r="F220" s="350"/>
      <c r="G220" s="350"/>
      <c r="H220" s="350"/>
      <c r="AS220" s="1055" t="str">
        <f t="shared" si="15"/>
        <v>Ajustes Processos anteriores</v>
      </c>
      <c r="AT220" s="1055"/>
      <c r="AU220" s="1056">
        <f t="shared" si="17"/>
        <v>0</v>
      </c>
      <c r="AV220" s="1054"/>
      <c r="AW220" s="1048">
        <f ca="1">AU220/Financeiros!$D$4</f>
        <v>0</v>
      </c>
      <c r="AX220" s="1051"/>
      <c r="AY220" s="323">
        <f t="shared" ca="1" si="16"/>
        <v>0</v>
      </c>
    </row>
    <row r="221" spans="2:51" ht="15" hidden="1" customHeight="1">
      <c r="B221" s="348"/>
      <c r="C221" s="349"/>
      <c r="D221" s="349"/>
      <c r="E221" s="349"/>
      <c r="F221" s="350"/>
      <c r="G221" s="350"/>
      <c r="H221" s="350"/>
      <c r="AS221" s="1055" t="str">
        <f t="shared" si="15"/>
        <v>Ajuste CUST + PISCONFINS Transmissão</v>
      </c>
      <c r="AT221" s="1055"/>
      <c r="AU221" s="1056">
        <f t="shared" si="17"/>
        <v>0</v>
      </c>
      <c r="AV221" s="1054"/>
      <c r="AW221" s="1048">
        <f ca="1">AU221/Financeiros!$D$4</f>
        <v>0</v>
      </c>
      <c r="AX221" s="1051"/>
      <c r="AY221" s="323">
        <f t="shared" ca="1" si="16"/>
        <v>0</v>
      </c>
    </row>
    <row r="222" spans="2:51" ht="15" customHeight="1">
      <c r="B222" s="348"/>
      <c r="C222" s="349"/>
      <c r="D222" s="349"/>
      <c r="E222" s="349"/>
      <c r="F222" s="350"/>
      <c r="G222" s="350"/>
      <c r="H222" s="350"/>
      <c r="AS222" s="1055" t="str">
        <f t="shared" si="15"/>
        <v>Compensação DIC FIC</v>
      </c>
      <c r="AT222" s="1055"/>
      <c r="AU222" s="1056">
        <f t="shared" si="17"/>
        <v>-101090.8966218686</v>
      </c>
      <c r="AV222" s="1054"/>
      <c r="AW222" s="1048">
        <f ca="1">AU222/Financeiros!$D$4</f>
        <v>-5.1254044452845784E-3</v>
      </c>
      <c r="AX222" s="1051"/>
      <c r="AY222" s="323">
        <f t="shared" ca="1" si="16"/>
        <v>1</v>
      </c>
    </row>
    <row r="223" spans="2:51" ht="15" customHeight="1">
      <c r="B223" s="348"/>
      <c r="C223" s="349"/>
      <c r="D223" s="349"/>
      <c r="E223" s="349"/>
      <c r="F223" s="350"/>
      <c r="G223" s="350"/>
      <c r="H223" s="350"/>
      <c r="AS223" s="1055" t="str">
        <f t="shared" si="15"/>
        <v>Subvenção CDE</v>
      </c>
      <c r="AT223" s="1055"/>
      <c r="AU223" s="1056">
        <f t="shared" ca="1" si="17"/>
        <v>-1599892.1389602604</v>
      </c>
      <c r="AV223" s="1054"/>
      <c r="AW223" s="1048">
        <f ca="1">AU223/Financeiros!$D$4</f>
        <v>-8.1116050554732907E-2</v>
      </c>
      <c r="AX223" s="1051"/>
      <c r="AY223" s="323">
        <f t="shared" ca="1" si="16"/>
        <v>1</v>
      </c>
    </row>
    <row r="224" spans="2:51" ht="15" hidden="1" customHeight="1">
      <c r="B224" s="348"/>
      <c r="C224" s="349"/>
      <c r="D224" s="349"/>
      <c r="E224" s="349"/>
      <c r="F224" s="350"/>
      <c r="G224" s="350"/>
      <c r="H224" s="350"/>
      <c r="AS224" s="1055" t="str">
        <f t="shared" si="15"/>
        <v>Retenção de Adicionais de Bandeiras Tarifárias</v>
      </c>
      <c r="AT224" s="1055"/>
      <c r="AU224" s="1056">
        <f t="shared" si="17"/>
        <v>0</v>
      </c>
      <c r="AV224" s="1054"/>
      <c r="AW224" s="1048">
        <f ca="1">AU224/Financeiros!$D$4</f>
        <v>0</v>
      </c>
      <c r="AX224" s="1051"/>
      <c r="AY224" s="323">
        <f t="shared" ca="1" si="16"/>
        <v>0</v>
      </c>
    </row>
    <row r="225" spans="2:61" ht="15" hidden="1" customHeight="1">
      <c r="B225" s="348"/>
      <c r="C225" s="349"/>
      <c r="D225" s="349"/>
      <c r="E225" s="349"/>
      <c r="F225" s="350"/>
      <c r="G225" s="350"/>
      <c r="H225" s="350"/>
      <c r="AS225" s="1055" t="str">
        <f t="shared" si="15"/>
        <v>Conta Covid-19</v>
      </c>
      <c r="AT225" s="1055"/>
      <c r="AU225" s="1056">
        <f t="shared" si="17"/>
        <v>0</v>
      </c>
      <c r="AV225" s="1054"/>
      <c r="AW225" s="1048">
        <f ca="1">AU225/Financeiros!$D$4</f>
        <v>0</v>
      </c>
      <c r="AX225" s="1051"/>
      <c r="AY225" s="323">
        <f t="shared" ca="1" si="16"/>
        <v>0</v>
      </c>
    </row>
    <row r="226" spans="2:61" ht="15" customHeight="1">
      <c r="B226" s="348"/>
      <c r="C226" s="349"/>
      <c r="D226" s="349"/>
      <c r="E226" s="349"/>
      <c r="F226" s="350"/>
      <c r="G226" s="350"/>
      <c r="H226" s="350"/>
      <c r="AS226" s="1055" t="str">
        <f t="shared" si="15"/>
        <v>Repasse de ICMS</v>
      </c>
      <c r="AT226" s="1055"/>
      <c r="AU226" s="1056">
        <f t="shared" si="17"/>
        <v>7.7741477922672155</v>
      </c>
      <c r="AV226" s="1054"/>
      <c r="AW226" s="1048">
        <f ca="1">AU226/Financeiros!$D$4</f>
        <v>3.9415667467891489E-7</v>
      </c>
      <c r="AX226" s="1051"/>
      <c r="AY226" s="323">
        <f t="shared" ca="1" si="16"/>
        <v>1</v>
      </c>
    </row>
    <row r="227" spans="2:61" ht="15" hidden="1" customHeight="1">
      <c r="B227" s="348"/>
      <c r="C227" s="349"/>
      <c r="D227" s="349"/>
      <c r="E227" s="349"/>
      <c r="F227" s="350"/>
      <c r="G227" s="350"/>
      <c r="H227" s="350"/>
      <c r="AS227" s="1055" t="str">
        <f t="shared" si="15"/>
        <v>Crédito Pis Cofins sobre ICMS</v>
      </c>
      <c r="AT227" s="1055"/>
      <c r="AU227" s="1056">
        <f t="shared" si="17"/>
        <v>0</v>
      </c>
      <c r="AV227" s="1054"/>
      <c r="AW227" s="1048">
        <f ca="1">AU227/Financeiros!$D$4</f>
        <v>0</v>
      </c>
      <c r="AX227" s="1051"/>
      <c r="AY227" s="1034">
        <f ca="1">IF(AW227=0,0,1)</f>
        <v>0</v>
      </c>
    </row>
    <row r="228" spans="2:61" ht="15" hidden="1" customHeight="1">
      <c r="B228" s="348"/>
      <c r="C228" s="349"/>
      <c r="D228" s="349"/>
      <c r="E228" s="349"/>
      <c r="F228" s="350"/>
      <c r="G228" s="350"/>
      <c r="H228" s="350"/>
      <c r="AS228" s="1055" t="str">
        <f t="shared" si="15"/>
        <v>Previsão de Risco Hidrologico</v>
      </c>
      <c r="AT228" s="1055"/>
      <c r="AU228" s="1056">
        <f t="shared" si="17"/>
        <v>0</v>
      </c>
      <c r="AV228" s="1054"/>
      <c r="AW228" s="1048">
        <f ca="1">AU228/Financeiros!$D$4</f>
        <v>0</v>
      </c>
      <c r="AX228" s="1051"/>
      <c r="AY228" s="1034">
        <f t="shared" ref="AY228:AY230" ca="1" si="18">IF(AW228=0,0,1)</f>
        <v>0</v>
      </c>
    </row>
    <row r="229" spans="2:61" ht="15" hidden="1" customHeight="1">
      <c r="B229" s="348"/>
      <c r="C229" s="349"/>
      <c r="D229" s="349"/>
      <c r="E229" s="349"/>
      <c r="F229" s="350"/>
      <c r="G229" s="350"/>
      <c r="H229" s="350"/>
      <c r="AS229" s="1055" t="str">
        <f t="shared" si="15"/>
        <v>Efeito COVID da Supridora</v>
      </c>
      <c r="AT229" s="1055"/>
      <c r="AU229" s="1056">
        <f t="shared" si="17"/>
        <v>0</v>
      </c>
      <c r="AV229" s="1054"/>
      <c r="AW229" s="1048">
        <f ca="1">AU229/Financeiros!$D$4</f>
        <v>0</v>
      </c>
      <c r="AX229" s="1051"/>
      <c r="AY229" s="1034">
        <f t="shared" ca="1" si="18"/>
        <v>0</v>
      </c>
    </row>
    <row r="230" spans="2:61" ht="15" hidden="1" customHeight="1">
      <c r="B230" s="348"/>
      <c r="C230" s="349"/>
      <c r="D230" s="349"/>
      <c r="E230" s="349"/>
      <c r="F230" s="350"/>
      <c r="G230" s="350"/>
      <c r="H230" s="350"/>
      <c r="AS230" s="1055" t="str">
        <f t="shared" si="15"/>
        <v>Diferimento Pis Cofins</v>
      </c>
      <c r="AT230" s="1055"/>
      <c r="AU230" s="1056">
        <f t="shared" si="17"/>
        <v>0</v>
      </c>
      <c r="AV230" s="1054"/>
      <c r="AW230" s="1048">
        <f ca="1">AU230/Financeiros!$D$4</f>
        <v>0</v>
      </c>
      <c r="AX230" s="1051"/>
      <c r="AY230" s="1034">
        <f t="shared" ca="1" si="18"/>
        <v>0</v>
      </c>
    </row>
    <row r="231" spans="2:61" ht="15" hidden="1" customHeight="1">
      <c r="B231" s="348"/>
      <c r="C231" s="349"/>
      <c r="D231" s="349"/>
      <c r="E231" s="349"/>
      <c r="F231" s="350"/>
      <c r="G231" s="350"/>
      <c r="H231" s="350"/>
      <c r="AS231" s="1055" t="str">
        <f t="shared" si="15"/>
        <v>Financeiros associados ao §7º do Art. 88 da Ren 414/2021</v>
      </c>
      <c r="AT231" s="1055"/>
      <c r="AU231" s="1056">
        <f t="shared" si="17"/>
        <v>0</v>
      </c>
      <c r="AV231" s="1054"/>
      <c r="AW231" s="1048">
        <f ca="1">AU231/Financeiros!$D$4</f>
        <v>0</v>
      </c>
      <c r="AX231" s="1051"/>
      <c r="AY231" s="1034">
        <f t="shared" ref="AY231:AY232" ca="1" si="19">IF(AW231=0,0,1)</f>
        <v>0</v>
      </c>
    </row>
    <row r="232" spans="2:61" ht="15" hidden="1" customHeight="1">
      <c r="B232" s="348"/>
      <c r="C232" s="349"/>
      <c r="D232" s="349"/>
      <c r="E232" s="349"/>
      <c r="F232" s="350"/>
      <c r="G232" s="350"/>
      <c r="H232" s="350"/>
      <c r="AS232" s="1055">
        <f t="shared" ref="AS232:AS234" si="20">AM180</f>
        <v>0</v>
      </c>
      <c r="AT232" s="1055"/>
      <c r="AU232" s="1056">
        <f t="shared" ref="AU232:AU234" si="21">AN180</f>
        <v>0</v>
      </c>
      <c r="AV232" s="1054"/>
      <c r="AW232" s="1048">
        <f ca="1">AU232/Financeiros!$D$4</f>
        <v>0</v>
      </c>
      <c r="AX232" s="1051"/>
      <c r="AY232" s="1034">
        <f t="shared" ca="1" si="19"/>
        <v>0</v>
      </c>
    </row>
    <row r="233" spans="2:61" ht="15" customHeight="1">
      <c r="B233" s="348"/>
      <c r="C233" s="349"/>
      <c r="D233" s="349"/>
      <c r="E233" s="349"/>
      <c r="F233" s="350"/>
      <c r="G233" s="350"/>
      <c r="H233" s="350"/>
      <c r="AS233" s="1055" t="str">
        <f t="shared" si="20"/>
        <v>Reversão Postergação Covid TUSD em 2021</v>
      </c>
      <c r="AT233" s="1055"/>
      <c r="AU233" s="1056">
        <f t="shared" si="21"/>
        <v>-28378.362367771737</v>
      </c>
      <c r="AV233" s="1054"/>
      <c r="AW233" s="1048">
        <f ca="1">AU233/Financeiros!$D$4</f>
        <v>-1.4388099175114953E-3</v>
      </c>
      <c r="AX233" s="1051"/>
      <c r="AY233" s="1044">
        <f t="shared" ref="AY233:AY234" ca="1" si="22">IF(AW233=0,0,1)</f>
        <v>1</v>
      </c>
    </row>
    <row r="234" spans="2:61" ht="15" customHeight="1">
      <c r="B234" s="348"/>
      <c r="C234" s="349"/>
      <c r="D234" s="349"/>
      <c r="E234" s="349"/>
      <c r="F234" s="350"/>
      <c r="G234" s="350"/>
      <c r="H234" s="350"/>
      <c r="AS234" s="1055" t="str">
        <f t="shared" si="20"/>
        <v>Reversão Postergação Covid TE em 2021</v>
      </c>
      <c r="AT234" s="1055"/>
      <c r="AU234" s="1056">
        <f t="shared" si="21"/>
        <v>21104.069183764557</v>
      </c>
      <c r="AV234" s="1054"/>
      <c r="AW234" s="1048">
        <f ca="1">AU234/Financeiros!$D$4</f>
        <v>1.0699963460870207E-3</v>
      </c>
      <c r="AX234" s="1051"/>
      <c r="AY234" s="1044">
        <f t="shared" ca="1" si="22"/>
        <v>1</v>
      </c>
    </row>
    <row r="235" spans="2:61" ht="15" customHeight="1">
      <c r="B235" s="348"/>
      <c r="C235" s="351"/>
      <c r="D235" s="351"/>
      <c r="E235" s="349"/>
      <c r="F235" s="350"/>
      <c r="G235" s="350"/>
      <c r="H235" s="350"/>
      <c r="AS235" s="1247" t="s">
        <v>922</v>
      </c>
      <c r="AT235" s="1247"/>
      <c r="AU235" s="1682">
        <f ca="1">SUM(AU217:AU234)</f>
        <v>-1100126.3068703734</v>
      </c>
      <c r="AV235" s="1253"/>
      <c r="AW235" s="1253">
        <f ca="1">ROUND(SUM(AW217:AW234),4)</f>
        <v>-5.5800000000000002E-2</v>
      </c>
      <c r="AX235" s="1253"/>
      <c r="AY235" s="323">
        <v>1</v>
      </c>
    </row>
    <row r="236" spans="2:61" ht="15" customHeight="1">
      <c r="B236" s="348"/>
      <c r="C236" s="349"/>
      <c r="D236" s="349"/>
      <c r="E236" s="349"/>
      <c r="F236" s="350"/>
      <c r="G236" s="350"/>
      <c r="H236" s="350"/>
      <c r="AS236" s="1254" t="str">
        <f>Resultado!B9</f>
        <v>Variação econômica e financeira</v>
      </c>
      <c r="AT236" s="1254"/>
      <c r="AU236" s="1254"/>
      <c r="AV236" s="1255"/>
      <c r="AW236" s="1255">
        <f ca="1">ROUND(AW214+AW235,4)</f>
        <v>0.19489999999999999</v>
      </c>
      <c r="AX236" s="1255"/>
      <c r="AY236" s="323">
        <v>1</v>
      </c>
    </row>
    <row r="237" spans="2:61" ht="15" customHeight="1">
      <c r="B237" s="348"/>
      <c r="C237" s="352"/>
      <c r="D237" s="348"/>
      <c r="E237" s="349"/>
      <c r="F237" s="350"/>
      <c r="G237" s="350"/>
      <c r="H237" s="353"/>
      <c r="AS237" s="1247" t="s">
        <v>923</v>
      </c>
      <c r="AT237" s="1247"/>
      <c r="AU237" s="1247"/>
      <c r="AV237" s="1247"/>
      <c r="AW237" s="1256">
        <f ca="1">ROUND(AW239-AW236,4)</f>
        <v>0.1197</v>
      </c>
      <c r="AX237" s="1256"/>
      <c r="AY237" s="323">
        <v>1</v>
      </c>
    </row>
    <row r="238" spans="2:61" ht="26.25" hidden="1" customHeight="1">
      <c r="B238" s="348"/>
      <c r="C238" s="352"/>
      <c r="D238" s="348"/>
      <c r="E238" s="349"/>
      <c r="F238" s="350"/>
      <c r="G238" s="350"/>
      <c r="H238" s="353"/>
      <c r="AS238" s="1257" t="s">
        <v>924</v>
      </c>
      <c r="AT238" s="1257"/>
      <c r="AU238" s="1252"/>
      <c r="AV238" s="1252"/>
      <c r="AW238" s="1258">
        <v>0</v>
      </c>
      <c r="AX238" s="1259"/>
      <c r="AY238" s="323">
        <f t="shared" si="14"/>
        <v>0</v>
      </c>
      <c r="BA238" s="808"/>
    </row>
    <row r="239" spans="2:61" ht="15" customHeight="1">
      <c r="B239" s="348"/>
      <c r="C239" s="352"/>
      <c r="D239" s="352"/>
      <c r="E239" s="349"/>
      <c r="F239" s="350"/>
      <c r="G239" s="350"/>
      <c r="H239" s="354"/>
      <c r="AS239" s="1719" t="s">
        <v>925</v>
      </c>
      <c r="AT239" s="1719"/>
      <c r="AU239" s="1719"/>
      <c r="AV239" s="1719"/>
      <c r="AW239" s="1255">
        <f>Resultado!L5</f>
        <v>0.31463538360296806</v>
      </c>
      <c r="AX239" s="1255"/>
      <c r="AY239" s="323"/>
    </row>
    <row r="240" spans="2:61" ht="15" customHeight="1">
      <c r="AW240" s="810">
        <v>-0.1116</v>
      </c>
      <c r="BA240" s="1236" t="s">
        <v>926</v>
      </c>
      <c r="BB240" s="30" t="s">
        <v>927</v>
      </c>
      <c r="BC240" s="30"/>
      <c r="BD240" s="30"/>
      <c r="BE240" s="30"/>
      <c r="BF240" s="30"/>
      <c r="BG240" s="30"/>
      <c r="BH240" s="308" t="s">
        <v>849</v>
      </c>
      <c r="BI240" s="308" t="s">
        <v>849</v>
      </c>
    </row>
    <row r="241" spans="2:84" ht="45" customHeight="1">
      <c r="AU241" s="426"/>
      <c r="BA241" s="1057" t="s">
        <v>928</v>
      </c>
      <c r="BB241" s="1057" t="str">
        <f>"Cobertura "&amp;YEAR(CAPA!C14)&amp;"/"&amp;YEAR(CAPA!C14)+1</f>
        <v>Cobertura 2021/2022</v>
      </c>
      <c r="BC241" s="1057" t="str">
        <f>"Cobertura "&amp;YEAR(CAPA!C14)&amp;"/"&amp;YEAR(CAPA!C14)+1&amp;" Atualizada"</f>
        <v>Cobertura 2021/2022 Atualizada</v>
      </c>
      <c r="BD241" s="1057" t="s">
        <v>929</v>
      </c>
      <c r="BE241" s="1057" t="s">
        <v>930</v>
      </c>
      <c r="BF241" s="1057" t="s">
        <v>931</v>
      </c>
      <c r="BG241" s="1057" t="str">
        <f>"Previsão "&amp;YEAR(CAPA!C14)+1&amp;"/"&amp;YEAR(CAPA!C14)+2</f>
        <v>Previsão 2022/2023</v>
      </c>
      <c r="BH241" s="1057" t="str">
        <f>"Previsão "&amp;YEAR(CAPA!C14)+1&amp;"/"&amp;YEAR(CAPA!C14)+2&amp;" + Diferença"</f>
        <v>Previsão 2022/2023 + Diferença</v>
      </c>
      <c r="BI241" s="355" t="str">
        <f>"Previsão "&amp;YEAR(CAPA!C14)+1&amp;"/"&amp;YEAR(CAPA!C14)+2&amp;" Atualizada"&amp;" + Diferença (Mensal)"</f>
        <v>Previsão 2022/2023 Atualizada + Diferença (Mensal)</v>
      </c>
      <c r="BJ241" s="421" t="s">
        <v>802</v>
      </c>
    </row>
    <row r="242" spans="2:84" ht="15" customHeight="1">
      <c r="B242" s="356"/>
      <c r="C242" s="356"/>
      <c r="D242" s="356"/>
      <c r="E242" s="356"/>
      <c r="BA242" s="449" t="str">
        <f>BO262</f>
        <v>Subsidio Carga Fonte Incentivda</v>
      </c>
      <c r="BB242" s="1058" t="e">
        <f>Indexador!#REF!</f>
        <v>#REF!</v>
      </c>
      <c r="BC242" s="1058" t="e">
        <f>Indexador!#REF!</f>
        <v>#REF!</v>
      </c>
      <c r="BD242" s="1058" t="e">
        <f>Indexador!#REF!</f>
        <v>#REF!</v>
      </c>
      <c r="BE242" s="1058" t="e">
        <f>Indexador!#REF!</f>
        <v>#REF!</v>
      </c>
      <c r="BF242" s="1058">
        <f>BP262</f>
        <v>-58984.392755160887</v>
      </c>
      <c r="BG242" s="1058">
        <f t="shared" ref="BG242:BH247" si="23">BQ262</f>
        <v>496919.08139447984</v>
      </c>
      <c r="BH242" s="1058">
        <f t="shared" si="23"/>
        <v>437934.68863931898</v>
      </c>
      <c r="BI242" s="357" t="e">
        <f>Indexador!#REF!</f>
        <v>#REF!</v>
      </c>
      <c r="BJ242" s="338">
        <f t="shared" ref="BJ242:BJ248" si="24">IF(BH242=0,0,1)</f>
        <v>1</v>
      </c>
    </row>
    <row r="243" spans="2:84" ht="15" hidden="1" customHeight="1">
      <c r="B243" s="348"/>
      <c r="C243" s="349"/>
      <c r="D243" s="349"/>
      <c r="E243" s="21"/>
      <c r="AZ243" s="358"/>
      <c r="BA243" s="449" t="str">
        <f t="shared" ref="BA243:BA247" si="25">BO263</f>
        <v>Subsidio Geração Fonte Incentivda</v>
      </c>
      <c r="BB243" s="1058" t="e">
        <f>Indexador!#REF!</f>
        <v>#REF!</v>
      </c>
      <c r="BC243" s="1058" t="e">
        <f>Indexador!#REF!</f>
        <v>#REF!</v>
      </c>
      <c r="BD243" s="1058" t="e">
        <f>Indexador!#REF!</f>
        <v>#REF!</v>
      </c>
      <c r="BE243" s="1058" t="e">
        <f>Indexador!#REF!</f>
        <v>#REF!</v>
      </c>
      <c r="BF243" s="1059">
        <f t="shared" ref="BF243:BF247" si="26">BP263</f>
        <v>0</v>
      </c>
      <c r="BG243" s="1059">
        <f t="shared" si="23"/>
        <v>0</v>
      </c>
      <c r="BH243" s="1059">
        <f t="shared" si="23"/>
        <v>0</v>
      </c>
      <c r="BI243" s="357" t="e">
        <f>Indexador!#REF!</f>
        <v>#REF!</v>
      </c>
      <c r="BJ243" s="338">
        <f t="shared" si="24"/>
        <v>0</v>
      </c>
      <c r="BK243" s="359"/>
      <c r="BL243" s="359"/>
      <c r="BM243" s="359"/>
      <c r="BN243" s="359"/>
      <c r="BO243" s="359"/>
      <c r="BP243" s="359"/>
      <c r="BQ243" s="359"/>
      <c r="BR243" s="359"/>
      <c r="BS243" s="359"/>
      <c r="BT243" s="359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</row>
    <row r="244" spans="2:84" ht="15" hidden="1" customHeight="1">
      <c r="B244" s="348"/>
      <c r="C244" s="349"/>
      <c r="D244" s="349"/>
      <c r="E244" s="21"/>
      <c r="AZ244" s="358"/>
      <c r="BA244" s="449" t="str">
        <f t="shared" si="25"/>
        <v>Subsidio Distribuição</v>
      </c>
      <c r="BB244" s="1058" t="e">
        <f>Indexador!#REF!</f>
        <v>#REF!</v>
      </c>
      <c r="BC244" s="1058" t="e">
        <f>Indexador!#REF!</f>
        <v>#REF!</v>
      </c>
      <c r="BD244" s="1058" t="e">
        <f>Indexador!#REF!</f>
        <v>#REF!</v>
      </c>
      <c r="BE244" s="1058" t="e">
        <f>Indexador!#REF!</f>
        <v>#REF!</v>
      </c>
      <c r="BF244" s="1059">
        <f t="shared" si="26"/>
        <v>0</v>
      </c>
      <c r="BG244" s="1059">
        <f t="shared" si="23"/>
        <v>0</v>
      </c>
      <c r="BH244" s="1059">
        <f t="shared" si="23"/>
        <v>0</v>
      </c>
      <c r="BI244" s="357" t="e">
        <f>Indexador!#REF!</f>
        <v>#REF!</v>
      </c>
      <c r="BJ244" s="338">
        <f t="shared" si="24"/>
        <v>0</v>
      </c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</row>
    <row r="245" spans="2:84" ht="15" customHeight="1">
      <c r="B245" s="348"/>
      <c r="D245" s="22"/>
      <c r="AW245" s="25"/>
      <c r="AZ245" s="358"/>
      <c r="BA245" s="449" t="str">
        <f t="shared" si="25"/>
        <v>Subsidio Água, Esgoto e Saneamento</v>
      </c>
      <c r="BB245" s="1058" t="e">
        <f>Indexador!#REF!</f>
        <v>#REF!</v>
      </c>
      <c r="BC245" s="1058" t="e">
        <f>Indexador!#REF!</f>
        <v>#REF!</v>
      </c>
      <c r="BD245" s="1058" t="e">
        <f>Indexador!#REF!</f>
        <v>#REF!</v>
      </c>
      <c r="BE245" s="1058" t="e">
        <f>Indexador!#REF!</f>
        <v>#REF!</v>
      </c>
      <c r="BF245" s="1059">
        <f t="shared" si="26"/>
        <v>553.38908645883168</v>
      </c>
      <c r="BG245" s="1059">
        <f t="shared" si="23"/>
        <v>1609.7814360271384</v>
      </c>
      <c r="BH245" s="1059">
        <f t="shared" si="23"/>
        <v>2163.1705224859702</v>
      </c>
      <c r="BI245" s="357" t="e">
        <f>Indexador!#REF!</f>
        <v>#REF!</v>
      </c>
      <c r="BJ245" s="338">
        <f t="shared" si="24"/>
        <v>1</v>
      </c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</row>
    <row r="246" spans="2:84" ht="15" customHeight="1">
      <c r="B246" s="348"/>
      <c r="C246" s="349"/>
      <c r="D246" s="349"/>
      <c r="E246" s="21"/>
      <c r="AU246" s="426"/>
      <c r="AZ246" s="358"/>
      <c r="BA246" s="449" t="str">
        <f t="shared" si="25"/>
        <v>Subsidio Rural</v>
      </c>
      <c r="BB246" s="1058" t="e">
        <f>Indexador!#REF!</f>
        <v>#REF!</v>
      </c>
      <c r="BC246" s="1058" t="e">
        <f>Indexador!#REF!</f>
        <v>#REF!</v>
      </c>
      <c r="BD246" s="1058" t="e">
        <f>Indexador!#REF!</f>
        <v>#REF!</v>
      </c>
      <c r="BE246" s="1058" t="e">
        <f>Indexador!#REF!</f>
        <v>#REF!</v>
      </c>
      <c r="BF246" s="1059">
        <f t="shared" si="26"/>
        <v>519.17122713363403</v>
      </c>
      <c r="BG246" s="1059">
        <f t="shared" si="23"/>
        <v>23321.285061089744</v>
      </c>
      <c r="BH246" s="1059">
        <f t="shared" si="23"/>
        <v>23840.456288223377</v>
      </c>
      <c r="BI246" s="357" t="e">
        <f>Indexador!#REF!</f>
        <v>#REF!</v>
      </c>
      <c r="BJ246" s="338">
        <f t="shared" si="24"/>
        <v>1</v>
      </c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</row>
    <row r="247" spans="2:84" ht="15" customHeight="1">
      <c r="AU247" s="426"/>
      <c r="AZ247" s="358"/>
      <c r="BA247" s="449" t="str">
        <f t="shared" si="25"/>
        <v>Subsidio - Irrigante/Aquicultor</v>
      </c>
      <c r="BB247" s="1058" t="e">
        <f>Indexador!#REF!</f>
        <v>#REF!</v>
      </c>
      <c r="BC247" s="1058" t="e">
        <f>Indexador!#REF!</f>
        <v>#REF!</v>
      </c>
      <c r="BD247" s="1058" t="e">
        <f>Indexador!#REF!</f>
        <v>#REF!</v>
      </c>
      <c r="BE247" s="1058" t="e">
        <f>Indexador!#REF!</f>
        <v>#REF!</v>
      </c>
      <c r="BF247" s="1059">
        <f t="shared" si="26"/>
        <v>657.88851179619212</v>
      </c>
      <c r="BG247" s="1059">
        <f t="shared" si="23"/>
        <v>9925.5886684305151</v>
      </c>
      <c r="BH247" s="1059">
        <f t="shared" si="23"/>
        <v>10583.477180226708</v>
      </c>
      <c r="BI247" s="357" t="e">
        <f>Indexador!#REF!</f>
        <v>#REF!</v>
      </c>
      <c r="BJ247" s="338">
        <f t="shared" si="24"/>
        <v>1</v>
      </c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</row>
    <row r="248" spans="2:84" ht="15" customHeight="1">
      <c r="AU248" s="426"/>
      <c r="AW248" s="426"/>
      <c r="AZ248" s="358"/>
      <c r="BA248" s="1247" t="s">
        <v>836</v>
      </c>
      <c r="BB248" s="1260" t="e">
        <f t="shared" ref="BB248:BI248" si="27">SUM(BB242:BB247)</f>
        <v>#REF!</v>
      </c>
      <c r="BC248" s="1260" t="e">
        <f t="shared" si="27"/>
        <v>#REF!</v>
      </c>
      <c r="BD248" s="1260" t="e">
        <f t="shared" si="27"/>
        <v>#REF!</v>
      </c>
      <c r="BE248" s="1260" t="e">
        <f t="shared" si="27"/>
        <v>#REF!</v>
      </c>
      <c r="BF248" s="1261">
        <f t="shared" si="27"/>
        <v>-57253.943929772227</v>
      </c>
      <c r="BG248" s="1261">
        <f t="shared" si="27"/>
        <v>531775.73656002723</v>
      </c>
      <c r="BH248" s="1261">
        <f t="shared" si="27"/>
        <v>474521.79263025505</v>
      </c>
      <c r="BI248" s="1262" t="e">
        <f t="shared" si="27"/>
        <v>#REF!</v>
      </c>
      <c r="BJ248" s="340">
        <f t="shared" si="24"/>
        <v>1</v>
      </c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</row>
    <row r="249" spans="2:84" ht="15" customHeight="1">
      <c r="B249" s="356"/>
      <c r="C249" s="356"/>
      <c r="AZ249" s="358"/>
      <c r="BC249" s="358"/>
      <c r="BD249" s="358"/>
      <c r="BE249" s="358"/>
      <c r="BF249" s="358"/>
      <c r="BG249" s="358"/>
      <c r="BH249" s="358"/>
      <c r="BI249" s="358"/>
      <c r="BK249" s="1236" t="s">
        <v>703</v>
      </c>
      <c r="BL249" s="358"/>
      <c r="BM249" s="308" t="s">
        <v>849</v>
      </c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</row>
    <row r="250" spans="2:84" ht="15" customHeight="1">
      <c r="B250" s="312"/>
      <c r="C250" s="312"/>
      <c r="AZ250" s="358"/>
      <c r="BC250" s="358"/>
      <c r="BD250" s="358"/>
      <c r="BE250" s="358"/>
      <c r="BF250" s="358"/>
      <c r="BG250" s="358"/>
      <c r="BH250" s="358"/>
      <c r="BI250" s="358"/>
      <c r="BJ250" s="358"/>
      <c r="BK250" s="1263" t="s">
        <v>932</v>
      </c>
      <c r="BL250" s="1263" t="s">
        <v>869</v>
      </c>
      <c r="BM250" s="1263" t="s">
        <v>909</v>
      </c>
      <c r="BN250" s="475" t="s">
        <v>802</v>
      </c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</row>
    <row r="251" spans="2:84" ht="15" hidden="1" customHeight="1">
      <c r="B251" s="312"/>
      <c r="C251" s="312"/>
      <c r="AZ251" s="358"/>
      <c r="BC251" s="358"/>
      <c r="BD251" s="358"/>
      <c r="BE251" s="358"/>
      <c r="BF251" s="358"/>
      <c r="BG251" s="358"/>
      <c r="BH251" s="358"/>
      <c r="BI251" s="358"/>
      <c r="BJ251" s="358"/>
      <c r="BK251" s="65" t="s">
        <v>703</v>
      </c>
      <c r="BL251" s="360">
        <f ca="1">Resultado!C25</f>
        <v>0</v>
      </c>
      <c r="BM251" s="360">
        <f>Resultado!D25</f>
        <v>0</v>
      </c>
      <c r="BN251" s="338">
        <f t="shared" ref="BN251:BN258" si="28">IF(BM251=0,0,1)</f>
        <v>0</v>
      </c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</row>
    <row r="252" spans="2:84" ht="15" hidden="1" customHeight="1">
      <c r="B252" s="312"/>
      <c r="C252" s="312"/>
      <c r="AZ252" s="358"/>
      <c r="BC252" s="358"/>
      <c r="BD252" s="358"/>
      <c r="BE252" s="358"/>
      <c r="BF252" s="358"/>
      <c r="BG252" s="358"/>
      <c r="BH252" s="358"/>
      <c r="BI252" s="358"/>
      <c r="BJ252" s="358"/>
      <c r="BK252" s="65" t="s">
        <v>705</v>
      </c>
      <c r="BL252" s="360">
        <f ca="1">Resultado!C26</f>
        <v>0</v>
      </c>
      <c r="BM252" s="360">
        <f>Resultado!D26</f>
        <v>0</v>
      </c>
      <c r="BN252" s="338">
        <f t="shared" si="28"/>
        <v>0</v>
      </c>
      <c r="BO252" s="358"/>
      <c r="BP252" s="358"/>
      <c r="BQ252" s="358"/>
      <c r="BR252" s="358"/>
      <c r="BS252" s="358"/>
      <c r="BT252" s="358"/>
      <c r="BU252" s="358"/>
      <c r="BV252" s="358"/>
      <c r="BW252" s="358"/>
      <c r="BX252" s="358"/>
      <c r="BY252" s="358"/>
      <c r="BZ252" s="358"/>
      <c r="CA252" s="358"/>
      <c r="CB252" s="358"/>
      <c r="CC252" s="358"/>
      <c r="CD252" s="358"/>
      <c r="CE252" s="358"/>
      <c r="CF252" s="358"/>
    </row>
    <row r="253" spans="2:84" ht="15" hidden="1" customHeight="1">
      <c r="B253" s="312"/>
      <c r="C253" s="312"/>
      <c r="H253" s="23"/>
      <c r="AZ253" s="358"/>
      <c r="BC253" s="358"/>
      <c r="BD253" s="358"/>
      <c r="BE253" s="358"/>
      <c r="BF253" s="358"/>
      <c r="BG253" s="358"/>
      <c r="BH253" s="358"/>
      <c r="BI253" s="358"/>
      <c r="BJ253" s="358"/>
      <c r="BK253" s="65" t="s">
        <v>794</v>
      </c>
      <c r="BL253" s="360"/>
      <c r="BM253" s="360"/>
      <c r="BN253" s="338">
        <f t="shared" si="28"/>
        <v>0</v>
      </c>
      <c r="BO253" s="358"/>
      <c r="BP253" s="358"/>
      <c r="BQ253" s="358"/>
      <c r="BR253" s="358"/>
      <c r="BS253" s="358"/>
      <c r="BT253" s="358"/>
      <c r="BU253" s="358"/>
      <c r="BV253" s="358"/>
      <c r="BW253" s="358"/>
      <c r="BX253" s="358"/>
      <c r="BY253" s="358"/>
      <c r="BZ253" s="358"/>
      <c r="CA253" s="358"/>
      <c r="CB253" s="358"/>
      <c r="CC253" s="358"/>
      <c r="CD253" s="358"/>
      <c r="CE253" s="358"/>
      <c r="CF253" s="358"/>
    </row>
    <row r="254" spans="2:84" ht="15" hidden="1" customHeight="1">
      <c r="B254" s="312"/>
      <c r="C254" s="312"/>
      <c r="H254" s="23"/>
      <c r="AZ254" s="358"/>
      <c r="BC254" s="358"/>
      <c r="BD254" s="358"/>
      <c r="BE254" s="358"/>
      <c r="BF254" s="358"/>
      <c r="BG254" s="358"/>
      <c r="BH254" s="358"/>
      <c r="BI254" s="358"/>
      <c r="BJ254" s="358"/>
      <c r="BK254" s="65" t="s">
        <v>795</v>
      </c>
      <c r="BL254" s="360"/>
      <c r="BM254" s="360"/>
      <c r="BN254" s="338">
        <f t="shared" si="28"/>
        <v>0</v>
      </c>
      <c r="BO254" s="358"/>
      <c r="BP254" s="358"/>
      <c r="BQ254" s="358"/>
      <c r="BR254" s="358"/>
      <c r="BS254" s="358"/>
      <c r="BT254" s="358"/>
      <c r="BU254" s="358"/>
      <c r="BV254" s="358"/>
      <c r="BW254" s="358"/>
      <c r="BX254" s="358"/>
      <c r="BY254" s="358"/>
      <c r="BZ254" s="358"/>
      <c r="CA254" s="358"/>
      <c r="CB254" s="358"/>
      <c r="CC254" s="358"/>
      <c r="CD254" s="358"/>
      <c r="CE254" s="358"/>
      <c r="CF254" s="358"/>
    </row>
    <row r="255" spans="2:84" ht="15" hidden="1" customHeight="1">
      <c r="B255" s="312"/>
      <c r="C255" s="312"/>
      <c r="H255" s="23"/>
      <c r="AZ255" s="358"/>
      <c r="BC255" s="358"/>
      <c r="BD255" s="358"/>
      <c r="BE255" s="358"/>
      <c r="BF255" s="358"/>
      <c r="BG255" s="358"/>
      <c r="BH255" s="358"/>
      <c r="BI255" s="358"/>
      <c r="BJ255" s="358"/>
      <c r="BK255" s="65" t="s">
        <v>796</v>
      </c>
      <c r="BL255" s="360"/>
      <c r="BM255" s="360"/>
      <c r="BN255" s="338">
        <f t="shared" si="28"/>
        <v>0</v>
      </c>
      <c r="BO255" s="358"/>
      <c r="BP255" s="358"/>
      <c r="BQ255" s="358"/>
      <c r="BR255" s="358"/>
      <c r="BS255" s="358"/>
      <c r="BT255" s="358"/>
      <c r="BU255" s="358"/>
      <c r="BV255" s="358"/>
      <c r="BW255" s="358"/>
      <c r="BX255" s="358"/>
      <c r="BY255" s="358"/>
      <c r="BZ255" s="358"/>
      <c r="CA255" s="358"/>
      <c r="CB255" s="358"/>
      <c r="CC255" s="358"/>
      <c r="CD255" s="358"/>
      <c r="CE255" s="358"/>
      <c r="CF255" s="358"/>
    </row>
    <row r="256" spans="2:84" ht="15" hidden="1" customHeight="1">
      <c r="B256" s="312"/>
      <c r="C256" s="312"/>
      <c r="H256" s="23"/>
      <c r="AZ256" s="358"/>
      <c r="BC256" s="358"/>
      <c r="BD256" s="358"/>
      <c r="BE256" s="358"/>
      <c r="BF256" s="358"/>
      <c r="BG256" s="358"/>
      <c r="BH256" s="358"/>
      <c r="BI256" s="358"/>
      <c r="BJ256" s="358"/>
      <c r="BK256" s="65" t="s">
        <v>797</v>
      </c>
      <c r="BL256" s="360"/>
      <c r="BM256" s="360"/>
      <c r="BN256" s="338">
        <f t="shared" si="28"/>
        <v>0</v>
      </c>
      <c r="BO256" s="358"/>
      <c r="BP256" s="358"/>
      <c r="BQ256" s="358"/>
      <c r="BR256" s="358"/>
      <c r="BS256" s="358"/>
      <c r="BT256" s="358"/>
      <c r="BU256" s="358"/>
      <c r="BV256" s="358"/>
      <c r="BW256" s="358"/>
      <c r="BX256" s="358"/>
      <c r="BY256" s="358"/>
      <c r="BZ256" s="358"/>
      <c r="CA256" s="358"/>
      <c r="CB256" s="358"/>
      <c r="CC256" s="358"/>
      <c r="CD256" s="358"/>
      <c r="CE256" s="358"/>
      <c r="CF256" s="358"/>
    </row>
    <row r="257" spans="2:84" ht="15" hidden="1" customHeight="1">
      <c r="B257" s="312"/>
      <c r="C257" s="312"/>
      <c r="H257" s="23"/>
      <c r="AZ257" s="358"/>
      <c r="BC257" s="358"/>
      <c r="BD257" s="358"/>
      <c r="BE257" s="358"/>
      <c r="BF257" s="358"/>
      <c r="BG257" s="358"/>
      <c r="BH257" s="358"/>
      <c r="BI257" s="358"/>
      <c r="BJ257" s="358"/>
      <c r="BK257" s="65" t="s">
        <v>706</v>
      </c>
      <c r="BL257" s="360">
        <f ca="1">Resultado!C31</f>
        <v>0</v>
      </c>
      <c r="BM257" s="360">
        <f>Resultado!D31</f>
        <v>0</v>
      </c>
      <c r="BN257" s="338">
        <f t="shared" si="28"/>
        <v>0</v>
      </c>
      <c r="BO257" s="358"/>
      <c r="BP257" s="358"/>
      <c r="BQ257" s="358"/>
      <c r="BR257" s="358"/>
      <c r="BS257" s="358"/>
      <c r="BT257" s="358"/>
      <c r="BU257" s="358"/>
      <c r="BV257" s="358"/>
      <c r="BW257" s="358"/>
      <c r="BX257" s="358"/>
      <c r="BY257" s="358"/>
      <c r="BZ257" s="358"/>
      <c r="CA257" s="358"/>
      <c r="CB257" s="358"/>
      <c r="CC257" s="358"/>
      <c r="CD257" s="358"/>
      <c r="CE257" s="358"/>
      <c r="CF257" s="358"/>
    </row>
    <row r="258" spans="2:84" ht="15" hidden="1" customHeight="1">
      <c r="B258" s="312"/>
      <c r="C258" s="312"/>
      <c r="H258" s="23"/>
      <c r="AZ258" s="358"/>
      <c r="BC258" s="358"/>
      <c r="BD258" s="358"/>
      <c r="BE258" s="358"/>
      <c r="BF258" s="358"/>
      <c r="BG258" s="358"/>
      <c r="BH258" s="358"/>
      <c r="BI258" s="358"/>
      <c r="BJ258" s="358"/>
      <c r="BK258" s="65" t="s">
        <v>707</v>
      </c>
      <c r="BL258" s="360">
        <f>Resultado!DJ283</f>
        <v>0</v>
      </c>
      <c r="BM258" s="360">
        <f>Resultado!DK283</f>
        <v>0</v>
      </c>
      <c r="BN258" s="340">
        <f t="shared" si="28"/>
        <v>0</v>
      </c>
      <c r="BO258" s="358"/>
      <c r="BP258" s="358"/>
      <c r="BQ258" s="358"/>
      <c r="BR258" s="358"/>
      <c r="BS258" s="358"/>
      <c r="BT258" s="358"/>
      <c r="BU258" s="358"/>
      <c r="BV258" s="358"/>
      <c r="BW258" s="358"/>
      <c r="BX258" s="358"/>
      <c r="BY258" s="358"/>
      <c r="BZ258" s="358"/>
      <c r="CA258" s="358"/>
      <c r="CB258" s="358"/>
      <c r="CC258" s="358"/>
      <c r="CD258" s="358"/>
      <c r="CE258" s="358"/>
      <c r="CF258" s="358"/>
    </row>
    <row r="259" spans="2:84" ht="15" customHeight="1">
      <c r="B259" s="312"/>
      <c r="C259" s="312"/>
      <c r="H259" s="23"/>
      <c r="AU259" s="315"/>
      <c r="AZ259" s="358"/>
      <c r="BA259" s="358"/>
      <c r="BB259" s="358"/>
      <c r="BC259" s="358"/>
      <c r="BD259" s="358"/>
      <c r="BE259" s="358"/>
      <c r="BF259" s="358"/>
      <c r="BG259" s="358"/>
      <c r="BH259" s="358"/>
      <c r="BI259" s="358"/>
      <c r="BJ259" s="358"/>
      <c r="BK259" s="1264" t="s">
        <v>933</v>
      </c>
      <c r="BL259" s="1262">
        <f ca="1">SUM(BL251:BL258)</f>
        <v>0</v>
      </c>
      <c r="BM259" s="1262">
        <f>SUM(BM251:BM258)</f>
        <v>0</v>
      </c>
      <c r="BN259" s="338">
        <f ca="1">IF(BL259=0,0,1)</f>
        <v>0</v>
      </c>
      <c r="BO259" s="1236" t="s">
        <v>934</v>
      </c>
      <c r="BP259" s="358"/>
      <c r="BQ259" s="358"/>
      <c r="BR259" s="308" t="s">
        <v>849</v>
      </c>
      <c r="BS259" s="358"/>
      <c r="BT259" s="358"/>
      <c r="BU259" s="358"/>
      <c r="BV259" s="358"/>
      <c r="BW259" s="358"/>
      <c r="BX259" s="358"/>
      <c r="BY259" s="358"/>
      <c r="BZ259" s="358"/>
      <c r="CA259" s="358"/>
      <c r="CB259" s="358"/>
      <c r="CC259" s="358"/>
      <c r="CD259" s="358"/>
      <c r="CE259" s="358"/>
      <c r="CF259" s="358"/>
    </row>
    <row r="260" spans="2:84" ht="15" customHeight="1">
      <c r="B260" s="312"/>
      <c r="C260" s="312"/>
      <c r="H260" s="23"/>
      <c r="AZ260" s="358"/>
      <c r="BA260" s="358"/>
      <c r="BB260" s="358"/>
      <c r="BC260" s="358"/>
      <c r="BD260" s="358"/>
      <c r="BE260" s="358"/>
      <c r="BF260" s="358"/>
      <c r="BG260" s="358"/>
      <c r="BH260" s="358"/>
      <c r="BI260" s="358"/>
      <c r="BJ260" s="358"/>
      <c r="BN260" s="358"/>
      <c r="BO260" s="361" t="str">
        <f>"TABELA 9 – VALOR MENSAL DA SUBVENÇÃO DA CDE PARA CUSTEAR DESCONTOS TARIFÁRIOS ("&amp;LnkTXTSigla&amp;")."</f>
        <v>TABELA 9 – VALOR MENSAL DA SUBVENÇÃO DA CDE PARA CUSTEAR DESCONTOS TARIFÁRIOS (Cerpro).</v>
      </c>
      <c r="BP260" s="362"/>
      <c r="BQ260" s="362"/>
      <c r="BR260" s="362"/>
      <c r="BS260" s="290"/>
      <c r="BU260" s="358"/>
      <c r="BV260" s="358"/>
      <c r="BW260" s="358"/>
      <c r="BX260" s="358"/>
      <c r="BY260" s="358"/>
      <c r="BZ260" s="358"/>
      <c r="CA260" s="358"/>
      <c r="CB260" s="358"/>
      <c r="CC260" s="358"/>
      <c r="CD260" s="358"/>
      <c r="CE260" s="358"/>
      <c r="CF260" s="358"/>
    </row>
    <row r="261" spans="2:84" ht="12.75">
      <c r="B261" s="312"/>
      <c r="C261" s="312"/>
      <c r="H261" s="23"/>
      <c r="AZ261" s="358"/>
      <c r="BA261" s="358"/>
      <c r="BB261" s="358"/>
      <c r="BC261" s="358"/>
      <c r="BD261" s="358"/>
      <c r="BE261" s="358"/>
      <c r="BF261" s="358"/>
      <c r="BG261" s="358"/>
      <c r="BH261" s="358"/>
      <c r="BI261" s="358"/>
      <c r="BJ261" s="358"/>
      <c r="BN261" s="358"/>
      <c r="BO261" s="1265" t="s">
        <v>935</v>
      </c>
      <c r="BP261" s="1265" t="s">
        <v>936</v>
      </c>
      <c r="BQ261" s="1265" t="s">
        <v>937</v>
      </c>
      <c r="BR261" s="1266" t="s">
        <v>938</v>
      </c>
      <c r="BS261" s="414" t="s">
        <v>802</v>
      </c>
      <c r="BU261" s="358"/>
      <c r="BV261" s="358"/>
      <c r="BW261" s="308" t="s">
        <v>849</v>
      </c>
      <c r="BX261" s="358"/>
      <c r="BY261" s="358"/>
      <c r="BZ261" s="358"/>
      <c r="CA261" s="358"/>
      <c r="CB261" s="358"/>
      <c r="CC261" s="358"/>
      <c r="CD261" s="358"/>
      <c r="CE261" s="358"/>
      <c r="CF261" s="358"/>
    </row>
    <row r="262" spans="2:84" ht="12.75">
      <c r="B262" s="312"/>
      <c r="C262" s="312"/>
      <c r="H262" s="23"/>
      <c r="AU262" s="426"/>
      <c r="AZ262" s="358"/>
      <c r="BA262" s="358"/>
      <c r="BB262" s="358"/>
      <c r="BC262" s="358"/>
      <c r="BD262" s="358"/>
      <c r="BE262" s="358"/>
      <c r="BF262" s="358"/>
      <c r="BG262" s="358"/>
      <c r="BH262" s="358"/>
      <c r="BI262" s="358"/>
      <c r="BJ262" s="358"/>
      <c r="BK262" s="358"/>
      <c r="BL262" s="358"/>
      <c r="BM262" s="358"/>
      <c r="BN262" s="358"/>
      <c r="BO262" s="1267" t="s">
        <v>939</v>
      </c>
      <c r="BP262" s="1268">
        <f>IFERROR(Aj.Subsídio!L5,0)</f>
        <v>-58984.392755160887</v>
      </c>
      <c r="BQ262" s="1268">
        <f>IFERROR(Aj.Subsídio!M5,0)</f>
        <v>496919.08139447984</v>
      </c>
      <c r="BR262" s="1268">
        <f t="shared" ref="BR262:BR268" si="29">BP262+BQ262</f>
        <v>437934.68863931898</v>
      </c>
      <c r="BS262" s="415">
        <f t="shared" ref="BS262:BS268" si="30">IF(BR262=0,0,1)</f>
        <v>1</v>
      </c>
      <c r="BU262" s="358"/>
      <c r="BV262" s="358"/>
      <c r="BW262" s="358"/>
      <c r="BX262" s="358"/>
      <c r="BY262" s="358"/>
      <c r="BZ262" s="358"/>
      <c r="CA262" s="358"/>
      <c r="CB262" s="358"/>
      <c r="CC262" s="358"/>
      <c r="CD262" s="358"/>
      <c r="CE262" s="358"/>
      <c r="CF262" s="358"/>
    </row>
    <row r="263" spans="2:84" ht="12.75">
      <c r="B263" s="312"/>
      <c r="C263" s="312"/>
      <c r="H263" s="23"/>
      <c r="AZ263" s="358"/>
      <c r="BA263" s="358"/>
      <c r="BB263" s="358"/>
      <c r="BC263" s="358"/>
      <c r="BD263" s="358"/>
      <c r="BE263" s="358"/>
      <c r="BF263" s="358"/>
      <c r="BG263" s="358"/>
      <c r="BH263" s="358"/>
      <c r="BI263" s="358"/>
      <c r="BJ263" s="358"/>
      <c r="BK263" s="358"/>
      <c r="BL263" s="358"/>
      <c r="BM263" s="358"/>
      <c r="BN263" s="358"/>
      <c r="BO263" s="1267" t="s">
        <v>940</v>
      </c>
      <c r="BP263" s="1268">
        <f>IFERROR(Aj.Subsídio!L6,0)</f>
        <v>0</v>
      </c>
      <c r="BQ263" s="1268">
        <f>IFERROR(Aj.Subsídio!M6,0)</f>
        <v>0</v>
      </c>
      <c r="BR263" s="1269">
        <f t="shared" si="29"/>
        <v>0</v>
      </c>
      <c r="BS263" s="363">
        <f t="shared" si="30"/>
        <v>0</v>
      </c>
      <c r="BU263" s="358"/>
      <c r="BV263" s="358"/>
      <c r="BW263" s="358"/>
      <c r="BX263" s="358"/>
      <c r="BY263" s="358"/>
      <c r="BZ263" s="358"/>
      <c r="CA263" s="358"/>
      <c r="CB263" s="358"/>
      <c r="CC263" s="358"/>
      <c r="CD263" s="358"/>
      <c r="CE263" s="358"/>
      <c r="CF263" s="358"/>
    </row>
    <row r="264" spans="2:84" ht="12.75">
      <c r="B264" s="312"/>
      <c r="C264" s="312"/>
      <c r="H264" s="23"/>
      <c r="AZ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1267" t="s">
        <v>941</v>
      </c>
      <c r="BP264" s="1268">
        <f>IFERROR(Aj.Subsídio!L7,0)</f>
        <v>0</v>
      </c>
      <c r="BQ264" s="1268">
        <f>IFERROR(Aj.Subsídio!M7,0)</f>
        <v>0</v>
      </c>
      <c r="BR264" s="1269">
        <f t="shared" si="29"/>
        <v>0</v>
      </c>
      <c r="BS264" s="363">
        <f t="shared" si="30"/>
        <v>0</v>
      </c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</row>
    <row r="265" spans="2:84" ht="12.75">
      <c r="B265" s="312"/>
      <c r="C265" s="312"/>
      <c r="H265" s="23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1267" t="s">
        <v>942</v>
      </c>
      <c r="BP265" s="1268">
        <f>IFERROR(Aj.Subsídio!L8,0)</f>
        <v>553.38908645883168</v>
      </c>
      <c r="BQ265" s="1268">
        <f>IFERROR(Aj.Subsídio!M8,0)</f>
        <v>1609.7814360271384</v>
      </c>
      <c r="BR265" s="1269">
        <f t="shared" si="29"/>
        <v>2163.1705224859702</v>
      </c>
      <c r="BS265" s="363">
        <f t="shared" si="30"/>
        <v>1</v>
      </c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</row>
    <row r="266" spans="2:84" ht="12.75">
      <c r="B266" s="312"/>
      <c r="C266" s="312"/>
      <c r="H266" s="23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1267" t="s">
        <v>943</v>
      </c>
      <c r="BP266" s="1268">
        <f>IFERROR(Aj.Subsídio!L9,0)</f>
        <v>519.17122713363403</v>
      </c>
      <c r="BQ266" s="1268">
        <f>IFERROR(Aj.Subsídio!M9,0)</f>
        <v>23321.285061089744</v>
      </c>
      <c r="BR266" s="1269">
        <f t="shared" si="29"/>
        <v>23840.456288223377</v>
      </c>
      <c r="BS266" s="363">
        <f t="shared" si="30"/>
        <v>1</v>
      </c>
      <c r="BU266" s="358"/>
      <c r="BV266" s="358"/>
      <c r="BW266" s="358"/>
      <c r="BX266" s="358"/>
      <c r="BY266" s="359"/>
      <c r="BZ266" s="359"/>
      <c r="CA266" s="359"/>
      <c r="CB266" s="359"/>
      <c r="CC266" s="359"/>
      <c r="CD266" s="359"/>
      <c r="CE266" s="359"/>
      <c r="CF266" s="358"/>
    </row>
    <row r="267" spans="2:84" ht="12.75">
      <c r="B267" s="312"/>
      <c r="C267" s="312"/>
      <c r="H267" s="23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1267" t="s">
        <v>944</v>
      </c>
      <c r="BP267" s="1268">
        <f>IFERROR(Aj.Subsídio!L10,0)</f>
        <v>657.88851179619212</v>
      </c>
      <c r="BQ267" s="1268">
        <f>IFERROR(Aj.Subsídio!M10,0)</f>
        <v>9925.5886684305151</v>
      </c>
      <c r="BR267" s="1269">
        <f t="shared" si="29"/>
        <v>10583.477180226708</v>
      </c>
      <c r="BS267" s="363">
        <f t="shared" si="30"/>
        <v>1</v>
      </c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</row>
    <row r="268" spans="2:84" ht="12.75">
      <c r="B268" s="312"/>
      <c r="C268" s="312"/>
      <c r="H268" s="23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1270" t="s">
        <v>845</v>
      </c>
      <c r="BP268" s="1268">
        <f>SUM(BP262:BP267)</f>
        <v>-57253.943929772227</v>
      </c>
      <c r="BQ268" s="1268">
        <f>SUM(BQ262:BQ267)</f>
        <v>531775.73656002723</v>
      </c>
      <c r="BR268" s="1269">
        <f t="shared" si="29"/>
        <v>474521.79263025499</v>
      </c>
      <c r="BS268" s="415">
        <f t="shared" si="30"/>
        <v>1</v>
      </c>
      <c r="BU268" s="358"/>
      <c r="BY268" s="358"/>
      <c r="BZ268" s="358"/>
      <c r="CA268" s="358"/>
      <c r="CB268" s="358"/>
      <c r="CC268" s="358"/>
      <c r="CD268" s="358"/>
      <c r="CE268" s="358"/>
      <c r="CF268" s="358"/>
    </row>
    <row r="269" spans="2:84" ht="12.75">
      <c r="B269" s="312"/>
      <c r="C269" s="312"/>
      <c r="H269" s="23"/>
      <c r="AZ269" s="358"/>
      <c r="BA269" s="358"/>
      <c r="BB269" s="358"/>
      <c r="BC269" s="358"/>
      <c r="BD269" s="358"/>
      <c r="BE269" s="358"/>
      <c r="BF269" s="358"/>
      <c r="BG269" s="358"/>
      <c r="BH269" s="358"/>
      <c r="BI269" s="358"/>
      <c r="BJ269" s="358"/>
      <c r="BK269" s="358"/>
      <c r="BL269" s="358"/>
      <c r="BM269" s="358"/>
      <c r="BN269" s="358"/>
      <c r="BO269" s="358"/>
      <c r="BP269" s="358"/>
      <c r="BQ269" s="358"/>
      <c r="BR269" s="358"/>
      <c r="BS269" s="416"/>
      <c r="BT269" s="680" t="s">
        <v>945</v>
      </c>
      <c r="BU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25.5">
      <c r="B270" s="312"/>
      <c r="C270" s="312"/>
      <c r="H270" s="23"/>
      <c r="AZ270" s="358"/>
      <c r="BA270" s="358"/>
      <c r="BB270" s="358"/>
      <c r="BC270" s="358"/>
      <c r="BD270" s="358"/>
      <c r="BE270" s="358"/>
      <c r="BF270" s="358"/>
      <c r="BG270" s="358"/>
      <c r="BH270" s="358"/>
      <c r="BI270" s="358"/>
      <c r="BJ270" s="358"/>
      <c r="BK270" s="358"/>
      <c r="BL270" s="358"/>
      <c r="BM270" s="358"/>
      <c r="BN270" s="358"/>
      <c r="BO270" s="358"/>
      <c r="BP270" s="358"/>
      <c r="BQ270" s="358"/>
      <c r="BR270" s="49"/>
      <c r="BS270" s="358"/>
      <c r="BT270" s="60" t="s">
        <v>27</v>
      </c>
      <c r="BU270" s="60" t="s">
        <v>21</v>
      </c>
      <c r="BV270" s="60" t="s">
        <v>946</v>
      </c>
      <c r="BW270" s="60" t="s">
        <v>947</v>
      </c>
      <c r="BY270" s="23" t="s">
        <v>802</v>
      </c>
      <c r="BZ270" s="682" t="s">
        <v>948</v>
      </c>
      <c r="CA270" s="358"/>
      <c r="CB270" s="358"/>
      <c r="CC270" s="358"/>
      <c r="CD270" s="358"/>
      <c r="CE270" s="358"/>
      <c r="CF270" s="358"/>
    </row>
    <row r="271" spans="2:84" ht="15" customHeight="1">
      <c r="B271" s="312"/>
      <c r="C271" s="312"/>
      <c r="H271" s="23"/>
      <c r="AZ271" s="358"/>
      <c r="BA271" s="358"/>
      <c r="BB271" s="358"/>
      <c r="BC271" s="358"/>
      <c r="BD271" s="358"/>
      <c r="BE271" s="358"/>
      <c r="BF271" s="358"/>
      <c r="BG271" s="358"/>
      <c r="BH271" s="358"/>
      <c r="BI271" s="358"/>
      <c r="BJ271" s="358"/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10" t="str">
        <f>Energia!B28</f>
        <v>COMPANHIA PAULISTA DE FORÇA E LUZ</v>
      </c>
      <c r="BU271" s="311" t="str">
        <f>Energia!C28</f>
        <v>A4 (2,3 a 25 kV)</v>
      </c>
      <c r="BV271" s="433">
        <f>Energia!I28</f>
        <v>0</v>
      </c>
      <c r="BW271" s="433">
        <f>Energia!F28</f>
        <v>0</v>
      </c>
      <c r="BY271" s="23">
        <f t="shared" ref="BY271:BY277" si="31">IF(BU271=0,0,1)</f>
        <v>1</v>
      </c>
      <c r="BZ271" s="681"/>
      <c r="CA271" s="358"/>
      <c r="CB271" s="358"/>
      <c r="CC271" s="358"/>
      <c r="CD271" s="358"/>
      <c r="CE271" s="358"/>
      <c r="CF271" s="358"/>
    </row>
    <row r="272" spans="2:84" ht="15" hidden="1" customHeight="1">
      <c r="B272" s="312"/>
      <c r="C272" s="312"/>
      <c r="H272" s="23"/>
      <c r="AZ272" s="358"/>
      <c r="BA272" s="358"/>
      <c r="BB272" s="358"/>
      <c r="BC272" s="358"/>
      <c r="BD272" s="358"/>
      <c r="BE272" s="358"/>
      <c r="BF272" s="358"/>
      <c r="BG272" s="358"/>
      <c r="BH272" s="358"/>
      <c r="BI272" s="358"/>
      <c r="BJ272" s="358"/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10">
        <f>Energia!B29</f>
        <v>0</v>
      </c>
      <c r="BU272" s="311">
        <f>Energia!C29</f>
        <v>0</v>
      </c>
      <c r="BV272" s="433" t="str">
        <f>Energia!I29</f>
        <v/>
      </c>
      <c r="BW272" s="433" t="str">
        <f>Energia!F29</f>
        <v/>
      </c>
      <c r="BY272" s="23">
        <f t="shared" si="31"/>
        <v>0</v>
      </c>
      <c r="BZ272" s="681"/>
    </row>
    <row r="273" spans="2:80" ht="15" hidden="1" customHeight="1">
      <c r="B273" s="312"/>
      <c r="C273" s="312"/>
      <c r="H273" s="23"/>
      <c r="AZ273" s="358"/>
      <c r="BA273" s="358"/>
      <c r="BB273" s="358"/>
      <c r="BC273" s="358"/>
      <c r="BD273" s="358"/>
      <c r="BE273" s="358"/>
      <c r="BF273" s="358"/>
      <c r="BG273" s="358"/>
      <c r="BH273" s="358"/>
      <c r="BI273" s="358"/>
      <c r="BJ273" s="358"/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10">
        <f>Energia!B30</f>
        <v>0</v>
      </c>
      <c r="BU273" s="311">
        <f>Energia!C30</f>
        <v>0</v>
      </c>
      <c r="BV273" s="433" t="str">
        <f>Energia!I30</f>
        <v/>
      </c>
      <c r="BW273" s="433" t="str">
        <f>Energia!F30</f>
        <v/>
      </c>
      <c r="BY273" s="23">
        <f t="shared" si="31"/>
        <v>0</v>
      </c>
      <c r="BZ273" s="681"/>
    </row>
    <row r="274" spans="2:80" ht="15" hidden="1" customHeight="1">
      <c r="B274" s="312"/>
      <c r="C274" s="312"/>
      <c r="H274" s="23"/>
      <c r="AZ274" s="358"/>
      <c r="BA274" s="358"/>
      <c r="BB274" s="358"/>
      <c r="BC274" s="358"/>
      <c r="BD274" s="358"/>
      <c r="BE274" s="358"/>
      <c r="BF274" s="358"/>
      <c r="BG274" s="358"/>
      <c r="BH274" s="358"/>
      <c r="BI274" s="358"/>
      <c r="BJ274" s="358"/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10">
        <f>Energia!B31</f>
        <v>0</v>
      </c>
      <c r="BU274" s="311">
        <f>Energia!C31</f>
        <v>0</v>
      </c>
      <c r="BV274" s="433" t="str">
        <f>Energia!I31</f>
        <v/>
      </c>
      <c r="BW274" s="433" t="str">
        <f>Energia!F31</f>
        <v/>
      </c>
      <c r="BY274" s="23">
        <f t="shared" si="31"/>
        <v>0</v>
      </c>
      <c r="BZ274" s="681"/>
    </row>
    <row r="275" spans="2:80" ht="15" hidden="1" customHeight="1">
      <c r="B275" s="312"/>
      <c r="C275" s="312"/>
      <c r="H275" s="23"/>
      <c r="AZ275" s="358"/>
      <c r="BA275" s="358"/>
      <c r="BB275" s="358"/>
      <c r="BC275" s="358"/>
      <c r="BD275" s="358"/>
      <c r="BE275" s="358"/>
      <c r="BF275" s="358"/>
      <c r="BG275" s="358"/>
      <c r="BH275" s="358"/>
      <c r="BI275" s="358"/>
      <c r="BJ275" s="358"/>
      <c r="BK275" s="358"/>
      <c r="BL275" s="358"/>
      <c r="BM275" s="358"/>
      <c r="BN275" s="358"/>
      <c r="BO275" s="358"/>
      <c r="BP275" s="358"/>
      <c r="BQ275" s="358"/>
      <c r="BR275" s="358"/>
      <c r="BS275" s="358"/>
      <c r="BT275" s="310">
        <f>Energia!B32</f>
        <v>0</v>
      </c>
      <c r="BU275" s="311">
        <f>Energia!C32</f>
        <v>0</v>
      </c>
      <c r="BV275" s="433" t="str">
        <f>Energia!I32</f>
        <v/>
      </c>
      <c r="BW275" s="433" t="str">
        <f>Energia!F32</f>
        <v/>
      </c>
      <c r="BY275" s="23">
        <f t="shared" si="31"/>
        <v>0</v>
      </c>
      <c r="BZ275" s="681"/>
    </row>
    <row r="276" spans="2:80" ht="15" hidden="1" customHeight="1">
      <c r="B276" s="312"/>
      <c r="C276" s="312"/>
      <c r="H276" s="23"/>
      <c r="AZ276" s="358"/>
      <c r="BA276" s="358"/>
      <c r="BB276" s="358"/>
      <c r="BC276" s="358"/>
      <c r="BD276" s="358"/>
      <c r="BE276" s="358"/>
      <c r="BF276" s="358"/>
      <c r="BG276" s="358"/>
      <c r="BH276" s="358"/>
      <c r="BI276" s="358"/>
      <c r="BJ276" s="358"/>
      <c r="BK276" s="358"/>
      <c r="BL276" s="358"/>
      <c r="BM276" s="358"/>
      <c r="BN276" s="358"/>
      <c r="BO276" s="358"/>
      <c r="BP276" s="358"/>
      <c r="BQ276" s="358"/>
      <c r="BR276" s="358"/>
      <c r="BS276" s="358"/>
      <c r="BT276" s="310">
        <f>Energia!B34</f>
        <v>0</v>
      </c>
      <c r="BU276" s="311">
        <f>Energia!C34</f>
        <v>0</v>
      </c>
      <c r="BV276" s="433" t="str">
        <f>Energia!I34</f>
        <v/>
      </c>
      <c r="BW276" s="433" t="str">
        <f>Energia!F34</f>
        <v/>
      </c>
      <c r="BY276" s="23">
        <f t="shared" si="31"/>
        <v>0</v>
      </c>
      <c r="BZ276" s="681"/>
    </row>
    <row r="277" spans="2:80" ht="15" hidden="1" customHeight="1">
      <c r="B277" s="312"/>
      <c r="C277" s="312"/>
      <c r="H277" s="23"/>
      <c r="AZ277" s="358"/>
      <c r="BA277" s="358"/>
      <c r="BB277" s="358"/>
      <c r="BC277" s="358"/>
      <c r="BD277" s="358"/>
      <c r="BE277" s="358"/>
      <c r="BF277" s="358"/>
      <c r="BG277" s="358"/>
      <c r="BH277" s="358"/>
      <c r="BI277" s="358"/>
      <c r="BJ277" s="358"/>
      <c r="BK277" s="358"/>
      <c r="BL277" s="358"/>
      <c r="BM277" s="358"/>
      <c r="BN277" s="358"/>
      <c r="BO277" s="358"/>
      <c r="BP277" s="358"/>
      <c r="BQ277" s="358"/>
      <c r="BR277" s="358"/>
      <c r="BS277" s="358"/>
      <c r="BT277" s="310" t="e">
        <f>Energia!#REF!</f>
        <v>#REF!</v>
      </c>
      <c r="BU277" s="311" t="e">
        <f>Energia!#REF!</f>
        <v>#REF!</v>
      </c>
      <c r="BV277" s="433" t="e">
        <f>Energia!#REF!</f>
        <v>#REF!</v>
      </c>
      <c r="BW277" s="433" t="e">
        <f>Energia!#REF!</f>
        <v>#REF!</v>
      </c>
      <c r="BY277" s="23" t="e">
        <f t="shared" si="31"/>
        <v>#REF!</v>
      </c>
      <c r="BZ277" s="683" t="s">
        <v>700</v>
      </c>
      <c r="CB277" s="308" t="s">
        <v>849</v>
      </c>
    </row>
    <row r="278" spans="2:80" ht="15" customHeight="1">
      <c r="B278" s="312"/>
      <c r="C278" s="312"/>
      <c r="H278" s="23"/>
      <c r="AZ278" s="358"/>
      <c r="BA278" s="358"/>
      <c r="BB278" s="358"/>
      <c r="BC278" s="358"/>
      <c r="BD278" s="358"/>
      <c r="BE278" s="358"/>
      <c r="BF278" s="358"/>
      <c r="BG278" s="358"/>
      <c r="BH278" s="358"/>
      <c r="BI278" s="358"/>
      <c r="BJ278" s="358"/>
      <c r="BK278" s="358"/>
      <c r="BL278" s="358"/>
      <c r="BM278" s="358"/>
      <c r="BN278" s="358"/>
      <c r="BO278" s="358"/>
      <c r="BP278" s="358"/>
      <c r="BQ278" s="358"/>
      <c r="BR278" s="358"/>
      <c r="BS278" s="358"/>
      <c r="BZ278" s="1271" t="s">
        <v>700</v>
      </c>
      <c r="CA278" s="1272">
        <f>SUM(CA279:CA280)</f>
        <v>0</v>
      </c>
    </row>
    <row r="279" spans="2:80" ht="15" customHeight="1">
      <c r="B279" s="312"/>
      <c r="C279" s="312"/>
      <c r="H279" s="23"/>
      <c r="AZ279" s="358"/>
      <c r="BA279" s="358"/>
      <c r="BB279" s="358"/>
      <c r="BC279" s="358"/>
      <c r="BD279" s="358"/>
      <c r="BE279" s="358"/>
      <c r="BF279" s="358"/>
      <c r="BG279" s="358"/>
      <c r="BH279" s="358"/>
      <c r="BI279" s="358"/>
      <c r="BJ279" s="358"/>
      <c r="BK279" s="358"/>
      <c r="BL279" s="358"/>
      <c r="BM279" s="358"/>
      <c r="BN279" s="358"/>
      <c r="BO279" s="358"/>
      <c r="BP279" s="358"/>
      <c r="BQ279" s="358"/>
      <c r="BR279" s="358"/>
      <c r="BS279" s="358"/>
      <c r="BZ279" s="434" t="s">
        <v>949</v>
      </c>
      <c r="CA279" s="435">
        <f>CAPA!H42</f>
        <v>0</v>
      </c>
    </row>
    <row r="280" spans="2:80" ht="15" customHeight="1">
      <c r="B280" s="312"/>
      <c r="C280" s="312"/>
      <c r="H280" s="23"/>
      <c r="AZ280" s="358"/>
      <c r="BA280" s="358"/>
      <c r="BB280" s="358"/>
      <c r="BC280" s="358"/>
      <c r="BD280" s="358"/>
      <c r="BE280" s="358"/>
      <c r="BF280" s="358"/>
      <c r="BG280" s="358"/>
      <c r="BH280" s="358"/>
      <c r="BI280" s="358"/>
      <c r="BJ280" s="358"/>
      <c r="BK280" s="358"/>
      <c r="BL280" s="358"/>
      <c r="BM280" s="358"/>
      <c r="BN280" s="358"/>
      <c r="BO280" s="358"/>
      <c r="BP280" s="358"/>
      <c r="BQ280" s="358"/>
      <c r="BR280" s="358"/>
      <c r="BS280" s="358"/>
      <c r="BZ280" s="1273" t="s">
        <v>950</v>
      </c>
      <c r="CA280" s="1274">
        <f>CAPA!H44</f>
        <v>0</v>
      </c>
    </row>
    <row r="281" spans="2:80" ht="15" customHeight="1">
      <c r="B281" s="312"/>
      <c r="C281" s="312"/>
      <c r="H281" s="23"/>
      <c r="AZ281" s="358"/>
      <c r="BA281" s="358"/>
      <c r="BB281" s="358"/>
      <c r="BC281" s="358"/>
      <c r="BD281" s="358"/>
      <c r="BE281" s="358"/>
      <c r="BF281" s="358"/>
      <c r="BG281" s="358"/>
      <c r="BH281" s="358"/>
      <c r="BI281" s="358"/>
      <c r="BJ281" s="358"/>
      <c r="BK281" s="358"/>
      <c r="BL281" s="358"/>
      <c r="BM281" s="358"/>
      <c r="BN281" s="358"/>
      <c r="BO281" s="358"/>
      <c r="BP281" s="358"/>
      <c r="BQ281" s="358"/>
      <c r="BR281" s="358"/>
      <c r="BS281" s="358"/>
      <c r="BW281" s="311">
        <v>0</v>
      </c>
    </row>
    <row r="282" spans="2:80" ht="15" customHeight="1">
      <c r="B282" s="312"/>
      <c r="C282" s="312"/>
      <c r="H282" s="23"/>
      <c r="AZ282" s="358"/>
      <c r="BA282" s="358"/>
      <c r="BB282" s="358"/>
      <c r="BC282" s="358"/>
      <c r="BD282" s="358"/>
      <c r="BE282" s="358"/>
      <c r="BF282" s="358"/>
      <c r="BG282" s="358"/>
      <c r="BH282" s="358"/>
      <c r="BI282" s="358"/>
      <c r="BJ282" s="358"/>
      <c r="BK282" s="358"/>
      <c r="BL282" s="358"/>
      <c r="BM282" s="358"/>
      <c r="BN282" s="358"/>
      <c r="BO282" s="358"/>
      <c r="BP282" s="358"/>
      <c r="BQ282" s="358"/>
      <c r="BR282" s="358"/>
      <c r="BS282" s="358"/>
    </row>
    <row r="283" spans="2:80" ht="15" customHeight="1">
      <c r="B283" s="312"/>
      <c r="C283" s="312"/>
      <c r="H283" s="23"/>
      <c r="AZ283" s="358"/>
      <c r="BA283" s="358"/>
      <c r="BB283" s="358"/>
      <c r="BC283" s="358"/>
      <c r="BD283" s="358"/>
      <c r="BE283" s="358"/>
      <c r="BF283" s="358"/>
      <c r="BG283" s="358"/>
      <c r="BH283" s="358"/>
      <c r="BI283" s="358"/>
      <c r="BJ283" s="358"/>
      <c r="BK283" s="358"/>
      <c r="BL283" s="358"/>
      <c r="BM283" s="358"/>
      <c r="BN283" s="358"/>
      <c r="BO283" s="358"/>
      <c r="BP283" s="358"/>
      <c r="BQ283" s="358"/>
      <c r="BR283" s="358"/>
      <c r="BS283" s="358"/>
    </row>
    <row r="284" spans="2:80" ht="15" customHeight="1">
      <c r="B284" s="312"/>
      <c r="C284" s="312"/>
      <c r="H284" s="23"/>
      <c r="AZ284" s="358"/>
      <c r="BA284" s="358"/>
      <c r="BB284" s="358"/>
      <c r="BC284" s="358"/>
      <c r="BD284" s="358"/>
      <c r="BE284" s="358"/>
      <c r="BF284" s="358"/>
      <c r="BG284" s="358"/>
      <c r="BH284" s="358"/>
      <c r="BI284" s="358"/>
      <c r="BJ284" s="358"/>
      <c r="BK284" s="358"/>
      <c r="BL284" s="358"/>
      <c r="BM284" s="358"/>
      <c r="BN284" s="358"/>
      <c r="BO284" s="358"/>
      <c r="BP284" s="358"/>
      <c r="BQ284" s="358"/>
      <c r="BR284" s="358"/>
      <c r="BS284" s="358"/>
    </row>
    <row r="285" spans="2:80" ht="15" customHeight="1">
      <c r="B285" s="356"/>
      <c r="C285" s="364"/>
      <c r="H285" s="23"/>
    </row>
    <row r="286" spans="2:80" ht="15" customHeight="1">
      <c r="H286" s="23"/>
    </row>
    <row r="287" spans="2:80" ht="15" customHeight="1">
      <c r="H287" s="23"/>
    </row>
    <row r="288" spans="2:80" ht="15" customHeight="1">
      <c r="H288" s="23"/>
    </row>
    <row r="289" spans="2:8" ht="15" customHeight="1">
      <c r="B289" s="1713"/>
      <c r="C289" s="1713"/>
      <c r="H289" s="23"/>
    </row>
    <row r="290" spans="2:8" ht="15" customHeight="1">
      <c r="C290" s="24"/>
      <c r="H290" s="23"/>
    </row>
    <row r="291" spans="2:8" ht="15" customHeight="1">
      <c r="C291" s="312"/>
      <c r="H291" s="23"/>
    </row>
    <row r="292" spans="2:8" ht="15" customHeight="1">
      <c r="C292" s="25"/>
      <c r="H292" s="23"/>
    </row>
    <row r="293" spans="2:8" ht="15" customHeight="1">
      <c r="C293" s="25"/>
      <c r="H293" s="23"/>
    </row>
    <row r="294" spans="2:8" ht="15" customHeight="1">
      <c r="C294" s="25"/>
      <c r="H294" s="23"/>
    </row>
    <row r="295" spans="2:8" ht="15" customHeight="1">
      <c r="B295" s="1713"/>
      <c r="C295" s="1713"/>
      <c r="H295" s="23"/>
    </row>
    <row r="296" spans="2:8" ht="15" customHeight="1">
      <c r="B296" s="367"/>
      <c r="C296" s="368"/>
      <c r="H296" s="23"/>
    </row>
    <row r="297" spans="2:8" ht="15" customHeight="1">
      <c r="C297" s="312"/>
      <c r="H297" s="23"/>
    </row>
    <row r="298" spans="2:8" ht="15" customHeight="1">
      <c r="C298" s="312"/>
      <c r="H298" s="23"/>
    </row>
    <row r="299" spans="2:8" ht="15" customHeight="1">
      <c r="C299" s="312"/>
      <c r="H299" s="23"/>
    </row>
    <row r="300" spans="2:8" ht="15" customHeight="1">
      <c r="C300" s="312"/>
      <c r="H300" s="23"/>
    </row>
    <row r="301" spans="2:8" ht="15" customHeight="1">
      <c r="B301" s="367"/>
      <c r="C301" s="26"/>
      <c r="H301" s="23"/>
    </row>
    <row r="302" spans="2:8" ht="15" customHeight="1">
      <c r="B302" s="367"/>
      <c r="C302" s="26"/>
      <c r="H302" s="23"/>
    </row>
    <row r="303" spans="2:8" ht="15" customHeight="1">
      <c r="B303" s="367"/>
      <c r="C303" s="368"/>
      <c r="H303" s="23"/>
    </row>
    <row r="304" spans="2:8" ht="15" customHeight="1">
      <c r="B304" s="1713"/>
      <c r="C304" s="1713"/>
      <c r="H304" s="23"/>
    </row>
    <row r="305" spans="2:8" ht="15" customHeight="1">
      <c r="C305" s="26"/>
      <c r="H305" s="23"/>
    </row>
    <row r="306" spans="2:8" ht="15" customHeight="1">
      <c r="C306" s="26"/>
      <c r="H306" s="23"/>
    </row>
    <row r="307" spans="2:8" ht="15" customHeight="1">
      <c r="C307" s="315"/>
      <c r="H307" s="23"/>
    </row>
    <row r="308" spans="2:8" ht="15" customHeight="1">
      <c r="C308" s="26"/>
      <c r="H308" s="23"/>
    </row>
    <row r="309" spans="2:8" ht="15" customHeight="1">
      <c r="C309" s="26"/>
      <c r="H309" s="23"/>
    </row>
    <row r="310" spans="2:8" ht="15" customHeight="1">
      <c r="C310" s="26"/>
      <c r="H310" s="23"/>
    </row>
    <row r="311" spans="2:8" ht="15" customHeight="1">
      <c r="B311" s="367"/>
      <c r="C311" s="26"/>
      <c r="H311" s="23"/>
    </row>
    <row r="312" spans="2:8" ht="15" customHeight="1">
      <c r="B312" s="367"/>
      <c r="C312" s="26"/>
      <c r="H312" s="23"/>
    </row>
    <row r="313" spans="2:8" ht="15" customHeight="1">
      <c r="H313" s="23"/>
    </row>
    <row r="314" spans="2:8" ht="15" customHeight="1">
      <c r="H314" s="23"/>
    </row>
    <row r="315" spans="2:8" ht="15" customHeight="1">
      <c r="H315" s="23"/>
    </row>
    <row r="316" spans="2:8" ht="15" customHeight="1">
      <c r="H316" s="23"/>
    </row>
    <row r="317" spans="2:8" ht="30" customHeight="1">
      <c r="B317" s="370"/>
      <c r="C317" s="371"/>
      <c r="H317" s="23"/>
    </row>
    <row r="318" spans="2:8" ht="15" customHeight="1">
      <c r="B318" s="372"/>
      <c r="C318" s="27"/>
      <c r="H318" s="23"/>
    </row>
    <row r="319" spans="2:8" ht="15" customHeight="1">
      <c r="B319" s="372"/>
      <c r="C319" s="27"/>
      <c r="H319" s="23"/>
    </row>
    <row r="320" spans="2:8" ht="15" customHeight="1">
      <c r="B320" s="372"/>
      <c r="C320" s="27"/>
      <c r="H320" s="23"/>
    </row>
    <row r="321" spans="2:8" ht="15" customHeight="1">
      <c r="B321" s="372"/>
      <c r="C321" s="27"/>
      <c r="H321" s="23"/>
    </row>
    <row r="322" spans="2:8" ht="15" customHeight="1">
      <c r="B322" s="372"/>
      <c r="C322" s="373"/>
      <c r="H322" s="23"/>
    </row>
    <row r="323" spans="2:8" ht="15" customHeight="1">
      <c r="B323" s="372"/>
      <c r="C323" s="27"/>
      <c r="H323" s="23"/>
    </row>
    <row r="324" spans="2:8" ht="15" customHeight="1">
      <c r="B324" s="372"/>
      <c r="C324" s="373"/>
      <c r="H324" s="23"/>
    </row>
    <row r="350" ht="31.5" customHeight="1"/>
    <row r="351" ht="15.75" customHeight="1"/>
    <row r="361" spans="72:74" ht="15" customHeight="1">
      <c r="BT361" s="431"/>
      <c r="BU361" s="432"/>
      <c r="BV361" s="432"/>
    </row>
    <row r="362" spans="72:74" ht="15" customHeight="1">
      <c r="BT362" s="431"/>
      <c r="BU362" s="432"/>
      <c r="BV362" s="432"/>
    </row>
    <row r="363" spans="72:74" ht="15" customHeight="1">
      <c r="BT363" s="431"/>
      <c r="BU363" s="432"/>
      <c r="BV363" s="432"/>
    </row>
    <row r="364" spans="72:74" ht="15" customHeight="1">
      <c r="BT364" s="431"/>
      <c r="BU364" s="432"/>
      <c r="BV364" s="432"/>
    </row>
    <row r="365" spans="72:74" ht="15" customHeight="1">
      <c r="BT365" s="431"/>
      <c r="BU365" s="432"/>
      <c r="BV365" s="432"/>
    </row>
    <row r="366" spans="72:74" ht="15" customHeight="1">
      <c r="BT366" s="431"/>
      <c r="BU366" s="432"/>
      <c r="BV366" s="432"/>
    </row>
  </sheetData>
  <mergeCells count="31">
    <mergeCell ref="S7:U7"/>
    <mergeCell ref="C75:E75"/>
    <mergeCell ref="C76:E76"/>
    <mergeCell ref="C77:E77"/>
    <mergeCell ref="C78:E78"/>
    <mergeCell ref="C74:E74"/>
    <mergeCell ref="AS239:AV239"/>
    <mergeCell ref="S20:T20"/>
    <mergeCell ref="L51:N51"/>
    <mergeCell ref="B295:C295"/>
    <mergeCell ref="B89:F89"/>
    <mergeCell ref="B94:F94"/>
    <mergeCell ref="B95:F95"/>
    <mergeCell ref="C80:E80"/>
    <mergeCell ref="C81:E81"/>
    <mergeCell ref="B86:F86"/>
    <mergeCell ref="B87:F87"/>
    <mergeCell ref="B304:C304"/>
    <mergeCell ref="B289:C289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77:AN182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186" location="'Tabelas e Gráficos'!A1" display="Voltar" xr:uid="{00000000-0004-0000-0300-00000A000000}"/>
    <hyperlink ref="AX192" location="'Tabelas e Gráficos'!A1" display="Voltar" xr:uid="{00000000-0004-0000-0300-00000B000000}"/>
    <hyperlink ref="BI240" location="'Tabelas e Gráficos '!A1" display="Voltar" xr:uid="{00000000-0004-0000-0300-00000C000000}"/>
    <hyperlink ref="BM249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40" location="'Tabelas e Gráficos'!A1" display="Voltar" xr:uid="{00000000-0004-0000-0300-00001D000000}"/>
    <hyperlink ref="B19" location="'Tabelas e Gráficos'!BT256" display="Descontos na TE" xr:uid="{00000000-0004-0000-0300-00001E000000}"/>
    <hyperlink ref="BR259" location="'Tabelas e Gráficos'!A1" display="Voltar" xr:uid="{00000000-0004-0000-0300-00001F000000}"/>
    <hyperlink ref="BW261" location="'Tabelas e Gráficos'!A1" display="Voltar" xr:uid="{00000000-0004-0000-0300-000020000000}"/>
    <hyperlink ref="CB277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195:AX196 AX220:AX222 AS218:AT218 AV218 AX218 AS237:AV237 AX223 AX219 AB142 AS217:AT217 AV217:AX217 AX224 AX225:AX226 AS235:AT235 AX235 AV235 AS209:AX209 AS207:AU207 AW207:AX207 AS208:AU208 AW208:AX208 AS241 AS239:AV239 AT238 AX238 AS200:AU200 AS198:AT198 AX198 AS194 AU194:AV194 AS214:AX216 AS213 AU213:AX213 AS212:AV212 AS211:AT211 AV211:AX211 AX212 AX194 AS236:AV236 AX236 AX237 AS197:AV197 AX197 AS202:AX203 AS201:AV201 AX201 AS206:AV206 AS204:AV204 AX204 AS205:AV205 AX205 AX206 AS210:AV210 AX210 K84 AT199 AW199:AX199 AV198 AW204:AW206 AW200:AX200 AX239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H30" sqref="H30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5.425781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65" t="s">
        <v>951</v>
      </c>
      <c r="C1" s="1162"/>
      <c r="D1" s="1066"/>
      <c r="E1" s="1066"/>
      <c r="F1" s="1066"/>
      <c r="G1" s="1275" t="s">
        <v>952</v>
      </c>
      <c r="H1" s="1276">
        <f ca="1">LnkTXTIRTEco</f>
        <v>0.25069999999999998</v>
      </c>
      <c r="I1" s="70"/>
      <c r="J1" s="70"/>
      <c r="P1" s="1277" t="s">
        <v>953</v>
      </c>
      <c r="Q1" s="1278"/>
      <c r="S1" s="1279" t="s">
        <v>954</v>
      </c>
      <c r="T1" s="1278" t="s">
        <v>955</v>
      </c>
      <c r="W1" s="1277" t="s">
        <v>954</v>
      </c>
      <c r="X1" s="1278" t="s">
        <v>955</v>
      </c>
    </row>
    <row r="2" spans="2:24" ht="14.25">
      <c r="B2" s="138" t="str">
        <f>CAPA!C9</f>
        <v>Cerpro</v>
      </c>
      <c r="C2" s="70"/>
      <c r="D2" s="70"/>
      <c r="G2" s="121" t="s">
        <v>956</v>
      </c>
      <c r="H2" s="122">
        <f ca="1">LnkTXTIRTTotal</f>
        <v>0.19489999999999999</v>
      </c>
      <c r="P2" s="1280">
        <f>DATE(YEAR(P4),MONTH(P4)-1,1)</f>
        <v>44317</v>
      </c>
      <c r="Q2" s="694"/>
      <c r="S2" s="693" t="s">
        <v>957</v>
      </c>
      <c r="T2" s="694" t="s">
        <v>958</v>
      </c>
      <c r="W2" s="693" t="s">
        <v>959</v>
      </c>
      <c r="X2" s="694" t="s">
        <v>958</v>
      </c>
    </row>
    <row r="3" spans="2:24" ht="14.25">
      <c r="P3" s="1277" t="s">
        <v>953</v>
      </c>
      <c r="Q3" s="1278"/>
      <c r="S3" s="1279" t="s">
        <v>954</v>
      </c>
      <c r="T3" s="1278" t="s">
        <v>955</v>
      </c>
      <c r="W3" s="1277" t="s">
        <v>954</v>
      </c>
      <c r="X3" s="1278" t="s">
        <v>955</v>
      </c>
    </row>
    <row r="4" spans="2:24" ht="14.25">
      <c r="P4" s="1280">
        <f>DATE(YEAR(P6),MONTH(P6)-1,1)</f>
        <v>44348</v>
      </c>
      <c r="Q4" s="694"/>
      <c r="S4" s="693" t="s">
        <v>600</v>
      </c>
      <c r="T4" s="694" t="s">
        <v>958</v>
      </c>
      <c r="W4" s="693" t="s">
        <v>959</v>
      </c>
      <c r="X4" s="694" t="s">
        <v>958</v>
      </c>
    </row>
    <row r="5" spans="2:24" ht="14.25">
      <c r="P5" s="1277" t="s">
        <v>953</v>
      </c>
      <c r="Q5" s="1278"/>
      <c r="S5" s="1277" t="s">
        <v>954</v>
      </c>
      <c r="T5" s="1278" t="s">
        <v>955</v>
      </c>
      <c r="V5" s="96"/>
      <c r="W5" s="1277" t="s">
        <v>954</v>
      </c>
      <c r="X5" s="1278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280">
        <f>DATE(YEAR(P8),MONTH(P8)-1,1)</f>
        <v>44378</v>
      </c>
      <c r="Q6" s="694"/>
      <c r="S6" s="693" t="str">
        <f>"=A3"</f>
        <v>=A3</v>
      </c>
      <c r="T6" s="694" t="s">
        <v>958</v>
      </c>
      <c r="W6" s="693" t="s">
        <v>959</v>
      </c>
      <c r="X6" s="694" t="s">
        <v>958</v>
      </c>
    </row>
    <row r="7" spans="2:24" ht="14.25">
      <c r="B7" s="1281" t="s">
        <v>854</v>
      </c>
      <c r="C7" s="1281" t="s">
        <v>120</v>
      </c>
      <c r="D7" s="1281" t="s">
        <v>963</v>
      </c>
      <c r="E7" s="97"/>
      <c r="F7" s="1281" t="s">
        <v>854</v>
      </c>
      <c r="G7" s="1281" t="s">
        <v>963</v>
      </c>
      <c r="I7" s="1282" t="s">
        <v>854</v>
      </c>
      <c r="J7" s="1282" t="s">
        <v>964</v>
      </c>
      <c r="L7" s="429" t="s">
        <v>965</v>
      </c>
      <c r="M7" s="429"/>
      <c r="N7" s="429" t="s">
        <v>801</v>
      </c>
      <c r="P7" s="1277" t="s">
        <v>953</v>
      </c>
      <c r="Q7" s="1278"/>
      <c r="S7" s="1277" t="s">
        <v>954</v>
      </c>
      <c r="T7" s="1278" t="s">
        <v>955</v>
      </c>
      <c r="W7" s="1277" t="s">
        <v>954</v>
      </c>
      <c r="X7" s="1278" t="s">
        <v>955</v>
      </c>
    </row>
    <row r="8" spans="2:24" ht="14.25">
      <c r="B8" s="1283" t="s">
        <v>966</v>
      </c>
      <c r="C8" s="1284">
        <f ca="1">SUM(C9:C15)</f>
        <v>10563.659</v>
      </c>
      <c r="D8" s="1285">
        <f ca="1">SUM(D9:D15)</f>
        <v>6779114.2738800077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0.20341202822744492</v>
      </c>
      <c r="L8" s="1286" t="s">
        <v>968</v>
      </c>
      <c r="M8" s="1287"/>
      <c r="N8" s="1288">
        <f>DSUM('BD MERCADO'!A2:AAA999998,"Total",S27:S28)</f>
        <v>683676.54551999993</v>
      </c>
      <c r="P8" s="1280">
        <f>DATE(YEAR(P10),MONTH(P10)-1,1)</f>
        <v>44409</v>
      </c>
      <c r="Q8" s="694"/>
      <c r="S8" s="693" t="str">
        <f>"=A3a"</f>
        <v>=A3a</v>
      </c>
      <c r="T8" s="694" t="s">
        <v>958</v>
      </c>
      <c r="W8" s="693" t="s">
        <v>959</v>
      </c>
      <c r="X8" s="694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89" t="s">
        <v>831</v>
      </c>
      <c r="J9" s="1290">
        <f ca="1">SUM(INDIRECT("dados_MercadoBase[[PisPasep]:[Cofins]]"))/SUM(INDIRECT("dados_MercadoBase[[PisPasep]:[ICMS]]"),INDIRECT("dados_MercadoBase[FinTotAj]"))</f>
        <v>1.0958009121667465E-2</v>
      </c>
      <c r="L9" s="97" t="s">
        <v>969</v>
      </c>
      <c r="M9" s="428"/>
      <c r="N9" s="116">
        <f>DSUM('BD MERCADO'!A2:AAA999998,"Total",S29:S30)</f>
        <v>14132699.382199997</v>
      </c>
      <c r="P9" s="1277" t="s">
        <v>953</v>
      </c>
      <c r="Q9" s="1278"/>
      <c r="S9" s="1277" t="s">
        <v>954</v>
      </c>
      <c r="T9" s="1278" t="s">
        <v>955</v>
      </c>
      <c r="X9" s="98"/>
    </row>
    <row r="10" spans="2:24" ht="14.25">
      <c r="B10" s="113" t="s">
        <v>600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0</v>
      </c>
      <c r="L10" s="97" t="s">
        <v>971</v>
      </c>
      <c r="M10" s="428"/>
      <c r="N10" s="116">
        <f>DSUM('BD MERCADO'!A2:AAA999998,"Total",S31:S32)</f>
        <v>656302.1161199999</v>
      </c>
      <c r="P10" s="1280">
        <f>DATE(YEAR(P12),MONTH(P12)-1,1)</f>
        <v>44440</v>
      </c>
      <c r="Q10" s="694"/>
      <c r="S10" s="693" t="s">
        <v>595</v>
      </c>
      <c r="T10" s="694" t="s">
        <v>958</v>
      </c>
      <c r="U10" s="95" t="s">
        <v>972</v>
      </c>
      <c r="X10" s="98"/>
    </row>
    <row r="11" spans="2:24" ht="14.25">
      <c r="B11" s="113" t="s">
        <v>597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476011.59378594742</v>
      </c>
      <c r="L11" s="97" t="s">
        <v>973</v>
      </c>
      <c r="M11" s="428"/>
      <c r="N11" s="116">
        <f>DSUM('BD MERCADO'!A2:AAA999998,"Total",S33:S34)</f>
        <v>3523394.31966</v>
      </c>
      <c r="P11" s="1277" t="s">
        <v>953</v>
      </c>
      <c r="Q11" s="1278"/>
      <c r="S11" s="1277" t="s">
        <v>954</v>
      </c>
      <c r="T11" s="1278" t="s">
        <v>955</v>
      </c>
      <c r="X11" s="98"/>
    </row>
    <row r="12" spans="2:24" ht="14.25">
      <c r="B12" s="113" t="s">
        <v>599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2741138.8933965573</v>
      </c>
      <c r="I12" s="112" t="s">
        <v>974</v>
      </c>
      <c r="L12" s="97" t="s">
        <v>975</v>
      </c>
      <c r="M12" s="428"/>
      <c r="N12" s="116">
        <f>DSUM('BD MERCADO'!A2:AAA999998,"Total",S35:S36)</f>
        <v>91295.151839999962</v>
      </c>
      <c r="P12" s="1280">
        <f>DATE(YEAR(P14),MONTH(P14)-1,1)</f>
        <v>44470</v>
      </c>
      <c r="Q12" s="694"/>
      <c r="S12" s="693" t="s">
        <v>976</v>
      </c>
      <c r="T12" s="694" t="s">
        <v>958</v>
      </c>
      <c r="X12" s="98"/>
    </row>
    <row r="13" spans="2:24" ht="14.25">
      <c r="B13" s="113" t="s">
        <v>595</v>
      </c>
      <c r="C13" s="99">
        <f t="shared" ca="1" si="2"/>
        <v>2396.4049999999997</v>
      </c>
      <c r="D13" s="114">
        <f t="shared" ca="1" si="1"/>
        <v>1676878.3129400006</v>
      </c>
      <c r="E13" s="97"/>
      <c r="F13" s="97" t="s">
        <v>40</v>
      </c>
      <c r="G13" s="116">
        <f t="shared" ca="1" si="0"/>
        <v>45866.266342703355</v>
      </c>
      <c r="I13" s="1282" t="s">
        <v>854</v>
      </c>
      <c r="J13" s="1282" t="s">
        <v>977</v>
      </c>
      <c r="L13" s="97" t="s">
        <v>978</v>
      </c>
      <c r="M13" s="428"/>
      <c r="N13" s="116">
        <f>DSUM('BD MERCADO'!A2:AAA999998,"Total",S37:S38)</f>
        <v>95175.23887999999</v>
      </c>
      <c r="P13" s="1277" t="s">
        <v>953</v>
      </c>
      <c r="Q13" s="1278"/>
      <c r="S13" s="1277" t="s">
        <v>954</v>
      </c>
      <c r="T13" s="1278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91" t="s">
        <v>980</v>
      </c>
      <c r="J14" s="1292">
        <f>CAPA!D41</f>
        <v>54321.771000000001</v>
      </c>
      <c r="L14" s="97" t="s">
        <v>981</v>
      </c>
      <c r="M14" s="428"/>
      <c r="N14" s="116">
        <f>DSUM('BD MERCADO'!A2:AAA999998,"Total",S39:S40)</f>
        <v>540953.74270000006</v>
      </c>
      <c r="P14" s="1280">
        <f>DATE(YEAR(P16),MONTH(P16)-1,1)</f>
        <v>44501</v>
      </c>
      <c r="Q14" s="694"/>
      <c r="S14" s="693" t="s">
        <v>959</v>
      </c>
      <c r="T14" s="694" t="s">
        <v>958</v>
      </c>
      <c r="X14" s="98"/>
    </row>
    <row r="15" spans="2:24" ht="14.25">
      <c r="B15" s="113" t="s">
        <v>602</v>
      </c>
      <c r="C15" s="99">
        <f t="shared" ca="1" si="2"/>
        <v>8167.2539999999999</v>
      </c>
      <c r="D15" s="114">
        <f t="shared" ca="1" si="1"/>
        <v>5102235.9609400071</v>
      </c>
      <c r="E15" s="97"/>
      <c r="F15" s="97" t="s">
        <v>120</v>
      </c>
      <c r="G15" s="116">
        <f ca="1">SUM(C79:C84)</f>
        <v>2966844.5089071067</v>
      </c>
      <c r="I15" s="1293" t="s">
        <v>910</v>
      </c>
      <c r="J15" s="1294">
        <f ca="1">IFERROR(Mercado_RA0_MWh/J14-1,0)</f>
        <v>-5.9296004911180145E-2</v>
      </c>
      <c r="L15" s="1295" t="s">
        <v>982</v>
      </c>
      <c r="M15" s="1296"/>
      <c r="N15" s="1297">
        <f ca="1">D25-SUM(N8:N14)</f>
        <v>0</v>
      </c>
      <c r="P15" s="1277" t="s">
        <v>953</v>
      </c>
      <c r="Q15" s="1278"/>
      <c r="S15" s="1277" t="s">
        <v>983</v>
      </c>
      <c r="T15" s="1278" t="s">
        <v>955</v>
      </c>
      <c r="X15" s="98"/>
    </row>
    <row r="16" spans="2:24" ht="14.25">
      <c r="B16" s="1283" t="s">
        <v>984</v>
      </c>
      <c r="C16" s="1298">
        <f ca="1">DSUM(MercadoBase,"TUSD_E",INDIRECT("Mercado_CriterioResBr"))</f>
        <v>20.684000000000001</v>
      </c>
      <c r="D16" s="1299">
        <f ca="1">DSUM(MercadoBase,"Total",INDIRECT("Mercado_CriterioResBr"))</f>
        <v>11637.852600000004</v>
      </c>
      <c r="E16" s="97"/>
      <c r="F16" s="97" t="s">
        <v>985</v>
      </c>
      <c r="G16" s="116">
        <f ca="1">SUM(C87:C97)</f>
        <v>13493865.824118033</v>
      </c>
      <c r="P16" s="1280">
        <f>DATE(YEAR(P18),MONTH(P18)-1,1)</f>
        <v>44531</v>
      </c>
      <c r="Q16" s="694"/>
      <c r="S16" s="693" t="s">
        <v>986</v>
      </c>
      <c r="T16" s="694" t="s">
        <v>958</v>
      </c>
      <c r="X16" s="98"/>
    </row>
    <row r="17" spans="2:24" ht="14.25">
      <c r="B17" s="1283" t="s">
        <v>987</v>
      </c>
      <c r="C17" s="1298">
        <f ca="1">DSUM(MercadoBase,"TUSD_E",INDIRECT("Mercado_Criterio"&amp;$B17))</f>
        <v>0</v>
      </c>
      <c r="D17" s="1299">
        <f ca="1">DSUM(MercadoBase,"Total",INDIRECT("Mercado_Criterio"&amp;$B17))</f>
        <v>0</v>
      </c>
      <c r="E17" s="97"/>
      <c r="F17" s="1300" t="s">
        <v>836</v>
      </c>
      <c r="G17" s="1301">
        <f ca="1">SUM(G8:G16)</f>
        <v>19723727.086550348</v>
      </c>
      <c r="I17" s="228" t="str">
        <f>"Dado referente à "&amp;TEXT(P20,"mmmm/aaaa")</f>
        <v>Dado referente à fevereiro/2022</v>
      </c>
      <c r="L17" s="79"/>
      <c r="P17" s="1277" t="s">
        <v>953</v>
      </c>
      <c r="Q17" s="1278"/>
      <c r="S17" s="1277" t="s">
        <v>955</v>
      </c>
      <c r="T17" s="1278"/>
      <c r="X17" s="98"/>
    </row>
    <row r="18" spans="2:24" ht="14.25">
      <c r="B18" s="1283" t="s">
        <v>988</v>
      </c>
      <c r="C18" s="1298">
        <f ca="1">DSUM(MercadoBase,"TUSD_E",INDIRECT("Mercado_Criterio"&amp;$B18))</f>
        <v>40537.047999999995</v>
      </c>
      <c r="D18" s="1299">
        <f ca="1">DSUM(MercadoBase,"Total",INDIRECT("Mercado_Criterio"&amp;$B18))</f>
        <v>12944382.223039998</v>
      </c>
      <c r="E18" s="97"/>
      <c r="I18" s="1302" t="s">
        <v>989</v>
      </c>
      <c r="J18" s="1303">
        <f>DSUM('BD MERCADO'!B2:BU724,"UC",C101:C102)</f>
        <v>1942</v>
      </c>
      <c r="L18" s="79"/>
      <c r="P18" s="1280">
        <f>DATE(YEAR(P20),MONTH(P20)-1,1)</f>
        <v>44562</v>
      </c>
      <c r="Q18" s="694"/>
      <c r="S18" s="693" t="s">
        <v>866</v>
      </c>
      <c r="T18" s="694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77" t="s">
        <v>953</v>
      </c>
      <c r="Q19" s="1278"/>
      <c r="S19" s="1277" t="s">
        <v>955</v>
      </c>
      <c r="T19" s="1278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80">
        <f>DATE(YEAR(P22),MONTH(P22)-1,1)</f>
        <v>44593</v>
      </c>
      <c r="Q20" s="694"/>
      <c r="S20" s="693" t="s">
        <v>988</v>
      </c>
      <c r="T20" s="694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0</v>
      </c>
      <c r="E21" s="634"/>
      <c r="F21" s="635"/>
      <c r="G21" s="633"/>
      <c r="L21" s="79"/>
      <c r="P21" s="1277" t="s">
        <v>953</v>
      </c>
      <c r="Q21" s="1278"/>
      <c r="S21" s="1277" t="s">
        <v>955</v>
      </c>
      <c r="T21" s="1278"/>
    </row>
    <row r="22" spans="2:24" ht="14.25">
      <c r="B22" s="115" t="s">
        <v>993</v>
      </c>
      <c r="C22" s="99">
        <f ca="1">C18-C19</f>
        <v>40537.047999999995</v>
      </c>
      <c r="D22" s="114">
        <f ca="1">D18-D19</f>
        <v>12944382.223039998</v>
      </c>
      <c r="F22" s="636"/>
      <c r="G22" s="637"/>
      <c r="L22" s="79"/>
      <c r="M22" s="101"/>
      <c r="N22" s="98"/>
      <c r="O22" s="98"/>
      <c r="P22" s="1280">
        <f>DATE(YEAR(P24),MONTH(P24)-1,1)</f>
        <v>44621</v>
      </c>
      <c r="Q22" s="694"/>
      <c r="S22" s="693" t="s">
        <v>828</v>
      </c>
      <c r="T22" s="694"/>
      <c r="X22" s="98"/>
    </row>
    <row r="23" spans="2:24" ht="14.25">
      <c r="B23" s="1283" t="s">
        <v>994</v>
      </c>
      <c r="C23" s="1298">
        <v>0</v>
      </c>
      <c r="D23" s="1299">
        <v>0</v>
      </c>
      <c r="E23" s="634"/>
      <c r="F23" s="636"/>
      <c r="G23" s="637"/>
      <c r="L23" s="79"/>
      <c r="M23" s="101"/>
      <c r="N23" s="98"/>
      <c r="O23" s="98"/>
      <c r="P23" s="1277" t="s">
        <v>953</v>
      </c>
      <c r="Q23" s="1278"/>
      <c r="S23" s="1277" t="s">
        <v>955</v>
      </c>
      <c r="T23" s="1278"/>
      <c r="X23" s="98"/>
    </row>
    <row r="24" spans="2:24" ht="14.25">
      <c r="B24" s="1283" t="s">
        <v>995</v>
      </c>
      <c r="C24" s="1304"/>
      <c r="D24" s="1305"/>
      <c r="E24" s="634"/>
      <c r="F24" s="636"/>
      <c r="G24" s="637"/>
      <c r="L24" s="79"/>
      <c r="P24" s="1280">
        <f>SAS_RA0_DataFim</f>
        <v>44652</v>
      </c>
      <c r="Q24" s="694"/>
      <c r="S24" s="693" t="s">
        <v>992</v>
      </c>
      <c r="T24" s="694"/>
      <c r="X24" s="98"/>
    </row>
    <row r="25" spans="2:24" ht="14.25">
      <c r="B25" s="1306" t="s">
        <v>836</v>
      </c>
      <c r="C25" s="1307">
        <f ca="1">C18+C8+C24+C20+C21+SuprimentoE</f>
        <v>51100.706999999995</v>
      </c>
      <c r="D25" s="1308">
        <f ca="1">D18+D8+D24+D20+D21+D17</f>
        <v>19723496.496920004</v>
      </c>
      <c r="E25" s="634"/>
      <c r="N25" s="69">
        <f>SUMIFS('BD MERCADO'!$P$3:$P$6000,'BD MERCADO'!$D$3:$D$6000,"A4",'BD MERCADO'!$I$3:$I$6000,U10)</f>
        <v>213.81300000000002</v>
      </c>
      <c r="S25" s="102" t="s">
        <v>955</v>
      </c>
      <c r="T25" s="103"/>
      <c r="X25" s="98"/>
    </row>
    <row r="26" spans="2:24" ht="14.25">
      <c r="F26" s="636"/>
      <c r="G26" s="637"/>
      <c r="S26" s="693" t="s">
        <v>996</v>
      </c>
      <c r="T26" s="694"/>
      <c r="X26" s="98"/>
    </row>
    <row r="27" spans="2:24" ht="14.25">
      <c r="F27" s="636"/>
      <c r="G27" s="637"/>
      <c r="I27" s="98"/>
      <c r="S27" s="1309" t="s">
        <v>586</v>
      </c>
      <c r="T27" s="1310"/>
      <c r="X27" s="98"/>
    </row>
    <row r="28" spans="2:24" ht="14.25">
      <c r="F28" s="228"/>
      <c r="G28" s="638"/>
      <c r="I28" s="98"/>
      <c r="S28" s="1311" t="s">
        <v>968</v>
      </c>
      <c r="T28" s="1312"/>
      <c r="X28" s="98"/>
    </row>
    <row r="29" spans="2:24" ht="14.25">
      <c r="I29" s="98"/>
      <c r="S29" s="1309" t="s">
        <v>586</v>
      </c>
      <c r="T29" s="1310"/>
    </row>
    <row r="30" spans="2:24" ht="14.25">
      <c r="I30" s="98"/>
      <c r="S30" s="1311" t="s">
        <v>969</v>
      </c>
      <c r="T30" s="1312"/>
    </row>
    <row r="31" spans="2:24" ht="16.5">
      <c r="B31"/>
      <c r="C31"/>
      <c r="H31" s="98"/>
      <c r="I31" s="98"/>
      <c r="S31" s="1309" t="s">
        <v>586</v>
      </c>
      <c r="T31" s="1310"/>
      <c r="X31" s="98"/>
    </row>
    <row r="32" spans="2:24" ht="14.25">
      <c r="H32" s="98"/>
      <c r="I32" s="98"/>
      <c r="S32" s="1311" t="s">
        <v>997</v>
      </c>
      <c r="T32" s="1312"/>
      <c r="X32" s="98"/>
    </row>
    <row r="33" spans="2:24" ht="16.5">
      <c r="B33" s="1657" t="s">
        <v>998</v>
      </c>
      <c r="C33" s="1658" t="s">
        <v>999</v>
      </c>
      <c r="D33"/>
      <c r="S33" s="1309" t="s">
        <v>586</v>
      </c>
      <c r="T33" s="1310"/>
      <c r="X33" s="98"/>
    </row>
    <row r="34" spans="2:24" ht="16.5">
      <c r="B34" s="1659">
        <v>44287</v>
      </c>
      <c r="C34" s="1660">
        <v>1696.7640000000001</v>
      </c>
      <c r="D34"/>
      <c r="S34" s="1311" t="s">
        <v>973</v>
      </c>
      <c r="T34" s="1312"/>
      <c r="X34" s="98"/>
    </row>
    <row r="35" spans="2:24" ht="16.5">
      <c r="B35" s="1659">
        <v>44317</v>
      </c>
      <c r="C35" s="1660">
        <v>1488.3550000000002</v>
      </c>
      <c r="D35"/>
      <c r="S35" s="1309" t="s">
        <v>586</v>
      </c>
      <c r="T35" s="1310"/>
    </row>
    <row r="36" spans="2:24" ht="16.5">
      <c r="B36" s="1659">
        <v>44348</v>
      </c>
      <c r="C36" s="1660">
        <v>1528.0250000000001</v>
      </c>
      <c r="D36"/>
      <c r="M36" s="98"/>
      <c r="S36" s="1311" t="s">
        <v>975</v>
      </c>
      <c r="T36" s="1312"/>
    </row>
    <row r="37" spans="2:24" ht="16.5">
      <c r="B37" s="1659">
        <v>44378</v>
      </c>
      <c r="C37" s="1660">
        <v>1440.0370000000003</v>
      </c>
      <c r="D37"/>
      <c r="M37" s="98"/>
      <c r="S37" s="1309" t="s">
        <v>586</v>
      </c>
      <c r="T37" s="1310"/>
    </row>
    <row r="38" spans="2:24" ht="16.5">
      <c r="B38" s="1659">
        <v>44409</v>
      </c>
      <c r="C38" s="1660">
        <v>1402.0249999999999</v>
      </c>
      <c r="D38"/>
      <c r="M38" s="98"/>
      <c r="S38" s="1311" t="s">
        <v>978</v>
      </c>
      <c r="T38" s="1312"/>
    </row>
    <row r="39" spans="2:24" ht="16.5">
      <c r="B39" s="1659">
        <v>44440</v>
      </c>
      <c r="C39" s="1660">
        <v>1435.0720000000003</v>
      </c>
      <c r="D39"/>
      <c r="S39" s="1309" t="s">
        <v>586</v>
      </c>
      <c r="T39" s="1310"/>
    </row>
    <row r="40" spans="2:24" ht="16.5">
      <c r="B40" s="1659">
        <v>44470</v>
      </c>
      <c r="C40" s="1660">
        <v>1518.4860000000003</v>
      </c>
      <c r="D40"/>
      <c r="S40" s="1311" t="s">
        <v>1000</v>
      </c>
      <c r="T40" s="1312"/>
    </row>
    <row r="41" spans="2:24" ht="16.5">
      <c r="B41" s="1659">
        <v>44501</v>
      </c>
      <c r="C41" s="1660">
        <v>1458.2800000000002</v>
      </c>
      <c r="D41"/>
      <c r="N41" s="98"/>
      <c r="O41" s="98"/>
      <c r="P41" s="98"/>
      <c r="Q41" s="98"/>
      <c r="R41" s="98"/>
      <c r="S41" s="1309" t="s">
        <v>586</v>
      </c>
      <c r="T41" s="1310"/>
    </row>
    <row r="42" spans="2:24" ht="16.5">
      <c r="B42" s="1659">
        <v>44531</v>
      </c>
      <c r="C42" s="1660">
        <v>1564.6979999999999</v>
      </c>
      <c r="D42"/>
      <c r="N42" s="98"/>
      <c r="O42" s="98"/>
      <c r="P42" s="98"/>
      <c r="Q42" s="98"/>
      <c r="R42" s="98"/>
      <c r="S42" s="1311" t="s">
        <v>1001</v>
      </c>
      <c r="T42" s="1312"/>
    </row>
    <row r="43" spans="2:24" ht="16.5">
      <c r="B43" s="1659">
        <v>44562</v>
      </c>
      <c r="C43" s="1660">
        <v>1763.999</v>
      </c>
      <c r="D43"/>
      <c r="N43" s="98"/>
      <c r="O43" s="98"/>
      <c r="P43" s="98"/>
      <c r="Q43" s="98"/>
      <c r="R43" s="98"/>
      <c r="S43" s="1277" t="s">
        <v>954</v>
      </c>
      <c r="T43" s="1278" t="s">
        <v>955</v>
      </c>
    </row>
    <row r="44" spans="2:24" ht="16.5">
      <c r="B44" s="1659">
        <v>44593</v>
      </c>
      <c r="C44" s="1660">
        <v>1763.999</v>
      </c>
      <c r="D44"/>
      <c r="S44" s="693" t="s">
        <v>600</v>
      </c>
      <c r="T44" s="694" t="s">
        <v>988</v>
      </c>
    </row>
    <row r="45" spans="2:24" ht="16.5">
      <c r="B45" s="1659">
        <v>44621</v>
      </c>
      <c r="C45" s="1660">
        <v>1763.999</v>
      </c>
      <c r="D45"/>
      <c r="S45" s="1277" t="s">
        <v>954</v>
      </c>
      <c r="T45" s="1278" t="s">
        <v>955</v>
      </c>
    </row>
    <row r="46" spans="2:24" ht="16.5">
      <c r="B46" s="1659" t="s">
        <v>1002</v>
      </c>
      <c r="C46" s="1660">
        <v>18823.739000000001</v>
      </c>
      <c r="D46"/>
      <c r="S46" s="693" t="s">
        <v>597</v>
      </c>
      <c r="T46" s="694" t="s">
        <v>988</v>
      </c>
    </row>
    <row r="47" spans="2:24" ht="16.5">
      <c r="B47"/>
      <c r="C47"/>
      <c r="D47"/>
      <c r="S47" s="1277" t="s">
        <v>954</v>
      </c>
      <c r="T47" s="1278" t="s">
        <v>955</v>
      </c>
    </row>
    <row r="48" spans="2:24" ht="16.5">
      <c r="B48"/>
      <c r="C48"/>
      <c r="D48"/>
      <c r="S48" s="693" t="s">
        <v>599</v>
      </c>
      <c r="T48" s="694" t="s">
        <v>988</v>
      </c>
    </row>
    <row r="49" spans="2:20" ht="16.5">
      <c r="B49"/>
      <c r="C49"/>
      <c r="D49"/>
      <c r="S49" s="1277" t="s">
        <v>954</v>
      </c>
      <c r="T49" s="1278" t="s">
        <v>955</v>
      </c>
    </row>
    <row r="50" spans="2:20" ht="16.5">
      <c r="B50"/>
      <c r="C50"/>
      <c r="D50"/>
      <c r="S50" s="693" t="s">
        <v>595</v>
      </c>
      <c r="T50" s="694" t="s">
        <v>988</v>
      </c>
    </row>
    <row r="51" spans="2:20" ht="16.5">
      <c r="B51"/>
      <c r="C51"/>
      <c r="S51" s="1277" t="s">
        <v>954</v>
      </c>
      <c r="T51" s="1278" t="s">
        <v>955</v>
      </c>
    </row>
    <row r="52" spans="2:20" ht="16.5">
      <c r="B52"/>
      <c r="C52"/>
      <c r="S52" s="693" t="s">
        <v>959</v>
      </c>
      <c r="T52" s="694" t="s">
        <v>988</v>
      </c>
    </row>
    <row r="53" spans="2:20" ht="16.5">
      <c r="B53"/>
      <c r="C53"/>
      <c r="S53" s="1277" t="s">
        <v>954</v>
      </c>
      <c r="T53" s="1278" t="s">
        <v>955</v>
      </c>
    </row>
    <row r="54" spans="2:20" ht="14.25">
      <c r="S54" s="693" t="s">
        <v>976</v>
      </c>
      <c r="T54" s="694" t="s">
        <v>988</v>
      </c>
    </row>
    <row r="55" spans="2:20" ht="14.25"/>
    <row r="56" spans="2:20" ht="14.25"/>
    <row r="57" spans="2:20" ht="14.25"/>
    <row r="58" spans="2:20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0" ht="14.25"/>
    <row r="60" spans="2:20" ht="14.25"/>
    <row r="61" spans="2:20" ht="14.25">
      <c r="B61" s="95" t="s">
        <v>1003</v>
      </c>
      <c r="K61" s="68"/>
    </row>
    <row r="62" spans="2:20" ht="14.25">
      <c r="B62" s="1313" t="s">
        <v>1004</v>
      </c>
      <c r="C62" s="1313"/>
      <c r="D62" s="1313" t="s">
        <v>967</v>
      </c>
      <c r="E62" s="1313" t="s">
        <v>49</v>
      </c>
      <c r="F62" s="1313" t="s">
        <v>970</v>
      </c>
      <c r="G62" s="1313" t="s">
        <v>47</v>
      </c>
      <c r="H62" s="1313" t="s">
        <v>41</v>
      </c>
      <c r="I62" s="1313" t="s">
        <v>40</v>
      </c>
      <c r="J62" s="1313" t="s">
        <v>126</v>
      </c>
      <c r="K62" s="1313" t="s">
        <v>1005</v>
      </c>
      <c r="L62" s="1313" t="s">
        <v>1006</v>
      </c>
      <c r="M62" s="1313" t="s">
        <v>1007</v>
      </c>
      <c r="N62" s="1313" t="s">
        <v>1008</v>
      </c>
      <c r="O62" s="1313" t="s">
        <v>1009</v>
      </c>
      <c r="P62" s="1313" t="s">
        <v>1010</v>
      </c>
      <c r="Q62" s="1313" t="s">
        <v>1011</v>
      </c>
      <c r="R62" s="1313" t="s">
        <v>1012</v>
      </c>
      <c r="S62" s="1313" t="s">
        <v>2205</v>
      </c>
      <c r="T62" s="1313" t="s">
        <v>2209</v>
      </c>
    </row>
    <row r="63" spans="2:20" ht="14.25">
      <c r="B63" s="119">
        <f t="shared" ref="B63:B73" si="3">DATE(YEAR(B64),MONTH(B64)-1,1)</f>
        <v>44317</v>
      </c>
      <c r="C63" s="104"/>
      <c r="D63" s="104">
        <f t="shared" ref="D63:T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35019.066729012702</v>
      </c>
      <c r="H63" s="104">
        <f t="shared" ca="1" si="4"/>
        <v>201584.84693644018</v>
      </c>
      <c r="I63" s="104">
        <f t="shared" ca="1" si="4"/>
        <v>3372.5296584322282</v>
      </c>
      <c r="J63" s="104">
        <f t="shared" ca="1" si="4"/>
        <v>0</v>
      </c>
      <c r="K63" s="104">
        <f t="shared" ca="1" si="4"/>
        <v>381338.12427153846</v>
      </c>
      <c r="L63" s="104">
        <f t="shared" ca="1" si="4"/>
        <v>0</v>
      </c>
      <c r="M63" s="104">
        <f t="shared" ca="1" si="4"/>
        <v>0</v>
      </c>
      <c r="N63" s="104">
        <f t="shared" ca="1" si="4"/>
        <v>2490.1286238000034</v>
      </c>
      <c r="O63" s="104">
        <f t="shared" ca="1" si="4"/>
        <v>38491.60024</v>
      </c>
      <c r="P63" s="104">
        <f t="shared" ca="1" si="4"/>
        <v>8408.8113200000007</v>
      </c>
      <c r="Q63" s="104">
        <f t="shared" ca="1" si="4"/>
        <v>283.62666000000002</v>
      </c>
      <c r="R63" s="104">
        <f t="shared" ca="1" si="4"/>
        <v>671857.86530456599</v>
      </c>
      <c r="S63" s="104">
        <f ca="1">DSUM(MercadoBase,S$62,INDIRECT("P"&amp;5+2*(ROW()-65)&amp;":P"&amp;6+2*(ROW()-65)))</f>
        <v>0</v>
      </c>
      <c r="T63" s="104">
        <f t="shared" ca="1" si="4"/>
        <v>0</v>
      </c>
    </row>
    <row r="64" spans="2:20" ht="14.25">
      <c r="B64" s="119">
        <f t="shared" si="3"/>
        <v>44348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40275.090157179598</v>
      </c>
      <c r="H64" s="104">
        <f t="shared" ca="1" si="4"/>
        <v>231495.31423413707</v>
      </c>
      <c r="I64" s="104">
        <f t="shared" ca="1" si="4"/>
        <v>3869.4560103991862</v>
      </c>
      <c r="J64" s="104">
        <f t="shared" ca="1" si="4"/>
        <v>0</v>
      </c>
      <c r="K64" s="104">
        <f t="shared" ca="1" si="4"/>
        <v>395011.09156051843</v>
      </c>
      <c r="L64" s="104">
        <f t="shared" ca="1" si="4"/>
        <v>0</v>
      </c>
      <c r="M64" s="104">
        <f t="shared" ca="1" si="4"/>
        <v>0</v>
      </c>
      <c r="N64" s="104">
        <f t="shared" ca="1" si="4"/>
        <v>2688.5591790000044</v>
      </c>
      <c r="O64" s="104">
        <f t="shared" ca="1" si="4"/>
        <v>35649.523680000006</v>
      </c>
      <c r="P64" s="104">
        <f t="shared" ca="1" si="4"/>
        <v>11599.622579999999</v>
      </c>
      <c r="Q64" s="104">
        <f t="shared" ca="1" si="4"/>
        <v>256.46456000000001</v>
      </c>
      <c r="R64" s="104">
        <f t="shared" ca="1" si="4"/>
        <v>699429.90062481014</v>
      </c>
      <c r="S64" s="104">
        <f t="shared" ca="1" si="4"/>
        <v>0</v>
      </c>
      <c r="T64" s="104">
        <f t="shared" ca="1" si="4"/>
        <v>0</v>
      </c>
    </row>
    <row r="65" spans="2:20" ht="14.25">
      <c r="B65" s="119">
        <f t="shared" si="3"/>
        <v>44378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38075.666088711056</v>
      </c>
      <c r="H65" s="104">
        <f t="shared" ca="1" si="4"/>
        <v>219025.41348848451</v>
      </c>
      <c r="I65" s="104">
        <f t="shared" ca="1" si="4"/>
        <v>3662.5262942153468</v>
      </c>
      <c r="J65" s="104">
        <f t="shared" ca="1" si="4"/>
        <v>0</v>
      </c>
      <c r="K65" s="104">
        <f t="shared" ca="1" si="4"/>
        <v>389998.99540021474</v>
      </c>
      <c r="L65" s="104">
        <f t="shared" ca="1" si="4"/>
        <v>0</v>
      </c>
      <c r="M65" s="104">
        <f t="shared" ca="1" si="4"/>
        <v>0</v>
      </c>
      <c r="N65" s="104">
        <f t="shared" ca="1" si="4"/>
        <v>2331.3512520000004</v>
      </c>
      <c r="O65" s="104">
        <f t="shared" ca="1" si="4"/>
        <v>34630.431199999999</v>
      </c>
      <c r="P65" s="104">
        <f t="shared" ca="1" si="4"/>
        <v>9858.0099799999989</v>
      </c>
      <c r="Q65" s="104">
        <f t="shared" ca="1" si="4"/>
        <v>255.15012000000002</v>
      </c>
      <c r="R65" s="104">
        <f t="shared" ca="1" si="4"/>
        <v>688386.85871728929</v>
      </c>
      <c r="S65" s="104">
        <f t="shared" ca="1" si="4"/>
        <v>0</v>
      </c>
      <c r="T65" s="104">
        <f t="shared" ca="1" si="4"/>
        <v>0</v>
      </c>
    </row>
    <row r="66" spans="2:20" ht="14.25">
      <c r="B66" s="119">
        <f t="shared" si="3"/>
        <v>44409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38190.944457255857</v>
      </c>
      <c r="H66" s="104">
        <f t="shared" ca="1" si="4"/>
        <v>219839.39097352506</v>
      </c>
      <c r="I66" s="104">
        <f t="shared" ca="1" si="4"/>
        <v>3677.60703459658</v>
      </c>
      <c r="J66" s="104">
        <f t="shared" ca="1" si="4"/>
        <v>0</v>
      </c>
      <c r="K66" s="104">
        <f t="shared" ca="1" si="4"/>
        <v>400333.37668038253</v>
      </c>
      <c r="L66" s="104">
        <f t="shared" ca="1" si="4"/>
        <v>0</v>
      </c>
      <c r="M66" s="104">
        <f t="shared" ca="1" si="4"/>
        <v>0</v>
      </c>
      <c r="N66" s="104">
        <f t="shared" ca="1" si="4"/>
        <v>2474.6063196000027</v>
      </c>
      <c r="O66" s="104">
        <f t="shared" ca="1" si="4"/>
        <v>35297.064640000004</v>
      </c>
      <c r="P66" s="104">
        <f t="shared" ca="1" si="4"/>
        <v>14473.082259999997</v>
      </c>
      <c r="Q66" s="104">
        <f t="shared" ca="1" si="4"/>
        <v>260.51648000000006</v>
      </c>
      <c r="R66" s="104">
        <f t="shared" ca="1" si="4"/>
        <v>707669.74580472289</v>
      </c>
      <c r="S66" s="104">
        <f t="shared" ca="1" si="4"/>
        <v>0</v>
      </c>
      <c r="T66" s="104">
        <f t="shared" ca="1" si="4"/>
        <v>0</v>
      </c>
    </row>
    <row r="67" spans="2:20" ht="14.25">
      <c r="B67" s="119">
        <f t="shared" si="3"/>
        <v>44440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40686.085037178142</v>
      </c>
      <c r="H67" s="104">
        <f t="shared" ca="1" si="4"/>
        <v>234185.79546561503</v>
      </c>
      <c r="I67" s="104">
        <f t="shared" ca="1" si="4"/>
        <v>3917.3403500974132</v>
      </c>
      <c r="J67" s="104">
        <f t="shared" ca="1" si="4"/>
        <v>0</v>
      </c>
      <c r="K67" s="104">
        <f t="shared" ca="1" si="4"/>
        <v>420620.06926328072</v>
      </c>
      <c r="L67" s="104">
        <f t="shared" ca="1" si="4"/>
        <v>0</v>
      </c>
      <c r="M67" s="104">
        <f t="shared" ca="1" si="4"/>
        <v>0</v>
      </c>
      <c r="N67" s="104">
        <f t="shared" ca="1" si="4"/>
        <v>2851.7622630000023</v>
      </c>
      <c r="O67" s="104">
        <f t="shared" ca="1" si="4"/>
        <v>37471.220159999997</v>
      </c>
      <c r="P67" s="104">
        <f t="shared" ca="1" si="4"/>
        <v>16414.195979999997</v>
      </c>
      <c r="Q67" s="104">
        <f t="shared" ca="1" si="4"/>
        <v>275.57702</v>
      </c>
      <c r="R67" s="104">
        <f t="shared" ca="1" si="4"/>
        <v>750516.37034449843</v>
      </c>
      <c r="S67" s="104">
        <f t="shared" ca="1" si="4"/>
        <v>0</v>
      </c>
      <c r="T67" s="104">
        <f t="shared" ca="1" si="4"/>
        <v>0</v>
      </c>
    </row>
    <row r="68" spans="2:20" ht="14.25">
      <c r="B68" s="119">
        <f t="shared" si="3"/>
        <v>44470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36836.822017393555</v>
      </c>
      <c r="H68" s="104">
        <f t="shared" ca="1" si="4"/>
        <v>213179.72381765535</v>
      </c>
      <c r="I68" s="104">
        <f t="shared" ca="1" si="4"/>
        <v>3576.1794994955844</v>
      </c>
      <c r="J68" s="104">
        <f t="shared" ca="1" si="4"/>
        <v>0</v>
      </c>
      <c r="K68" s="104">
        <f t="shared" ca="1" si="4"/>
        <v>385474.12245884468</v>
      </c>
      <c r="L68" s="104">
        <f t="shared" ca="1" si="4"/>
        <v>0</v>
      </c>
      <c r="M68" s="104">
        <f t="shared" ca="1" si="4"/>
        <v>0</v>
      </c>
      <c r="N68" s="104">
        <f t="shared" ca="1" si="4"/>
        <v>2974.6618674000006</v>
      </c>
      <c r="O68" s="104">
        <f t="shared" ca="1" si="4"/>
        <v>42742.053679999997</v>
      </c>
      <c r="P68" s="104">
        <f t="shared" ca="1" si="4"/>
        <v>15869.187880000003</v>
      </c>
      <c r="Q68" s="104">
        <f t="shared" ca="1" si="4"/>
        <v>295.56470000000002</v>
      </c>
      <c r="R68" s="104">
        <f t="shared" ca="1" si="4"/>
        <v>709141.7640275117</v>
      </c>
      <c r="S68" s="104">
        <f t="shared" ca="1" si="4"/>
        <v>0</v>
      </c>
      <c r="T68" s="104">
        <f t="shared" ca="1" si="4"/>
        <v>0</v>
      </c>
    </row>
    <row r="69" spans="2:20" ht="14.25">
      <c r="B69" s="119">
        <f t="shared" si="3"/>
        <v>44501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37130.36423335311</v>
      </c>
      <c r="H69" s="104">
        <f t="shared" ca="1" si="4"/>
        <v>213729.88504498516</v>
      </c>
      <c r="I69" s="104">
        <f t="shared" ca="1" si="4"/>
        <v>3575.4077173124233</v>
      </c>
      <c r="J69" s="104">
        <f t="shared" ca="1" si="4"/>
        <v>0</v>
      </c>
      <c r="K69" s="104">
        <f t="shared" ca="1" si="4"/>
        <v>366118.19636830996</v>
      </c>
      <c r="L69" s="104">
        <f t="shared" ca="1" si="4"/>
        <v>0</v>
      </c>
      <c r="M69" s="104">
        <f t="shared" ca="1" si="4"/>
        <v>0</v>
      </c>
      <c r="N69" s="104">
        <f t="shared" ca="1" si="4"/>
        <v>2825.310750600001</v>
      </c>
      <c r="O69" s="104">
        <f t="shared" ca="1" si="4"/>
        <v>34884.946800000005</v>
      </c>
      <c r="P69" s="104">
        <f t="shared" ca="1" si="4"/>
        <v>5190.2468799999997</v>
      </c>
      <c r="Q69" s="104">
        <f t="shared" ca="1" si="4"/>
        <v>279.84874000000002</v>
      </c>
      <c r="R69" s="104">
        <f t="shared" ca="1" si="4"/>
        <v>650319.91015663557</v>
      </c>
      <c r="S69" s="104">
        <f t="shared" ca="1" si="4"/>
        <v>0</v>
      </c>
      <c r="T69" s="104">
        <f t="shared" ca="1" si="4"/>
        <v>0</v>
      </c>
    </row>
    <row r="70" spans="2:20" ht="14.25">
      <c r="B70" s="119">
        <f t="shared" si="3"/>
        <v>44531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36870.825728273943</v>
      </c>
      <c r="H70" s="104">
        <f t="shared" ca="1" si="4"/>
        <v>213065.12835336727</v>
      </c>
      <c r="I70" s="104">
        <f t="shared" ca="1" si="4"/>
        <v>3571.6098082071012</v>
      </c>
      <c r="J70" s="104">
        <f t="shared" ca="1" si="4"/>
        <v>0</v>
      </c>
      <c r="K70" s="104">
        <f t="shared" ca="1" si="4"/>
        <v>380654.57257973112</v>
      </c>
      <c r="L70" s="104">
        <f t="shared" ca="1" si="4"/>
        <v>0</v>
      </c>
      <c r="M70" s="104">
        <f t="shared" ca="1" si="4"/>
        <v>0</v>
      </c>
      <c r="N70" s="104">
        <f t="shared" ca="1" si="4"/>
        <v>2796.647904000004</v>
      </c>
      <c r="O70" s="104">
        <f t="shared" ca="1" si="4"/>
        <v>39722.459999999992</v>
      </c>
      <c r="P70" s="104">
        <f t="shared" ca="1" si="4"/>
        <v>7332.4706000000006</v>
      </c>
      <c r="Q70" s="104">
        <f t="shared" ca="1" si="4"/>
        <v>290.36223999999999</v>
      </c>
      <c r="R70" s="104">
        <f t="shared" ca="1" si="4"/>
        <v>691921.34092219989</v>
      </c>
      <c r="S70" s="104">
        <f t="shared" ca="1" si="4"/>
        <v>0</v>
      </c>
      <c r="T70" s="104">
        <f t="shared" ca="1" si="4"/>
        <v>0</v>
      </c>
    </row>
    <row r="71" spans="2:20" ht="14.25">
      <c r="B71" s="119">
        <f t="shared" si="3"/>
        <v>44562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40481.009422455521</v>
      </c>
      <c r="H71" s="104">
        <f t="shared" ca="1" si="4"/>
        <v>233217.70746350862</v>
      </c>
      <c r="I71" s="104">
        <f t="shared" ca="1" si="4"/>
        <v>3903.404155200411</v>
      </c>
      <c r="J71" s="104">
        <f t="shared" ca="1" si="4"/>
        <v>0</v>
      </c>
      <c r="K71" s="104">
        <f t="shared" ca="1" si="4"/>
        <v>425932.8874165517</v>
      </c>
      <c r="L71" s="104">
        <f t="shared" ca="1" si="4"/>
        <v>0</v>
      </c>
      <c r="M71" s="104">
        <f t="shared" ca="1" si="4"/>
        <v>0</v>
      </c>
      <c r="N71" s="104">
        <f t="shared" ca="1" si="4"/>
        <v>2628.0416694000019</v>
      </c>
      <c r="O71" s="104">
        <f t="shared" ca="1" si="4"/>
        <v>38699.762240000004</v>
      </c>
      <c r="P71" s="104">
        <f t="shared" ca="1" si="4"/>
        <v>6436.7266600000003</v>
      </c>
      <c r="Q71" s="104">
        <f t="shared" ca="1" si="4"/>
        <v>303.39586000000003</v>
      </c>
      <c r="R71" s="104">
        <f t="shared" ca="1" si="4"/>
        <v>761753.99549086019</v>
      </c>
      <c r="S71" s="104">
        <f t="shared" ca="1" si="4"/>
        <v>0</v>
      </c>
      <c r="T71" s="104">
        <f t="shared" ca="1" si="4"/>
        <v>0</v>
      </c>
    </row>
    <row r="72" spans="2:20" ht="14.25">
      <c r="B72" s="119">
        <f t="shared" si="3"/>
        <v>44593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44148.573305044643</v>
      </c>
      <c r="H72" s="104">
        <f t="shared" ca="1" si="4"/>
        <v>253938.56253961299</v>
      </c>
      <c r="I72" s="104">
        <f t="shared" ca="1" si="4"/>
        <v>4246.7352715823508</v>
      </c>
      <c r="J72" s="104">
        <f t="shared" ca="1" si="4"/>
        <v>0</v>
      </c>
      <c r="K72" s="104">
        <f t="shared" ca="1" si="4"/>
        <v>425192.4921002849</v>
      </c>
      <c r="L72" s="104">
        <f t="shared" ca="1" si="4"/>
        <v>0</v>
      </c>
      <c r="M72" s="104">
        <f t="shared" ca="1" si="4"/>
        <v>0</v>
      </c>
      <c r="N72" s="104">
        <f t="shared" ca="1" si="4"/>
        <v>2576.8421838000031</v>
      </c>
      <c r="O72" s="104">
        <f t="shared" ca="1" si="4"/>
        <v>39662.715360000009</v>
      </c>
      <c r="P72" s="104">
        <f t="shared" ca="1" si="4"/>
        <v>1973.69354</v>
      </c>
      <c r="Q72" s="104">
        <f t="shared" ca="1" si="4"/>
        <v>322.01608000000004</v>
      </c>
      <c r="R72" s="104">
        <f t="shared" ca="1" si="4"/>
        <v>763305.13228889229</v>
      </c>
      <c r="S72" s="104">
        <f t="shared" ca="1" si="4"/>
        <v>0</v>
      </c>
      <c r="T72" s="104">
        <f t="shared" ca="1" si="4"/>
        <v>0</v>
      </c>
    </row>
    <row r="73" spans="2:20" ht="14.25">
      <c r="B73" s="119">
        <f t="shared" si="3"/>
        <v>44621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44148.573305044643</v>
      </c>
      <c r="H73" s="104">
        <f t="shared" ca="1" si="4"/>
        <v>253938.56253961299</v>
      </c>
      <c r="I73" s="104">
        <f t="shared" ca="1" si="4"/>
        <v>4246.7352715823508</v>
      </c>
      <c r="J73" s="104">
        <f t="shared" ca="1" si="4"/>
        <v>0</v>
      </c>
      <c r="K73" s="104">
        <f t="shared" ca="1" si="4"/>
        <v>425192.4921002849</v>
      </c>
      <c r="L73" s="104">
        <f t="shared" ca="1" si="4"/>
        <v>0</v>
      </c>
      <c r="M73" s="104">
        <f t="shared" ca="1" si="4"/>
        <v>0</v>
      </c>
      <c r="N73" s="104">
        <f t="shared" ca="1" si="4"/>
        <v>2576.8421838000031</v>
      </c>
      <c r="O73" s="104">
        <f t="shared" ca="1" si="4"/>
        <v>39662.715360000009</v>
      </c>
      <c r="P73" s="104">
        <f t="shared" ca="1" si="4"/>
        <v>1973.69354</v>
      </c>
      <c r="Q73" s="104">
        <f t="shared" ca="1" si="4"/>
        <v>322.01608000000004</v>
      </c>
      <c r="R73" s="104">
        <f t="shared" ca="1" si="4"/>
        <v>763305.13228889229</v>
      </c>
      <c r="S73" s="104">
        <f t="shared" ca="1" si="4"/>
        <v>0</v>
      </c>
      <c r="T73" s="104">
        <f t="shared" ca="1" si="4"/>
        <v>0</v>
      </c>
    </row>
    <row r="74" spans="2:20" ht="14.25">
      <c r="B74" s="119">
        <f>SAS_RA0_DataFim</f>
        <v>44652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44148.573305044643</v>
      </c>
      <c r="H74" s="104">
        <f t="shared" ca="1" si="4"/>
        <v>253938.56253961299</v>
      </c>
      <c r="I74" s="104">
        <f t="shared" ca="1" si="4"/>
        <v>4246.7352715823508</v>
      </c>
      <c r="J74" s="104">
        <f t="shared" ca="1" si="4"/>
        <v>0</v>
      </c>
      <c r="K74" s="104">
        <f t="shared" ca="1" si="4"/>
        <v>425192.4921002849</v>
      </c>
      <c r="L74" s="104">
        <f t="shared" ca="1" si="4"/>
        <v>0</v>
      </c>
      <c r="M74" s="104">
        <f t="shared" ca="1" si="4"/>
        <v>0</v>
      </c>
      <c r="N74" s="104">
        <f t="shared" ca="1" si="4"/>
        <v>2576.8421838000031</v>
      </c>
      <c r="O74" s="104">
        <f t="shared" ca="1" si="4"/>
        <v>39662.715360000009</v>
      </c>
      <c r="P74" s="104">
        <f t="shared" ca="1" si="4"/>
        <v>1973.69354</v>
      </c>
      <c r="Q74" s="104">
        <f t="shared" ca="1" si="4"/>
        <v>322.01608000000004</v>
      </c>
      <c r="R74" s="104">
        <f t="shared" ca="1" si="4"/>
        <v>763305.13228889229</v>
      </c>
      <c r="S74" s="104">
        <f t="shared" ca="1" si="4"/>
        <v>0</v>
      </c>
      <c r="T74" s="104">
        <f t="shared" ca="1" si="4"/>
        <v>0</v>
      </c>
    </row>
    <row r="75" spans="2:20" ht="14.25">
      <c r="B75" s="1314" t="s">
        <v>1013</v>
      </c>
      <c r="C75" s="1315"/>
      <c r="D75" s="1315">
        <f t="shared" ref="D75:Q75" ca="1" si="5">SUM(D63:D74)</f>
        <v>0</v>
      </c>
      <c r="E75" s="1315">
        <f t="shared" ca="1" si="5"/>
        <v>0</v>
      </c>
      <c r="F75" s="1315">
        <f t="shared" ca="1" si="5"/>
        <v>0</v>
      </c>
      <c r="G75" s="1315">
        <f t="shared" ca="1" si="5"/>
        <v>476011.59378594742</v>
      </c>
      <c r="H75" s="1315">
        <f t="shared" ca="1" si="5"/>
        <v>2741138.8933965573</v>
      </c>
      <c r="I75" s="1315">
        <f t="shared" ca="1" si="5"/>
        <v>45866.266342703326</v>
      </c>
      <c r="J75" s="1315">
        <f t="shared" ca="1" si="5"/>
        <v>0</v>
      </c>
      <c r="K75" s="1315">
        <f t="shared" ca="1" si="5"/>
        <v>4821058.9123002272</v>
      </c>
      <c r="L75" s="1315">
        <f t="shared" ca="1" si="5"/>
        <v>0</v>
      </c>
      <c r="M75" s="1315">
        <f t="shared" ca="1" si="5"/>
        <v>0</v>
      </c>
      <c r="N75" s="1315">
        <f t="shared" ca="1" si="5"/>
        <v>31791.59638020003</v>
      </c>
      <c r="O75" s="1315">
        <f t="shared" ca="1" si="5"/>
        <v>456577.20872000011</v>
      </c>
      <c r="P75" s="1315">
        <f t="shared" ca="1" si="5"/>
        <v>101503.43475999997</v>
      </c>
      <c r="Q75" s="1315">
        <f t="shared" ca="1" si="5"/>
        <v>3466.5546199999994</v>
      </c>
      <c r="R75" s="1315">
        <f t="shared" ref="R75:S75" ca="1" si="6">SUM(R63:R74)</f>
        <v>8620913.1482597701</v>
      </c>
      <c r="S75" s="1315">
        <f t="shared" ca="1" si="6"/>
        <v>0</v>
      </c>
      <c r="T75" s="1315">
        <f t="shared" ref="T75" ca="1" si="7">SUM(T63:T74)</f>
        <v>0</v>
      </c>
    </row>
    <row r="76" spans="2:20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0" ht="14.25">
      <c r="B77" s="95" t="s">
        <v>1014</v>
      </c>
    </row>
    <row r="78" spans="2:20" ht="14.25">
      <c r="J78" s="95" t="s">
        <v>1015</v>
      </c>
      <c r="K78" s="1316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0" ht="14.25">
      <c r="B79" s="1317" t="s">
        <v>1016</v>
      </c>
      <c r="C79" s="1318">
        <f t="shared" ref="C79:C84" ca="1" si="8">SUM(INDIRECT("dados_MercadoBase["&amp;B79&amp;"]"))</f>
        <v>2865314.6101069991</v>
      </c>
      <c r="J79" s="95" t="s">
        <v>1017</v>
      </c>
      <c r="K79" s="1319"/>
      <c r="L79" s="1319"/>
      <c r="M79" s="1319">
        <f>SUMIFS(M63:M74,$B$63:$B$74,42826)</f>
        <v>0</v>
      </c>
      <c r="N79" s="1319">
        <f>SUMIFS(N63:N74,$B$63:$B$74,42826)</f>
        <v>0</v>
      </c>
      <c r="O79" s="1319">
        <f>SUMIFS(O63:O74,$B$63:$B$74,42826)</f>
        <v>0</v>
      </c>
      <c r="P79" s="1319">
        <f>SUMIFS(P63:P74,$B$63:$B$74,42826)</f>
        <v>0</v>
      </c>
      <c r="Q79" s="1319">
        <f>SUMIFS(Q63:Q74,$B$63:$B$74,42826)</f>
        <v>0</v>
      </c>
    </row>
    <row r="80" spans="2:20" ht="14.25">
      <c r="B80" s="118" t="s">
        <v>1018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101529.89880010745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320"/>
      <c r="C85" s="1321"/>
    </row>
    <row r="86" spans="2:13" ht="14.25"/>
    <row r="87" spans="2:13" ht="14.25">
      <c r="B87" s="1317" t="s">
        <v>1022</v>
      </c>
      <c r="C87" s="1318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0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0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0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4872952.6758582592</v>
      </c>
      <c r="E96" s="106"/>
      <c r="G96" s="106"/>
    </row>
    <row r="97" spans="1:7" ht="14.25">
      <c r="B97" s="1320" t="s">
        <v>1032</v>
      </c>
      <c r="C97" s="1321">
        <f t="shared" ca="1" si="9"/>
        <v>8620913.1482597739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309" t="s">
        <v>1034</v>
      </c>
      <c r="C101" s="1310" t="s">
        <v>953</v>
      </c>
      <c r="D101" s="232"/>
    </row>
    <row r="102" spans="1:7" ht="12.75" customHeight="1">
      <c r="A102" s="232"/>
      <c r="B102" s="1311" t="s">
        <v>1035</v>
      </c>
      <c r="C102" s="1322">
        <f>SAS_RA0_DataFim</f>
        <v>44652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81" t="s">
        <v>854</v>
      </c>
      <c r="C111" s="1281" t="s">
        <v>120</v>
      </c>
      <c r="D111" s="1281" t="s">
        <v>963</v>
      </c>
    </row>
    <row r="112" spans="1:7" ht="12.75" customHeight="1">
      <c r="B112" s="1283" t="s">
        <v>988</v>
      </c>
      <c r="C112" s="1284"/>
      <c r="D112" s="1285"/>
    </row>
    <row r="113" spans="2:4" ht="12.75" customHeight="1">
      <c r="B113" s="113"/>
      <c r="C113" s="99"/>
      <c r="D113" s="114"/>
    </row>
    <row r="114" spans="2:4" ht="12.75" customHeight="1">
      <c r="B114" s="113" t="s">
        <v>600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597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599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595</v>
      </c>
      <c r="C117" s="99">
        <f ca="1">DSUM(MercadoBase,"TUSD_E",INDIRECT("Mercado_Livre"&amp;$B117))</f>
        <v>40537.047999999995</v>
      </c>
      <c r="D117" s="114">
        <f t="shared" ca="1" si="11"/>
        <v>12944382.223039998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602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306" t="s">
        <v>845</v>
      </c>
      <c r="C120" s="1307">
        <f ca="1">SUM(C114:C119)</f>
        <v>40537.047999999995</v>
      </c>
      <c r="D120" s="1308">
        <f ca="1">SUM(D114:D119)</f>
        <v>12944382.223039998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DZ1" zoomScaleNormal="100" workbookViewId="0">
      <pane ySplit="2" topLeftCell="A3" activePane="bottomLeft" state="frozen"/>
      <selection pane="bottomLeft" activeCell="EH34" sqref="EH34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500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2" width="10.28515625" style="291" bestFit="1" customWidth="1"/>
    <col min="113" max="113" width="11.285156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0.285156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2.28515625" style="266" bestFit="1" customWidth="1"/>
    <col min="130" max="130" width="10.140625" style="266" bestFit="1" customWidth="1"/>
    <col min="131" max="132" width="9.42578125" style="266" bestFit="1" customWidth="1"/>
    <col min="133" max="133" width="12.28515625" style="266" bestFit="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0.42578125" style="266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5"/>
      <c r="S1" s="505"/>
      <c r="T1" s="505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586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500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845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2263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66" t="s">
        <v>1128</v>
      </c>
      <c r="DZ2" s="266" t="s">
        <v>1129</v>
      </c>
      <c r="EA2" s="266" t="s">
        <v>1130</v>
      </c>
      <c r="EB2" s="266" t="s">
        <v>1131</v>
      </c>
      <c r="EC2" s="266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66" t="s">
        <v>2205</v>
      </c>
      <c r="EQ2" s="266" t="s">
        <v>2206</v>
      </c>
      <c r="ER2" s="266" t="s">
        <v>2207</v>
      </c>
      <c r="ES2" s="266" t="s">
        <v>2208</v>
      </c>
      <c r="ET2" s="266" t="s">
        <v>2209</v>
      </c>
      <c r="EU2" s="266" t="s">
        <v>2210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>
      <c r="A3" s="409">
        <v>1</v>
      </c>
      <c r="B3" s="409" t="s">
        <v>2240</v>
      </c>
      <c r="C3" s="409" t="s">
        <v>2241</v>
      </c>
      <c r="D3" s="409" t="s">
        <v>1989</v>
      </c>
      <c r="E3" s="409" t="s">
        <v>968</v>
      </c>
      <c r="F3" s="409" t="s">
        <v>968</v>
      </c>
      <c r="G3" s="409" t="s">
        <v>1323</v>
      </c>
      <c r="H3" s="409" t="s">
        <v>1323</v>
      </c>
      <c r="I3" s="409" t="s">
        <v>1323</v>
      </c>
      <c r="J3" s="409" t="s">
        <v>2242</v>
      </c>
      <c r="K3" s="838">
        <v>44317</v>
      </c>
      <c r="L3" s="409">
        <v>0</v>
      </c>
      <c r="M3" s="409">
        <v>0</v>
      </c>
      <c r="N3" s="409">
        <v>0.1</v>
      </c>
      <c r="O3" s="409">
        <v>0.1</v>
      </c>
      <c r="P3" s="409">
        <v>0.1</v>
      </c>
      <c r="Q3" s="409">
        <v>0.1</v>
      </c>
      <c r="R3" s="409"/>
      <c r="S3" s="409">
        <v>358.62</v>
      </c>
      <c r="T3" s="409">
        <v>273.74</v>
      </c>
      <c r="U3" s="409"/>
      <c r="V3" s="409">
        <v>63.236000000000004</v>
      </c>
      <c r="W3" s="409">
        <v>63.236000000000004</v>
      </c>
      <c r="X3" s="409">
        <v>61.314000000000007</v>
      </c>
      <c r="Y3" s="409">
        <v>0</v>
      </c>
      <c r="Z3" s="409">
        <v>6.03744121891852</v>
      </c>
      <c r="AA3" s="409">
        <v>0</v>
      </c>
      <c r="AB3" s="409">
        <v>0</v>
      </c>
      <c r="AC3" s="409">
        <v>0</v>
      </c>
      <c r="AD3" s="409">
        <v>8.6088517698592906</v>
      </c>
      <c r="AE3" s="409">
        <v>19.807919204364801</v>
      </c>
      <c r="AF3" s="409">
        <v>27.373925968974699</v>
      </c>
      <c r="AG3" s="409">
        <v>0</v>
      </c>
      <c r="AH3" s="409">
        <v>0</v>
      </c>
      <c r="AI3" s="409">
        <v>0</v>
      </c>
      <c r="AJ3" s="409">
        <v>0</v>
      </c>
      <c r="AK3" s="409">
        <v>0</v>
      </c>
      <c r="AL3" s="409">
        <v>0.93365488414025111</v>
      </c>
      <c r="AM3" s="409"/>
      <c r="AN3" s="409">
        <v>0.10650913711607</v>
      </c>
      <c r="AO3" s="409">
        <v>0</v>
      </c>
      <c r="AP3" s="409">
        <v>0</v>
      </c>
      <c r="AQ3" s="409">
        <v>0</v>
      </c>
      <c r="AR3" s="409">
        <v>0</v>
      </c>
      <c r="AS3" s="409">
        <v>0</v>
      </c>
      <c r="AT3" s="409">
        <v>0</v>
      </c>
      <c r="AU3" s="409">
        <v>0</v>
      </c>
      <c r="AV3" s="409">
        <v>0</v>
      </c>
      <c r="AW3" s="409">
        <v>0</v>
      </c>
      <c r="AX3" s="409">
        <v>0</v>
      </c>
      <c r="AY3" s="409">
        <v>0</v>
      </c>
      <c r="AZ3" s="409">
        <v>0</v>
      </c>
      <c r="BA3" s="409"/>
      <c r="BB3" s="409">
        <v>0</v>
      </c>
      <c r="BC3" s="409">
        <v>0</v>
      </c>
      <c r="BD3" s="409">
        <v>0</v>
      </c>
      <c r="BE3" s="409">
        <v>0</v>
      </c>
      <c r="BF3" s="409">
        <v>0</v>
      </c>
      <c r="BG3" s="409">
        <v>0.36784262381138405</v>
      </c>
      <c r="BH3" s="409">
        <v>0</v>
      </c>
      <c r="BI3" s="409">
        <v>0.49</v>
      </c>
      <c r="BJ3" s="409">
        <v>2.31</v>
      </c>
      <c r="BK3" s="409">
        <v>52.19</v>
      </c>
      <c r="BL3" s="409">
        <v>2</v>
      </c>
      <c r="BM3" s="409"/>
      <c r="BN3" s="409"/>
      <c r="BO3" s="409"/>
      <c r="BP3" s="409"/>
      <c r="BQ3" s="409"/>
      <c r="BR3" s="409"/>
      <c r="BS3" s="409"/>
      <c r="BT3" s="409"/>
      <c r="BU3" s="409"/>
      <c r="BV3" s="409">
        <v>27.741768592786084</v>
      </c>
      <c r="BW3" s="409"/>
      <c r="BX3" s="409"/>
      <c r="BY3" s="409"/>
      <c r="BZ3" s="409"/>
      <c r="CA3" s="409"/>
      <c r="CB3" s="409"/>
      <c r="CC3" s="409"/>
      <c r="CD3" s="409"/>
      <c r="CE3" s="409"/>
      <c r="CF3" s="409"/>
      <c r="CG3" s="409"/>
      <c r="CH3" s="409"/>
      <c r="CI3" s="409">
        <v>61.314000000000007</v>
      </c>
      <c r="CJ3" s="409">
        <v>-1.9519999999999911</v>
      </c>
      <c r="CK3" s="409"/>
      <c r="CL3" s="409"/>
      <c r="CM3" s="409"/>
      <c r="CN3" s="409"/>
      <c r="CO3" s="409">
        <v>-3.2220000000000031</v>
      </c>
      <c r="CP3" s="409">
        <v>1.3</v>
      </c>
      <c r="CQ3" s="409">
        <v>31</v>
      </c>
      <c r="CR3" s="409">
        <v>1.2261880233367748</v>
      </c>
      <c r="CS3" s="409">
        <v>0</v>
      </c>
      <c r="CT3" s="409">
        <v>0</v>
      </c>
      <c r="CU3" s="409">
        <v>0</v>
      </c>
      <c r="CV3" s="409">
        <v>0</v>
      </c>
      <c r="CW3" s="409">
        <v>0</v>
      </c>
      <c r="CX3" s="409">
        <v>0</v>
      </c>
      <c r="CY3" s="409">
        <v>0</v>
      </c>
      <c r="CZ3" s="409">
        <v>0.29509802697543108</v>
      </c>
      <c r="DA3" s="409">
        <v>0</v>
      </c>
      <c r="DB3" s="409">
        <v>0</v>
      </c>
      <c r="DC3" s="409">
        <v>1.4746257400590004</v>
      </c>
      <c r="DD3" s="409">
        <v>0</v>
      </c>
      <c r="DE3" s="409">
        <v>0</v>
      </c>
      <c r="DF3" s="409">
        <v>0</v>
      </c>
      <c r="DG3" s="409">
        <v>1.9815579320916987E-2</v>
      </c>
      <c r="DH3" s="409">
        <v>0</v>
      </c>
      <c r="DI3" s="409">
        <v>-0.38483420176707028</v>
      </c>
      <c r="DJ3" s="409"/>
      <c r="DK3" s="409">
        <v>0</v>
      </c>
      <c r="DL3" s="409">
        <v>0</v>
      </c>
      <c r="DM3" s="409">
        <v>0</v>
      </c>
      <c r="DN3" s="409">
        <v>0</v>
      </c>
      <c r="DO3" s="409">
        <v>-4.8953203962817993E-2</v>
      </c>
      <c r="DP3" s="409">
        <v>-7.0274111406950918E-3</v>
      </c>
      <c r="DQ3" s="409">
        <v>0</v>
      </c>
      <c r="DR3" s="409">
        <v>-0.12253650614799351</v>
      </c>
      <c r="DS3" s="409"/>
      <c r="DT3" s="409"/>
      <c r="DU3" s="409"/>
      <c r="DV3" s="409">
        <v>19.807919204364801</v>
      </c>
      <c r="DW3" s="409">
        <v>0</v>
      </c>
      <c r="DX3" s="409">
        <v>0</v>
      </c>
      <c r="DY3" s="409">
        <v>-3.2220000000000013</v>
      </c>
      <c r="DZ3" s="409">
        <v>1.3000000000000007</v>
      </c>
      <c r="EA3" s="409">
        <v>0</v>
      </c>
      <c r="EB3" s="409">
        <v>0</v>
      </c>
      <c r="EC3" s="409">
        <v>-3.1485278191622008</v>
      </c>
      <c r="ED3" s="409">
        <v>0</v>
      </c>
      <c r="EE3" s="409">
        <v>0</v>
      </c>
      <c r="EF3" s="409">
        <v>0</v>
      </c>
      <c r="EG3" s="409">
        <v>0</v>
      </c>
      <c r="EH3" s="409">
        <v>0</v>
      </c>
      <c r="EI3" s="409">
        <v>0</v>
      </c>
      <c r="EJ3" s="409">
        <v>0</v>
      </c>
      <c r="EK3" s="409">
        <v>0</v>
      </c>
      <c r="EL3" s="409">
        <v>0</v>
      </c>
      <c r="EM3" s="409">
        <v>0</v>
      </c>
      <c r="EN3" s="409">
        <v>0</v>
      </c>
      <c r="EO3" s="409">
        <v>0</v>
      </c>
      <c r="EP3" s="409">
        <v>0</v>
      </c>
      <c r="EQ3" s="409">
        <v>0</v>
      </c>
      <c r="ER3" s="409">
        <v>0</v>
      </c>
      <c r="ES3" s="409">
        <v>0</v>
      </c>
      <c r="ET3" s="409">
        <v>0</v>
      </c>
      <c r="EU3" s="409">
        <v>0</v>
      </c>
      <c r="EV3" s="409">
        <v>210</v>
      </c>
      <c r="EW3" s="409">
        <v>0</v>
      </c>
      <c r="EX3" s="409">
        <v>0</v>
      </c>
      <c r="EY3" s="409">
        <v>0</v>
      </c>
      <c r="EZ3" s="409"/>
      <c r="FA3" s="409">
        <v>0</v>
      </c>
      <c r="FB3" s="409"/>
      <c r="FC3" s="409"/>
      <c r="FD3" s="409"/>
      <c r="FE3" s="409"/>
      <c r="FF3" s="409">
        <v>0</v>
      </c>
      <c r="FG3" s="409">
        <v>0</v>
      </c>
      <c r="FH3" s="409">
        <v>0</v>
      </c>
      <c r="FI3" s="409">
        <v>0</v>
      </c>
    </row>
    <row r="4" spans="1:165" customFormat="1">
      <c r="A4" s="409">
        <v>2</v>
      </c>
      <c r="B4" s="409" t="s">
        <v>1035</v>
      </c>
      <c r="C4" s="409" t="s">
        <v>2241</v>
      </c>
      <c r="D4" s="409" t="s">
        <v>1989</v>
      </c>
      <c r="E4" s="409" t="s">
        <v>968</v>
      </c>
      <c r="F4" s="409" t="s">
        <v>2243</v>
      </c>
      <c r="G4" s="409" t="s">
        <v>1323</v>
      </c>
      <c r="H4" s="409" t="s">
        <v>1323</v>
      </c>
      <c r="I4" s="409" t="s">
        <v>1323</v>
      </c>
      <c r="J4" s="409" t="s">
        <v>2242</v>
      </c>
      <c r="K4" s="838">
        <v>44317</v>
      </c>
      <c r="L4" s="409">
        <v>0</v>
      </c>
      <c r="M4" s="409">
        <v>0</v>
      </c>
      <c r="N4" s="409">
        <v>0.3</v>
      </c>
      <c r="O4" s="409">
        <v>0.3</v>
      </c>
      <c r="P4" s="409">
        <v>0.3</v>
      </c>
      <c r="Q4" s="409">
        <v>0.3</v>
      </c>
      <c r="R4" s="409"/>
      <c r="S4" s="409">
        <v>288.91000000000003</v>
      </c>
      <c r="T4" s="409">
        <v>273.74</v>
      </c>
      <c r="U4" s="409"/>
      <c r="V4" s="409">
        <v>168.79500000000002</v>
      </c>
      <c r="W4" s="409">
        <v>168.79500000000002</v>
      </c>
      <c r="X4" s="409">
        <v>164.298</v>
      </c>
      <c r="Y4" s="409">
        <v>0</v>
      </c>
      <c r="Z4" s="409">
        <v>0</v>
      </c>
      <c r="AA4" s="409">
        <v>0</v>
      </c>
      <c r="AB4" s="409">
        <v>0</v>
      </c>
      <c r="AC4" s="409">
        <v>0</v>
      </c>
      <c r="AD4" s="409">
        <v>25.826555309577866</v>
      </c>
      <c r="AE4" s="409">
        <v>59.423757613094395</v>
      </c>
      <c r="AF4" s="409">
        <v>82.121777906924095</v>
      </c>
      <c r="AG4" s="409">
        <v>0</v>
      </c>
      <c r="AH4" s="409">
        <v>0</v>
      </c>
      <c r="AI4" s="409">
        <v>0</v>
      </c>
      <c r="AJ4" s="409">
        <v>0</v>
      </c>
      <c r="AK4" s="409">
        <v>0</v>
      </c>
      <c r="AL4" s="409">
        <v>0</v>
      </c>
      <c r="AM4" s="409"/>
      <c r="AN4" s="409">
        <v>0.31952741134821</v>
      </c>
      <c r="AO4" s="409">
        <v>0</v>
      </c>
      <c r="AP4" s="409">
        <v>0</v>
      </c>
      <c r="AQ4" s="409">
        <v>0</v>
      </c>
      <c r="AR4" s="409">
        <v>0</v>
      </c>
      <c r="AS4" s="409">
        <v>0</v>
      </c>
      <c r="AT4" s="409">
        <v>0</v>
      </c>
      <c r="AU4" s="409">
        <v>0</v>
      </c>
      <c r="AV4" s="409">
        <v>0</v>
      </c>
      <c r="AW4" s="409">
        <v>0</v>
      </c>
      <c r="AX4" s="409">
        <v>0</v>
      </c>
      <c r="AY4" s="409">
        <v>0</v>
      </c>
      <c r="AZ4" s="409">
        <v>0</v>
      </c>
      <c r="BA4" s="409"/>
      <c r="BB4" s="409">
        <v>0</v>
      </c>
      <c r="BC4" s="409">
        <v>0</v>
      </c>
      <c r="BD4" s="409">
        <v>0</v>
      </c>
      <c r="BE4" s="409">
        <v>0</v>
      </c>
      <c r="BF4" s="409">
        <v>0</v>
      </c>
      <c r="BG4" s="409">
        <v>1.1035278714341521</v>
      </c>
      <c r="BH4" s="409">
        <v>0</v>
      </c>
      <c r="BI4" s="409">
        <v>0.41</v>
      </c>
      <c r="BJ4" s="409">
        <v>1.95</v>
      </c>
      <c r="BK4" s="409">
        <v>9.5500000000000007</v>
      </c>
      <c r="BL4" s="409">
        <v>0</v>
      </c>
      <c r="BM4" s="409"/>
      <c r="BN4" s="409"/>
      <c r="BO4" s="409"/>
      <c r="BP4" s="409"/>
      <c r="BQ4" s="409"/>
      <c r="BR4" s="409"/>
      <c r="BS4" s="409"/>
      <c r="BT4" s="409">
        <v>106.794</v>
      </c>
      <c r="BU4" s="409"/>
      <c r="BV4" s="409">
        <v>83.225305778358248</v>
      </c>
      <c r="BW4" s="409"/>
      <c r="BX4" s="409"/>
      <c r="BY4" s="409"/>
      <c r="BZ4" s="409"/>
      <c r="CA4" s="409"/>
      <c r="CB4" s="409"/>
      <c r="CC4" s="409"/>
      <c r="CD4" s="409"/>
      <c r="CE4" s="409"/>
      <c r="CF4" s="409"/>
      <c r="CG4" s="409"/>
      <c r="CH4" s="409"/>
      <c r="CI4" s="409">
        <v>57.503999999999991</v>
      </c>
      <c r="CJ4" s="409">
        <v>-1.6050000000000111</v>
      </c>
      <c r="CK4" s="409"/>
      <c r="CL4" s="409"/>
      <c r="CM4" s="409"/>
      <c r="CN4" s="409"/>
      <c r="CO4" s="409">
        <v>-8.397000000000002</v>
      </c>
      <c r="CP4" s="409">
        <v>3.9</v>
      </c>
      <c r="CQ4" s="409">
        <v>31</v>
      </c>
      <c r="CR4" s="409">
        <v>4.9497422794861308</v>
      </c>
      <c r="CS4" s="409">
        <v>0</v>
      </c>
      <c r="CT4" s="409">
        <v>0</v>
      </c>
      <c r="CU4" s="409">
        <v>0</v>
      </c>
      <c r="CV4" s="409">
        <v>0</v>
      </c>
      <c r="CW4" s="409">
        <v>0</v>
      </c>
      <c r="CX4" s="409">
        <v>0</v>
      </c>
      <c r="CY4" s="409">
        <v>0</v>
      </c>
      <c r="CZ4" s="409">
        <v>0.88529408092629325</v>
      </c>
      <c r="DA4" s="409">
        <v>0</v>
      </c>
      <c r="DB4" s="409">
        <v>0</v>
      </c>
      <c r="DC4" s="409">
        <v>4.4238772201770047</v>
      </c>
      <c r="DD4" s="409">
        <v>0</v>
      </c>
      <c r="DE4" s="409">
        <v>0</v>
      </c>
      <c r="DF4" s="409">
        <v>0</v>
      </c>
      <c r="DG4" s="409">
        <v>5.9446737962750795E-2</v>
      </c>
      <c r="DH4" s="409">
        <v>0</v>
      </c>
      <c r="DI4" s="409">
        <v>0</v>
      </c>
      <c r="DJ4" s="409"/>
      <c r="DK4" s="409">
        <v>0</v>
      </c>
      <c r="DL4" s="409">
        <v>0</v>
      </c>
      <c r="DM4" s="409">
        <v>0</v>
      </c>
      <c r="DN4" s="409">
        <v>0</v>
      </c>
      <c r="DO4" s="409">
        <v>0</v>
      </c>
      <c r="DP4" s="409">
        <v>-2.1082233422085317E-2</v>
      </c>
      <c r="DQ4" s="409">
        <v>0</v>
      </c>
      <c r="DR4" s="409">
        <v>-0.39779352615783092</v>
      </c>
      <c r="DS4" s="409"/>
      <c r="DT4" s="409"/>
      <c r="DU4" s="409"/>
      <c r="DV4" s="409">
        <v>59.423757613094395</v>
      </c>
      <c r="DW4" s="409">
        <v>0</v>
      </c>
      <c r="DX4" s="409">
        <v>0</v>
      </c>
      <c r="DY4" s="409">
        <v>-8.3970000000000056</v>
      </c>
      <c r="DZ4" s="409">
        <v>3.9000000000000057</v>
      </c>
      <c r="EA4" s="409">
        <v>0</v>
      </c>
      <c r="EB4" s="409">
        <v>0</v>
      </c>
      <c r="EC4" s="409">
        <v>-9.4455834574865989</v>
      </c>
      <c r="ED4" s="409">
        <v>0</v>
      </c>
      <c r="EE4" s="409">
        <v>0</v>
      </c>
      <c r="EF4" s="409">
        <v>0</v>
      </c>
      <c r="EG4" s="409">
        <v>0</v>
      </c>
      <c r="EH4" s="409">
        <v>0</v>
      </c>
      <c r="EI4" s="409">
        <v>0</v>
      </c>
      <c r="EJ4" s="409">
        <v>0</v>
      </c>
      <c r="EK4" s="409">
        <v>0</v>
      </c>
      <c r="EL4" s="409">
        <v>0</v>
      </c>
      <c r="EM4" s="409">
        <v>0</v>
      </c>
      <c r="EN4" s="409">
        <v>0</v>
      </c>
      <c r="EO4" s="409">
        <v>0</v>
      </c>
      <c r="EP4" s="409">
        <v>0</v>
      </c>
      <c r="EQ4" s="409">
        <v>0</v>
      </c>
      <c r="ER4" s="409">
        <v>0</v>
      </c>
      <c r="ES4" s="409">
        <v>0</v>
      </c>
      <c r="ET4" s="409">
        <v>0</v>
      </c>
      <c r="EU4" s="409">
        <v>0</v>
      </c>
      <c r="EV4" s="409">
        <v>210</v>
      </c>
      <c r="EW4" s="409">
        <v>0</v>
      </c>
      <c r="EX4" s="409">
        <v>0</v>
      </c>
      <c r="EY4" s="409">
        <v>0</v>
      </c>
      <c r="EZ4" s="409"/>
      <c r="FA4" s="409">
        <v>0</v>
      </c>
      <c r="FB4" s="409"/>
      <c r="FC4" s="409"/>
      <c r="FD4" s="409"/>
      <c r="FE4" s="409"/>
      <c r="FF4" s="409">
        <v>0</v>
      </c>
      <c r="FG4" s="409">
        <v>0</v>
      </c>
      <c r="FH4" s="409">
        <v>0</v>
      </c>
      <c r="FI4" s="409">
        <v>0</v>
      </c>
    </row>
    <row r="5" spans="1:165" customFormat="1">
      <c r="A5" s="409">
        <v>3</v>
      </c>
      <c r="B5" s="409" t="s">
        <v>1035</v>
      </c>
      <c r="C5" s="409" t="s">
        <v>2241</v>
      </c>
      <c r="D5" s="409" t="s">
        <v>1989</v>
      </c>
      <c r="E5" s="409" t="s">
        <v>968</v>
      </c>
      <c r="F5" s="409" t="s">
        <v>2244</v>
      </c>
      <c r="G5" s="409" t="s">
        <v>1323</v>
      </c>
      <c r="H5" s="409" t="s">
        <v>1323</v>
      </c>
      <c r="I5" s="409" t="s">
        <v>1323</v>
      </c>
      <c r="J5" s="409" t="s">
        <v>2242</v>
      </c>
      <c r="K5" s="838">
        <v>44317</v>
      </c>
      <c r="L5" s="409">
        <v>0</v>
      </c>
      <c r="M5" s="409">
        <v>0</v>
      </c>
      <c r="N5" s="409">
        <v>0.63100000000000001</v>
      </c>
      <c r="O5" s="409">
        <v>0.63100000000000001</v>
      </c>
      <c r="P5" s="409">
        <v>0.63100000000000001</v>
      </c>
      <c r="Q5" s="409">
        <v>0.63100000000000001</v>
      </c>
      <c r="R5" s="409"/>
      <c r="S5" s="409">
        <v>288.91000000000003</v>
      </c>
      <c r="T5" s="409">
        <v>273.74</v>
      </c>
      <c r="U5" s="409"/>
      <c r="V5" s="409">
        <v>355.03215</v>
      </c>
      <c r="W5" s="409">
        <v>355.03215</v>
      </c>
      <c r="X5" s="409">
        <v>345.57346000000001</v>
      </c>
      <c r="Y5" s="409">
        <v>0</v>
      </c>
      <c r="Z5" s="409">
        <v>0</v>
      </c>
      <c r="AA5" s="409">
        <v>0</v>
      </c>
      <c r="AB5" s="409">
        <v>0</v>
      </c>
      <c r="AC5" s="409">
        <v>0</v>
      </c>
      <c r="AD5" s="409">
        <v>54.321854667812119</v>
      </c>
      <c r="AE5" s="409">
        <v>124.98797017954189</v>
      </c>
      <c r="AF5" s="409">
        <v>172.72947286423033</v>
      </c>
      <c r="AG5" s="409">
        <v>0</v>
      </c>
      <c r="AH5" s="409">
        <v>0</v>
      </c>
      <c r="AI5" s="409">
        <v>0</v>
      </c>
      <c r="AJ5" s="409">
        <v>0</v>
      </c>
      <c r="AK5" s="409">
        <v>0</v>
      </c>
      <c r="AL5" s="409">
        <v>0</v>
      </c>
      <c r="AM5" s="409"/>
      <c r="AN5" s="409">
        <v>0.67207265520240167</v>
      </c>
      <c r="AO5" s="409">
        <v>0</v>
      </c>
      <c r="AP5" s="409">
        <v>0</v>
      </c>
      <c r="AQ5" s="409">
        <v>0</v>
      </c>
      <c r="AR5" s="409">
        <v>0</v>
      </c>
      <c r="AS5" s="409">
        <v>0</v>
      </c>
      <c r="AT5" s="409">
        <v>0</v>
      </c>
      <c r="AU5" s="409">
        <v>0</v>
      </c>
      <c r="AV5" s="409">
        <v>0</v>
      </c>
      <c r="AW5" s="409">
        <v>0</v>
      </c>
      <c r="AX5" s="409">
        <v>0</v>
      </c>
      <c r="AY5" s="409">
        <v>0</v>
      </c>
      <c r="AZ5" s="409">
        <v>0</v>
      </c>
      <c r="BA5" s="409"/>
      <c r="BB5" s="409">
        <v>0</v>
      </c>
      <c r="BC5" s="409">
        <v>0</v>
      </c>
      <c r="BD5" s="409">
        <v>0</v>
      </c>
      <c r="BE5" s="409">
        <v>0</v>
      </c>
      <c r="BF5" s="409">
        <v>0</v>
      </c>
      <c r="BG5" s="409">
        <v>2.3210869562498333</v>
      </c>
      <c r="BH5" s="409">
        <v>0</v>
      </c>
      <c r="BI5" s="409">
        <v>1.6</v>
      </c>
      <c r="BJ5" s="409">
        <v>7.33</v>
      </c>
      <c r="BK5" s="409">
        <v>38.28</v>
      </c>
      <c r="BL5" s="409">
        <v>2</v>
      </c>
      <c r="BM5" s="409"/>
      <c r="BN5" s="409"/>
      <c r="BO5" s="409"/>
      <c r="BP5" s="409"/>
      <c r="BQ5" s="409"/>
      <c r="BR5" s="409"/>
      <c r="BS5" s="409"/>
      <c r="BT5" s="409">
        <v>138.22685999999999</v>
      </c>
      <c r="BU5" s="409"/>
      <c r="BV5" s="409">
        <v>175.05055982048017</v>
      </c>
      <c r="BW5" s="409"/>
      <c r="BX5" s="409"/>
      <c r="BY5" s="409"/>
      <c r="BZ5" s="409"/>
      <c r="CA5" s="409"/>
      <c r="CB5" s="409"/>
      <c r="CC5" s="409"/>
      <c r="CD5" s="409"/>
      <c r="CE5" s="409"/>
      <c r="CF5" s="409"/>
      <c r="CG5" s="409"/>
      <c r="CH5" s="409"/>
      <c r="CI5" s="409">
        <v>207.01800000000003</v>
      </c>
      <c r="CJ5" s="409">
        <v>-6.0312899999999559</v>
      </c>
      <c r="CK5" s="409"/>
      <c r="CL5" s="409"/>
      <c r="CM5" s="409"/>
      <c r="CN5" s="409"/>
      <c r="CO5" s="409">
        <v>-17.661690000000007</v>
      </c>
      <c r="CP5" s="409">
        <v>8.2029999999999994</v>
      </c>
      <c r="CQ5" s="409">
        <v>31</v>
      </c>
      <c r="CR5" s="409">
        <v>10.410957927852479</v>
      </c>
      <c r="CS5" s="409">
        <v>0</v>
      </c>
      <c r="CT5" s="409">
        <v>0</v>
      </c>
      <c r="CU5" s="409">
        <v>0</v>
      </c>
      <c r="CV5" s="409">
        <v>0</v>
      </c>
      <c r="CW5" s="409">
        <v>0</v>
      </c>
      <c r="CX5" s="409">
        <v>0</v>
      </c>
      <c r="CY5" s="409">
        <v>0</v>
      </c>
      <c r="CZ5" s="409">
        <v>1.8620685502149712</v>
      </c>
      <c r="DA5" s="409">
        <v>0</v>
      </c>
      <c r="DB5" s="409">
        <v>0</v>
      </c>
      <c r="DC5" s="409">
        <v>9.3048884197723112</v>
      </c>
      <c r="DD5" s="409">
        <v>0</v>
      </c>
      <c r="DE5" s="409">
        <v>0</v>
      </c>
      <c r="DF5" s="409">
        <v>0</v>
      </c>
      <c r="DG5" s="409">
        <v>0.1250363055149859</v>
      </c>
      <c r="DH5" s="409">
        <v>0</v>
      </c>
      <c r="DI5" s="409">
        <v>0</v>
      </c>
      <c r="DJ5" s="409"/>
      <c r="DK5" s="409">
        <v>0</v>
      </c>
      <c r="DL5" s="409">
        <v>0</v>
      </c>
      <c r="DM5" s="409">
        <v>0</v>
      </c>
      <c r="DN5" s="409">
        <v>0</v>
      </c>
      <c r="DO5" s="409">
        <v>0</v>
      </c>
      <c r="DP5" s="409">
        <v>-4.4342964297786058E-2</v>
      </c>
      <c r="DQ5" s="409">
        <v>0</v>
      </c>
      <c r="DR5" s="409">
        <v>-0.83669238335197094</v>
      </c>
      <c r="DS5" s="409"/>
      <c r="DT5" s="409"/>
      <c r="DU5" s="409"/>
      <c r="DV5" s="409">
        <v>124.98797017954189</v>
      </c>
      <c r="DW5" s="409">
        <v>0</v>
      </c>
      <c r="DX5" s="409">
        <v>0</v>
      </c>
      <c r="DY5" s="409">
        <v>-17.661690000000021</v>
      </c>
      <c r="DZ5" s="409">
        <v>8.203000000000003</v>
      </c>
      <c r="EA5" s="409">
        <v>0</v>
      </c>
      <c r="EB5" s="409">
        <v>0</v>
      </c>
      <c r="EC5" s="409">
        <v>-19.867210538913483</v>
      </c>
      <c r="ED5" s="409">
        <v>0</v>
      </c>
      <c r="EE5" s="409">
        <v>0</v>
      </c>
      <c r="EF5" s="409">
        <v>0</v>
      </c>
      <c r="EG5" s="409">
        <v>0</v>
      </c>
      <c r="EH5" s="409">
        <v>0</v>
      </c>
      <c r="EI5" s="409">
        <v>0</v>
      </c>
      <c r="EJ5" s="409">
        <v>0</v>
      </c>
      <c r="EK5" s="409">
        <v>0</v>
      </c>
      <c r="EL5" s="409">
        <v>0</v>
      </c>
      <c r="EM5" s="409">
        <v>0</v>
      </c>
      <c r="EN5" s="409">
        <v>0</v>
      </c>
      <c r="EO5" s="409">
        <v>0</v>
      </c>
      <c r="EP5" s="409">
        <v>0</v>
      </c>
      <c r="EQ5" s="409">
        <v>0</v>
      </c>
      <c r="ER5" s="409">
        <v>0</v>
      </c>
      <c r="ES5" s="409">
        <v>0</v>
      </c>
      <c r="ET5" s="409">
        <v>0</v>
      </c>
      <c r="EU5" s="409">
        <v>0</v>
      </c>
      <c r="EV5" s="409">
        <v>210</v>
      </c>
      <c r="EW5" s="409">
        <v>0</v>
      </c>
      <c r="EX5" s="409">
        <v>0</v>
      </c>
      <c r="EY5" s="409">
        <v>0</v>
      </c>
      <c r="EZ5" s="409"/>
      <c r="FA5" s="409">
        <v>0</v>
      </c>
      <c r="FB5" s="409"/>
      <c r="FC5" s="409"/>
      <c r="FD5" s="409"/>
      <c r="FE5" s="409"/>
      <c r="FF5" s="409">
        <v>0</v>
      </c>
      <c r="FG5" s="409">
        <v>0</v>
      </c>
      <c r="FH5" s="409">
        <v>0</v>
      </c>
      <c r="FI5" s="409">
        <v>0</v>
      </c>
    </row>
    <row r="6" spans="1:165" customFormat="1">
      <c r="A6" s="409">
        <v>4</v>
      </c>
      <c r="B6" s="409" t="s">
        <v>1035</v>
      </c>
      <c r="C6" s="409" t="s">
        <v>2241</v>
      </c>
      <c r="D6" s="409" t="s">
        <v>1989</v>
      </c>
      <c r="E6" s="409" t="s">
        <v>968</v>
      </c>
      <c r="F6" s="409" t="s">
        <v>2245</v>
      </c>
      <c r="G6" s="409" t="s">
        <v>1323</v>
      </c>
      <c r="H6" s="409" t="s">
        <v>1323</v>
      </c>
      <c r="I6" s="409" t="s">
        <v>1323</v>
      </c>
      <c r="J6" s="409" t="s">
        <v>2242</v>
      </c>
      <c r="K6" s="838">
        <v>44317</v>
      </c>
      <c r="L6" s="409">
        <v>0</v>
      </c>
      <c r="M6" s="409">
        <v>0</v>
      </c>
      <c r="N6" s="409">
        <v>0.70499999999999996</v>
      </c>
      <c r="O6" s="409">
        <v>0.70499999999999996</v>
      </c>
      <c r="P6" s="409">
        <v>0.70499999999999996</v>
      </c>
      <c r="Q6" s="409">
        <v>0.70499999999999996</v>
      </c>
      <c r="R6" s="409"/>
      <c r="S6" s="409">
        <v>288.91000000000003</v>
      </c>
      <c r="T6" s="409">
        <v>273.74</v>
      </c>
      <c r="U6" s="409"/>
      <c r="V6" s="409">
        <v>396.66825</v>
      </c>
      <c r="W6" s="409">
        <v>396.66825</v>
      </c>
      <c r="X6" s="409">
        <v>386.1003</v>
      </c>
      <c r="Y6" s="409">
        <v>0</v>
      </c>
      <c r="Z6" s="409">
        <v>0</v>
      </c>
      <c r="AA6" s="409">
        <v>0</v>
      </c>
      <c r="AB6" s="409">
        <v>0</v>
      </c>
      <c r="AC6" s="409">
        <v>0</v>
      </c>
      <c r="AD6" s="409">
        <v>60.692404977507991</v>
      </c>
      <c r="AE6" s="409">
        <v>139.64583039077183</v>
      </c>
      <c r="AF6" s="409">
        <v>192.98617808127162</v>
      </c>
      <c r="AG6" s="409">
        <v>0</v>
      </c>
      <c r="AH6" s="409">
        <v>0</v>
      </c>
      <c r="AI6" s="409">
        <v>0</v>
      </c>
      <c r="AJ6" s="409">
        <v>0</v>
      </c>
      <c r="AK6" s="409">
        <v>0</v>
      </c>
      <c r="AL6" s="409">
        <v>0</v>
      </c>
      <c r="AM6" s="409"/>
      <c r="AN6" s="409">
        <v>0.75088941666829345</v>
      </c>
      <c r="AO6" s="409">
        <v>0</v>
      </c>
      <c r="AP6" s="409">
        <v>0</v>
      </c>
      <c r="AQ6" s="409">
        <v>0</v>
      </c>
      <c r="AR6" s="409">
        <v>0</v>
      </c>
      <c r="AS6" s="409">
        <v>0</v>
      </c>
      <c r="AT6" s="409">
        <v>0</v>
      </c>
      <c r="AU6" s="409">
        <v>0</v>
      </c>
      <c r="AV6" s="409">
        <v>0</v>
      </c>
      <c r="AW6" s="409">
        <v>0</v>
      </c>
      <c r="AX6" s="409">
        <v>0</v>
      </c>
      <c r="AY6" s="409">
        <v>0</v>
      </c>
      <c r="AZ6" s="409">
        <v>0</v>
      </c>
      <c r="BA6" s="409"/>
      <c r="BB6" s="409">
        <v>0</v>
      </c>
      <c r="BC6" s="409">
        <v>0</v>
      </c>
      <c r="BD6" s="409">
        <v>0</v>
      </c>
      <c r="BE6" s="409">
        <v>0</v>
      </c>
      <c r="BF6" s="409">
        <v>0</v>
      </c>
      <c r="BG6" s="409">
        <v>2.5932904978702571</v>
      </c>
      <c r="BH6" s="409">
        <v>0</v>
      </c>
      <c r="BI6" s="409">
        <v>3.01</v>
      </c>
      <c r="BJ6" s="409">
        <v>14.06</v>
      </c>
      <c r="BK6" s="409">
        <v>95.45</v>
      </c>
      <c r="BL6" s="409">
        <v>8</v>
      </c>
      <c r="BM6" s="409"/>
      <c r="BN6" s="409"/>
      <c r="BO6" s="409"/>
      <c r="BP6" s="409"/>
      <c r="BQ6" s="409"/>
      <c r="BR6" s="409"/>
      <c r="BS6" s="409"/>
      <c r="BT6" s="409">
        <v>38.605800000000016</v>
      </c>
      <c r="BU6" s="409"/>
      <c r="BV6" s="409">
        <v>195.57946857914189</v>
      </c>
      <c r="BW6" s="409"/>
      <c r="BX6" s="409"/>
      <c r="BY6" s="409"/>
      <c r="BZ6" s="409"/>
      <c r="CA6" s="409"/>
      <c r="CB6" s="409"/>
      <c r="CC6" s="409"/>
      <c r="CD6" s="409"/>
      <c r="CE6" s="409"/>
      <c r="CF6" s="409"/>
      <c r="CG6" s="409"/>
      <c r="CH6" s="409"/>
      <c r="CI6" s="409">
        <v>349.95899999999995</v>
      </c>
      <c r="CJ6" s="409">
        <v>-7.0759499999999775</v>
      </c>
      <c r="CK6" s="409"/>
      <c r="CL6" s="409"/>
      <c r="CM6" s="409"/>
      <c r="CN6" s="409"/>
      <c r="CO6" s="409">
        <v>-19.732950000000006</v>
      </c>
      <c r="CP6" s="409">
        <v>9.1649999999999991</v>
      </c>
      <c r="CQ6" s="409">
        <v>31</v>
      </c>
      <c r="CR6" s="409">
        <v>11.631894356792372</v>
      </c>
      <c r="CS6" s="409">
        <v>0</v>
      </c>
      <c r="CT6" s="409">
        <v>0</v>
      </c>
      <c r="CU6" s="409">
        <v>0</v>
      </c>
      <c r="CV6" s="409">
        <v>0</v>
      </c>
      <c r="CW6" s="409">
        <v>0</v>
      </c>
      <c r="CX6" s="409">
        <v>0</v>
      </c>
      <c r="CY6" s="409">
        <v>0</v>
      </c>
      <c r="CZ6" s="409">
        <v>2.0804410901767838</v>
      </c>
      <c r="DA6" s="409">
        <v>0</v>
      </c>
      <c r="DB6" s="409">
        <v>0</v>
      </c>
      <c r="DC6" s="409">
        <v>10.396111467415949</v>
      </c>
      <c r="DD6" s="409">
        <v>0</v>
      </c>
      <c r="DE6" s="409">
        <v>0</v>
      </c>
      <c r="DF6" s="409">
        <v>0</v>
      </c>
      <c r="DG6" s="409">
        <v>0.13969983421246468</v>
      </c>
      <c r="DH6" s="409">
        <v>0</v>
      </c>
      <c r="DI6" s="409">
        <v>0</v>
      </c>
      <c r="DJ6" s="409"/>
      <c r="DK6" s="409">
        <v>0</v>
      </c>
      <c r="DL6" s="409">
        <v>0</v>
      </c>
      <c r="DM6" s="409">
        <v>0</v>
      </c>
      <c r="DN6" s="409">
        <v>0</v>
      </c>
      <c r="DO6" s="409">
        <v>0</v>
      </c>
      <c r="DP6" s="409">
        <v>-4.9543248541900398E-2</v>
      </c>
      <c r="DQ6" s="409">
        <v>0</v>
      </c>
      <c r="DR6" s="409">
        <v>-0.93481478647090244</v>
      </c>
      <c r="DS6" s="409"/>
      <c r="DT6" s="409"/>
      <c r="DU6" s="409"/>
      <c r="DV6" s="409">
        <v>139.64583039077183</v>
      </c>
      <c r="DW6" s="409">
        <v>0</v>
      </c>
      <c r="DX6" s="409">
        <v>0</v>
      </c>
      <c r="DY6" s="409">
        <v>-19.732950000000017</v>
      </c>
      <c r="DZ6" s="409">
        <v>9.1650000000000205</v>
      </c>
      <c r="EA6" s="409">
        <v>0</v>
      </c>
      <c r="EB6" s="409">
        <v>0</v>
      </c>
      <c r="EC6" s="409">
        <v>-22.197121125093517</v>
      </c>
      <c r="ED6" s="409">
        <v>0</v>
      </c>
      <c r="EE6" s="409">
        <v>0</v>
      </c>
      <c r="EF6" s="409">
        <v>0</v>
      </c>
      <c r="EG6" s="409">
        <v>0</v>
      </c>
      <c r="EH6" s="409">
        <v>0</v>
      </c>
      <c r="EI6" s="409">
        <v>0</v>
      </c>
      <c r="EJ6" s="409">
        <v>0</v>
      </c>
      <c r="EK6" s="409">
        <v>0</v>
      </c>
      <c r="EL6" s="409">
        <v>0</v>
      </c>
      <c r="EM6" s="409">
        <v>0</v>
      </c>
      <c r="EN6" s="409">
        <v>0</v>
      </c>
      <c r="EO6" s="409">
        <v>0</v>
      </c>
      <c r="EP6" s="409">
        <v>0</v>
      </c>
      <c r="EQ6" s="409">
        <v>0</v>
      </c>
      <c r="ER6" s="409">
        <v>0</v>
      </c>
      <c r="ES6" s="409">
        <v>0</v>
      </c>
      <c r="ET6" s="409">
        <v>0</v>
      </c>
      <c r="EU6" s="409">
        <v>0</v>
      </c>
      <c r="EV6" s="409">
        <v>210</v>
      </c>
      <c r="EW6" s="409">
        <v>0</v>
      </c>
      <c r="EX6" s="409">
        <v>0</v>
      </c>
      <c r="EY6" s="409">
        <v>0</v>
      </c>
      <c r="EZ6" s="409"/>
      <c r="FA6" s="409">
        <v>0</v>
      </c>
      <c r="FB6" s="409"/>
      <c r="FC6" s="409"/>
      <c r="FD6" s="409"/>
      <c r="FE6" s="409"/>
      <c r="FF6" s="409">
        <v>0</v>
      </c>
      <c r="FG6" s="409">
        <v>0</v>
      </c>
      <c r="FH6" s="409">
        <v>0</v>
      </c>
      <c r="FI6" s="409">
        <v>0</v>
      </c>
    </row>
    <row r="7" spans="1:165" customFormat="1">
      <c r="A7" s="409">
        <v>5</v>
      </c>
      <c r="B7" s="409" t="s">
        <v>1035</v>
      </c>
      <c r="C7" s="409" t="s">
        <v>2241</v>
      </c>
      <c r="D7" s="409" t="s">
        <v>1992</v>
      </c>
      <c r="E7" s="409" t="s">
        <v>969</v>
      </c>
      <c r="F7" s="409" t="s">
        <v>1323</v>
      </c>
      <c r="G7" s="409" t="s">
        <v>1323</v>
      </c>
      <c r="H7" s="409" t="s">
        <v>1323</v>
      </c>
      <c r="I7" s="409" t="s">
        <v>1323</v>
      </c>
      <c r="J7" s="409" t="s">
        <v>2242</v>
      </c>
      <c r="K7" s="838">
        <v>44317</v>
      </c>
      <c r="L7" s="409">
        <v>0</v>
      </c>
      <c r="M7" s="409">
        <v>0</v>
      </c>
      <c r="N7" s="409">
        <v>28.245000000000001</v>
      </c>
      <c r="O7" s="409">
        <v>28.245000000000001</v>
      </c>
      <c r="P7" s="409">
        <v>28.245000000000001</v>
      </c>
      <c r="Q7" s="409">
        <v>28.245000000000001</v>
      </c>
      <c r="R7" s="409"/>
      <c r="S7" s="409">
        <v>358.62</v>
      </c>
      <c r="T7" s="409">
        <v>273.74</v>
      </c>
      <c r="U7" s="409"/>
      <c r="V7" s="409">
        <v>17861.0082</v>
      </c>
      <c r="W7" s="409">
        <v>17861.0082</v>
      </c>
      <c r="X7" s="409">
        <v>17318.139299999999</v>
      </c>
      <c r="Y7" s="409">
        <v>0</v>
      </c>
      <c r="Z7" s="409">
        <v>1705.275272283536</v>
      </c>
      <c r="AA7" s="409">
        <v>0</v>
      </c>
      <c r="AB7" s="409">
        <v>0</v>
      </c>
      <c r="AC7" s="409">
        <v>0</v>
      </c>
      <c r="AD7" s="409">
        <v>2431.5701823967565</v>
      </c>
      <c r="AE7" s="409">
        <v>5594.7467792728376</v>
      </c>
      <c r="AF7" s="409">
        <v>7731.7653899369034</v>
      </c>
      <c r="AG7" s="409">
        <v>0</v>
      </c>
      <c r="AH7" s="409">
        <v>0</v>
      </c>
      <c r="AI7" s="409">
        <v>0</v>
      </c>
      <c r="AJ7" s="409">
        <v>0</v>
      </c>
      <c r="AK7" s="409">
        <v>0</v>
      </c>
      <c r="AL7" s="409">
        <v>263.7108220254139</v>
      </c>
      <c r="AM7" s="409"/>
      <c r="AN7" s="409">
        <v>30.08350577843397</v>
      </c>
      <c r="AO7" s="409">
        <v>0</v>
      </c>
      <c r="AP7" s="409">
        <v>0</v>
      </c>
      <c r="AQ7" s="409">
        <v>0</v>
      </c>
      <c r="AR7" s="409">
        <v>0</v>
      </c>
      <c r="AS7" s="409">
        <v>0</v>
      </c>
      <c r="AT7" s="409">
        <v>0</v>
      </c>
      <c r="AU7" s="409">
        <v>0</v>
      </c>
      <c r="AV7" s="409">
        <v>0</v>
      </c>
      <c r="AW7" s="409">
        <v>0</v>
      </c>
      <c r="AX7" s="409">
        <v>0</v>
      </c>
      <c r="AY7" s="409">
        <v>0</v>
      </c>
      <c r="AZ7" s="409">
        <v>0</v>
      </c>
      <c r="BA7" s="409"/>
      <c r="BB7" s="409">
        <v>0</v>
      </c>
      <c r="BC7" s="409">
        <v>0</v>
      </c>
      <c r="BD7" s="409">
        <v>0</v>
      </c>
      <c r="BE7" s="409">
        <v>0</v>
      </c>
      <c r="BF7" s="409">
        <v>0</v>
      </c>
      <c r="BG7" s="409">
        <v>103.89714909552542</v>
      </c>
      <c r="BH7" s="409">
        <v>0</v>
      </c>
      <c r="BI7" s="409">
        <v>139.49</v>
      </c>
      <c r="BJ7" s="409">
        <v>644.03</v>
      </c>
      <c r="BK7" s="409">
        <v>3864.16</v>
      </c>
      <c r="BL7" s="409">
        <v>10</v>
      </c>
      <c r="BM7" s="409"/>
      <c r="BN7" s="409"/>
      <c r="BO7" s="409"/>
      <c r="BP7" s="409"/>
      <c r="BQ7" s="409"/>
      <c r="BR7" s="409"/>
      <c r="BS7" s="409"/>
      <c r="BT7" s="409"/>
      <c r="BU7" s="409"/>
      <c r="BV7" s="409">
        <v>7835.6625390324289</v>
      </c>
      <c r="BW7" s="409"/>
      <c r="BX7" s="409"/>
      <c r="BY7" s="409"/>
      <c r="BZ7" s="409"/>
      <c r="CA7" s="409"/>
      <c r="CB7" s="409"/>
      <c r="CC7" s="409"/>
      <c r="CD7" s="409"/>
      <c r="CE7" s="409"/>
      <c r="CF7" s="409"/>
      <c r="CG7" s="409"/>
      <c r="CH7" s="409"/>
      <c r="CI7" s="409">
        <v>17321.205000000002</v>
      </c>
      <c r="CJ7" s="409">
        <v>-539.8331999999973</v>
      </c>
      <c r="CK7" s="409"/>
      <c r="CL7" s="409"/>
      <c r="CM7" s="409"/>
      <c r="CN7" s="409"/>
      <c r="CO7" s="409">
        <v>-910.05390000000079</v>
      </c>
      <c r="CP7" s="409">
        <v>367.185</v>
      </c>
      <c r="CQ7" s="409">
        <v>31</v>
      </c>
      <c r="CR7" s="409">
        <v>346.33680719147378</v>
      </c>
      <c r="CS7" s="409">
        <v>0</v>
      </c>
      <c r="CT7" s="409">
        <v>0</v>
      </c>
      <c r="CU7" s="409">
        <v>0</v>
      </c>
      <c r="CV7" s="409">
        <v>0</v>
      </c>
      <c r="CW7" s="409">
        <v>0</v>
      </c>
      <c r="CX7" s="409">
        <v>0</v>
      </c>
      <c r="CY7" s="409">
        <v>0</v>
      </c>
      <c r="CZ7" s="409">
        <v>83.350437719210277</v>
      </c>
      <c r="DA7" s="409">
        <v>0</v>
      </c>
      <c r="DB7" s="409">
        <v>0</v>
      </c>
      <c r="DC7" s="409">
        <v>416.50804027966569</v>
      </c>
      <c r="DD7" s="409">
        <v>0</v>
      </c>
      <c r="DE7" s="409">
        <v>0</v>
      </c>
      <c r="DF7" s="409">
        <v>0</v>
      </c>
      <c r="DG7" s="409">
        <v>5.5969103791930053</v>
      </c>
      <c r="DH7" s="409">
        <v>0</v>
      </c>
      <c r="DI7" s="409">
        <v>-108.69642028910903</v>
      </c>
      <c r="DJ7" s="409"/>
      <c r="DK7" s="409">
        <v>0</v>
      </c>
      <c r="DL7" s="409">
        <v>0</v>
      </c>
      <c r="DM7" s="409">
        <v>0</v>
      </c>
      <c r="DN7" s="409">
        <v>0</v>
      </c>
      <c r="DO7" s="409">
        <v>-13.826832459297918</v>
      </c>
      <c r="DP7" s="409">
        <v>-1.9848922766893295</v>
      </c>
      <c r="DQ7" s="409">
        <v>0</v>
      </c>
      <c r="DR7" s="409">
        <v>-34.610436161500758</v>
      </c>
      <c r="DS7" s="409"/>
      <c r="DT7" s="409"/>
      <c r="DU7" s="409"/>
      <c r="DV7" s="409">
        <v>5594.7467792728376</v>
      </c>
      <c r="DW7" s="409">
        <v>0</v>
      </c>
      <c r="DX7" s="409">
        <v>0</v>
      </c>
      <c r="DY7" s="409">
        <v>-910.05390000000079</v>
      </c>
      <c r="DZ7" s="409">
        <v>367.18499999999949</v>
      </c>
      <c r="EA7" s="409">
        <v>0</v>
      </c>
      <c r="EB7" s="409">
        <v>0</v>
      </c>
      <c r="EC7" s="409">
        <v>-889.30168252236308</v>
      </c>
      <c r="ED7" s="409">
        <v>0</v>
      </c>
      <c r="EE7" s="409">
        <v>0</v>
      </c>
      <c r="EF7" s="409">
        <v>0</v>
      </c>
      <c r="EG7" s="409">
        <v>0</v>
      </c>
      <c r="EH7" s="409">
        <v>0</v>
      </c>
      <c r="EI7" s="409">
        <v>0</v>
      </c>
      <c r="EJ7" s="409">
        <v>0</v>
      </c>
      <c r="EK7" s="409">
        <v>0</v>
      </c>
      <c r="EL7" s="409">
        <v>0</v>
      </c>
      <c r="EM7" s="409">
        <v>0</v>
      </c>
      <c r="EN7" s="409">
        <v>0</v>
      </c>
      <c r="EO7" s="409">
        <v>0</v>
      </c>
      <c r="EP7" s="409">
        <v>0</v>
      </c>
      <c r="EQ7" s="409">
        <v>0</v>
      </c>
      <c r="ER7" s="409">
        <v>0</v>
      </c>
      <c r="ES7" s="409">
        <v>0</v>
      </c>
      <c r="ET7" s="409">
        <v>0</v>
      </c>
      <c r="EU7" s="409">
        <v>0</v>
      </c>
      <c r="EV7" s="409">
        <v>210</v>
      </c>
      <c r="EW7" s="409">
        <v>0</v>
      </c>
      <c r="EX7" s="409">
        <v>0</v>
      </c>
      <c r="EY7" s="409">
        <v>0</v>
      </c>
      <c r="EZ7" s="409"/>
      <c r="FA7" s="409">
        <v>0</v>
      </c>
      <c r="FB7" s="409"/>
      <c r="FC7" s="409"/>
      <c r="FD7" s="409"/>
      <c r="FE7" s="409"/>
      <c r="FF7" s="409">
        <v>0</v>
      </c>
      <c r="FG7" s="409">
        <v>0</v>
      </c>
      <c r="FH7" s="409">
        <v>0</v>
      </c>
      <c r="FI7" s="409">
        <v>0</v>
      </c>
    </row>
    <row r="8" spans="1:165" customFormat="1">
      <c r="A8" s="409">
        <v>6</v>
      </c>
      <c r="B8" s="409" t="s">
        <v>2240</v>
      </c>
      <c r="C8" s="409" t="s">
        <v>2241</v>
      </c>
      <c r="D8" s="409" t="s">
        <v>1992</v>
      </c>
      <c r="E8" s="409" t="s">
        <v>969</v>
      </c>
      <c r="F8" s="409" t="s">
        <v>1323</v>
      </c>
      <c r="G8" s="409" t="s">
        <v>1323</v>
      </c>
      <c r="H8" s="409" t="s">
        <v>1323</v>
      </c>
      <c r="I8" s="409" t="s">
        <v>1323</v>
      </c>
      <c r="J8" s="409" t="s">
        <v>2242</v>
      </c>
      <c r="K8" s="838">
        <v>44317</v>
      </c>
      <c r="L8" s="409">
        <v>0</v>
      </c>
      <c r="M8" s="409">
        <v>0</v>
      </c>
      <c r="N8" s="409">
        <v>0.1</v>
      </c>
      <c r="O8" s="409">
        <v>0.1</v>
      </c>
      <c r="P8" s="409">
        <v>0.1</v>
      </c>
      <c r="Q8" s="409">
        <v>0.1</v>
      </c>
      <c r="R8" s="409"/>
      <c r="S8" s="409">
        <v>358.62</v>
      </c>
      <c r="T8" s="409">
        <v>273.74</v>
      </c>
      <c r="U8" s="409"/>
      <c r="V8" s="409">
        <v>63.236000000000004</v>
      </c>
      <c r="W8" s="409">
        <v>63.236000000000004</v>
      </c>
      <c r="X8" s="409">
        <v>61.314000000000007</v>
      </c>
      <c r="Y8" s="409">
        <v>0</v>
      </c>
      <c r="Z8" s="409">
        <v>6.03744121891852</v>
      </c>
      <c r="AA8" s="409">
        <v>0</v>
      </c>
      <c r="AB8" s="409">
        <v>0</v>
      </c>
      <c r="AC8" s="409">
        <v>0</v>
      </c>
      <c r="AD8" s="409">
        <v>8.6088517698592906</v>
      </c>
      <c r="AE8" s="409">
        <v>19.807919204364801</v>
      </c>
      <c r="AF8" s="409">
        <v>27.373925968974699</v>
      </c>
      <c r="AG8" s="409">
        <v>0</v>
      </c>
      <c r="AH8" s="409">
        <v>0</v>
      </c>
      <c r="AI8" s="409">
        <v>0</v>
      </c>
      <c r="AJ8" s="409">
        <v>0</v>
      </c>
      <c r="AK8" s="409">
        <v>0</v>
      </c>
      <c r="AL8" s="409">
        <v>0.93365488414025111</v>
      </c>
      <c r="AM8" s="409"/>
      <c r="AN8" s="409">
        <v>0.10650913711607</v>
      </c>
      <c r="AO8" s="409">
        <v>0</v>
      </c>
      <c r="AP8" s="409">
        <v>0</v>
      </c>
      <c r="AQ8" s="409">
        <v>0</v>
      </c>
      <c r="AR8" s="409">
        <v>0</v>
      </c>
      <c r="AS8" s="409">
        <v>0</v>
      </c>
      <c r="AT8" s="409">
        <v>0</v>
      </c>
      <c r="AU8" s="409">
        <v>0</v>
      </c>
      <c r="AV8" s="409">
        <v>0</v>
      </c>
      <c r="AW8" s="409">
        <v>0</v>
      </c>
      <c r="AX8" s="409">
        <v>0</v>
      </c>
      <c r="AY8" s="409">
        <v>0</v>
      </c>
      <c r="AZ8" s="409">
        <v>0</v>
      </c>
      <c r="BA8" s="409"/>
      <c r="BB8" s="409">
        <v>0</v>
      </c>
      <c r="BC8" s="409">
        <v>0</v>
      </c>
      <c r="BD8" s="409">
        <v>0</v>
      </c>
      <c r="BE8" s="409">
        <v>0</v>
      </c>
      <c r="BF8" s="409">
        <v>0</v>
      </c>
      <c r="BG8" s="409">
        <v>0.36784262381138405</v>
      </c>
      <c r="BH8" s="409">
        <v>0</v>
      </c>
      <c r="BI8" s="409">
        <v>0.49</v>
      </c>
      <c r="BJ8" s="409">
        <v>2.2799999999999998</v>
      </c>
      <c r="BK8" s="409">
        <v>186.21</v>
      </c>
      <c r="BL8" s="409">
        <v>1</v>
      </c>
      <c r="BM8" s="409"/>
      <c r="BN8" s="409"/>
      <c r="BO8" s="409"/>
      <c r="BP8" s="409"/>
      <c r="BQ8" s="409"/>
      <c r="BR8" s="409"/>
      <c r="BS8" s="409"/>
      <c r="BT8" s="409"/>
      <c r="BU8" s="409"/>
      <c r="BV8" s="409">
        <v>27.741768592786084</v>
      </c>
      <c r="BW8" s="409"/>
      <c r="BX8" s="409"/>
      <c r="BY8" s="409"/>
      <c r="BZ8" s="409"/>
      <c r="CA8" s="409"/>
      <c r="CB8" s="409"/>
      <c r="CC8" s="409"/>
      <c r="CD8" s="409"/>
      <c r="CE8" s="409"/>
      <c r="CF8" s="409"/>
      <c r="CG8" s="409"/>
      <c r="CH8" s="409"/>
      <c r="CI8" s="409">
        <v>61.314000000000007</v>
      </c>
      <c r="CJ8" s="409">
        <v>-1.9519999999999911</v>
      </c>
      <c r="CK8" s="409"/>
      <c r="CL8" s="409"/>
      <c r="CM8" s="409"/>
      <c r="CN8" s="409"/>
      <c r="CO8" s="409">
        <v>-3.2220000000000031</v>
      </c>
      <c r="CP8" s="409">
        <v>1.3</v>
      </c>
      <c r="CQ8" s="409">
        <v>31</v>
      </c>
      <c r="CR8" s="409">
        <v>1.2261880233367748</v>
      </c>
      <c r="CS8" s="409">
        <v>0</v>
      </c>
      <c r="CT8" s="409">
        <v>0</v>
      </c>
      <c r="CU8" s="409">
        <v>0</v>
      </c>
      <c r="CV8" s="409">
        <v>0</v>
      </c>
      <c r="CW8" s="409">
        <v>0</v>
      </c>
      <c r="CX8" s="409">
        <v>0</v>
      </c>
      <c r="CY8" s="409">
        <v>0</v>
      </c>
      <c r="CZ8" s="409">
        <v>0.29509802697543108</v>
      </c>
      <c r="DA8" s="409">
        <v>0</v>
      </c>
      <c r="DB8" s="409">
        <v>0</v>
      </c>
      <c r="DC8" s="409">
        <v>1.4746257400590004</v>
      </c>
      <c r="DD8" s="409">
        <v>0</v>
      </c>
      <c r="DE8" s="409">
        <v>0</v>
      </c>
      <c r="DF8" s="409">
        <v>0</v>
      </c>
      <c r="DG8" s="409">
        <v>1.9815579320916987E-2</v>
      </c>
      <c r="DH8" s="409">
        <v>0</v>
      </c>
      <c r="DI8" s="409">
        <v>-0.38483420176707028</v>
      </c>
      <c r="DJ8" s="409"/>
      <c r="DK8" s="409">
        <v>0</v>
      </c>
      <c r="DL8" s="409">
        <v>0</v>
      </c>
      <c r="DM8" s="409">
        <v>0</v>
      </c>
      <c r="DN8" s="409">
        <v>0</v>
      </c>
      <c r="DO8" s="409">
        <v>-4.8953203962817993E-2</v>
      </c>
      <c r="DP8" s="409">
        <v>-7.0274111406950918E-3</v>
      </c>
      <c r="DQ8" s="409">
        <v>0</v>
      </c>
      <c r="DR8" s="409">
        <v>-0.12253650614799351</v>
      </c>
      <c r="DS8" s="409"/>
      <c r="DT8" s="409"/>
      <c r="DU8" s="409"/>
      <c r="DV8" s="409">
        <v>19.807919204364801</v>
      </c>
      <c r="DW8" s="409">
        <v>0</v>
      </c>
      <c r="DX8" s="409">
        <v>0</v>
      </c>
      <c r="DY8" s="409">
        <v>-3.2220000000000013</v>
      </c>
      <c r="DZ8" s="409">
        <v>1.3000000000000007</v>
      </c>
      <c r="EA8" s="409">
        <v>0</v>
      </c>
      <c r="EB8" s="409">
        <v>0</v>
      </c>
      <c r="EC8" s="409">
        <v>-3.1485278191622008</v>
      </c>
      <c r="ED8" s="409">
        <v>0</v>
      </c>
      <c r="EE8" s="409">
        <v>0</v>
      </c>
      <c r="EF8" s="409">
        <v>0</v>
      </c>
      <c r="EG8" s="409">
        <v>0</v>
      </c>
      <c r="EH8" s="409">
        <v>0</v>
      </c>
      <c r="EI8" s="409">
        <v>0</v>
      </c>
      <c r="EJ8" s="409">
        <v>0</v>
      </c>
      <c r="EK8" s="409">
        <v>0</v>
      </c>
      <c r="EL8" s="409">
        <v>0</v>
      </c>
      <c r="EM8" s="409">
        <v>0</v>
      </c>
      <c r="EN8" s="409">
        <v>0</v>
      </c>
      <c r="EO8" s="409">
        <v>0</v>
      </c>
      <c r="EP8" s="409">
        <v>0</v>
      </c>
      <c r="EQ8" s="409">
        <v>0</v>
      </c>
      <c r="ER8" s="409">
        <v>0</v>
      </c>
      <c r="ES8" s="409">
        <v>0</v>
      </c>
      <c r="ET8" s="409">
        <v>0</v>
      </c>
      <c r="EU8" s="409">
        <v>0</v>
      </c>
      <c r="EV8" s="409">
        <v>210</v>
      </c>
      <c r="EW8" s="409">
        <v>0</v>
      </c>
      <c r="EX8" s="409">
        <v>0</v>
      </c>
      <c r="EY8" s="409">
        <v>0</v>
      </c>
      <c r="EZ8" s="409"/>
      <c r="FA8" s="409">
        <v>0</v>
      </c>
      <c r="FB8" s="409"/>
      <c r="FC8" s="409"/>
      <c r="FD8" s="409"/>
      <c r="FE8" s="409"/>
      <c r="FF8" s="409">
        <v>0</v>
      </c>
      <c r="FG8" s="409">
        <v>0</v>
      </c>
      <c r="FH8" s="409">
        <v>0</v>
      </c>
      <c r="FI8" s="409">
        <v>0</v>
      </c>
    </row>
    <row r="9" spans="1:165" customFormat="1">
      <c r="A9" s="409">
        <v>7</v>
      </c>
      <c r="B9" s="409" t="s">
        <v>1035</v>
      </c>
      <c r="C9" s="409" t="s">
        <v>2246</v>
      </c>
      <c r="D9" s="409" t="s">
        <v>595</v>
      </c>
      <c r="E9" s="409" t="s">
        <v>969</v>
      </c>
      <c r="F9" s="409" t="s">
        <v>1323</v>
      </c>
      <c r="G9" s="409" t="s">
        <v>1323</v>
      </c>
      <c r="H9" s="409" t="s">
        <v>1323</v>
      </c>
      <c r="I9" s="409" t="s">
        <v>972</v>
      </c>
      <c r="J9" s="409" t="s">
        <v>2242</v>
      </c>
      <c r="K9" s="838">
        <v>44317</v>
      </c>
      <c r="L9" s="409">
        <v>0</v>
      </c>
      <c r="M9" s="409">
        <v>0</v>
      </c>
      <c r="N9" s="409">
        <v>12.726000000000001</v>
      </c>
      <c r="O9" s="409">
        <v>12.726000000000001</v>
      </c>
      <c r="P9" s="409">
        <v>12.726000000000001</v>
      </c>
      <c r="Q9" s="409">
        <v>12.726000000000001</v>
      </c>
      <c r="R9" s="409"/>
      <c r="S9" s="409">
        <v>1856.88</v>
      </c>
      <c r="T9" s="409">
        <v>273.74</v>
      </c>
      <c r="U9" s="409"/>
      <c r="V9" s="409">
        <v>27114.270120000001</v>
      </c>
      <c r="W9" s="409">
        <v>27114.270120000001</v>
      </c>
      <c r="X9" s="409">
        <v>24844.588020000003</v>
      </c>
      <c r="Y9" s="409">
        <v>0</v>
      </c>
      <c r="Z9" s="409">
        <v>668.44254948202638</v>
      </c>
      <c r="AA9" s="409">
        <v>0</v>
      </c>
      <c r="AB9" s="409">
        <v>0</v>
      </c>
      <c r="AC9" s="409">
        <v>0</v>
      </c>
      <c r="AD9" s="409">
        <v>6236.9091430329536</v>
      </c>
      <c r="AE9" s="409">
        <v>16574.107235743195</v>
      </c>
      <c r="AF9" s="409">
        <v>3483.6058188117204</v>
      </c>
      <c r="AG9" s="409">
        <v>0</v>
      </c>
      <c r="AH9" s="409">
        <v>0</v>
      </c>
      <c r="AI9" s="409">
        <v>0</v>
      </c>
      <c r="AJ9" s="409">
        <v>0</v>
      </c>
      <c r="AK9" s="409">
        <v>0</v>
      </c>
      <c r="AL9" s="409">
        <v>118.81692055568836</v>
      </c>
      <c r="AM9" s="409"/>
      <c r="AN9" s="409">
        <v>11.047286744789824</v>
      </c>
      <c r="AO9" s="409">
        <v>0</v>
      </c>
      <c r="AP9" s="409">
        <v>0</v>
      </c>
      <c r="AQ9" s="409">
        <v>0</v>
      </c>
      <c r="AR9" s="409">
        <v>0</v>
      </c>
      <c r="AS9" s="409">
        <v>0</v>
      </c>
      <c r="AT9" s="409">
        <v>0</v>
      </c>
      <c r="AU9" s="409">
        <v>0</v>
      </c>
      <c r="AV9" s="409">
        <v>0</v>
      </c>
      <c r="AW9" s="409">
        <v>0</v>
      </c>
      <c r="AX9" s="409">
        <v>0</v>
      </c>
      <c r="AY9" s="409">
        <v>0</v>
      </c>
      <c r="AZ9" s="409">
        <v>0</v>
      </c>
      <c r="BA9" s="409"/>
      <c r="BB9" s="409">
        <v>0</v>
      </c>
      <c r="BC9" s="409">
        <v>0</v>
      </c>
      <c r="BD9" s="409">
        <v>0</v>
      </c>
      <c r="BE9" s="409">
        <v>0</v>
      </c>
      <c r="BF9" s="409">
        <v>0</v>
      </c>
      <c r="BG9" s="409">
        <v>21.294745060136385</v>
      </c>
      <c r="BH9" s="409">
        <v>0</v>
      </c>
      <c r="BI9" s="409">
        <v>0</v>
      </c>
      <c r="BJ9" s="409">
        <v>0</v>
      </c>
      <c r="BK9" s="409">
        <v>0</v>
      </c>
      <c r="BL9" s="409">
        <v>0</v>
      </c>
      <c r="BM9" s="409"/>
      <c r="BN9" s="409"/>
      <c r="BO9" s="409"/>
      <c r="BP9" s="409"/>
      <c r="BQ9" s="409"/>
      <c r="BR9" s="409"/>
      <c r="BS9" s="409"/>
      <c r="BT9" s="409"/>
      <c r="BU9" s="409"/>
      <c r="BV9" s="409">
        <v>3504.9005638718568</v>
      </c>
      <c r="BW9" s="409"/>
      <c r="BX9" s="409"/>
      <c r="BY9" s="409"/>
      <c r="BZ9" s="409"/>
      <c r="CA9" s="409"/>
      <c r="CB9" s="409"/>
      <c r="CC9" s="409"/>
      <c r="CD9" s="409"/>
      <c r="CE9" s="409"/>
      <c r="CF9" s="409"/>
      <c r="CG9" s="409"/>
      <c r="CH9" s="409"/>
      <c r="CI9" s="409">
        <v>24852.397099999998</v>
      </c>
      <c r="CJ9" s="409">
        <v>-2261.9030199999979</v>
      </c>
      <c r="CK9" s="409"/>
      <c r="CL9" s="409"/>
      <c r="CM9" s="409"/>
      <c r="CN9" s="409"/>
      <c r="CO9" s="409">
        <v>-2435.1201000000019</v>
      </c>
      <c r="CP9" s="409">
        <v>165.43800000000002</v>
      </c>
      <c r="CQ9" s="409">
        <v>31</v>
      </c>
      <c r="CR9" s="409">
        <v>364.95846001469727</v>
      </c>
      <c r="CS9" s="409">
        <v>0</v>
      </c>
      <c r="CT9" s="409">
        <v>0</v>
      </c>
      <c r="CU9" s="409">
        <v>0</v>
      </c>
      <c r="CV9" s="409">
        <v>0</v>
      </c>
      <c r="CW9" s="409">
        <v>0</v>
      </c>
      <c r="CX9" s="409">
        <v>0</v>
      </c>
      <c r="CY9" s="409">
        <v>0</v>
      </c>
      <c r="CZ9" s="409">
        <v>213.79152896763935</v>
      </c>
      <c r="DA9" s="409">
        <v>0</v>
      </c>
      <c r="DB9" s="409">
        <v>0</v>
      </c>
      <c r="DC9" s="409">
        <v>187.66087167990872</v>
      </c>
      <c r="DD9" s="409">
        <v>0</v>
      </c>
      <c r="DE9" s="409">
        <v>0</v>
      </c>
      <c r="DF9" s="409">
        <v>0</v>
      </c>
      <c r="DG9" s="409">
        <v>1.1471419638259235</v>
      </c>
      <c r="DH9" s="409">
        <v>0</v>
      </c>
      <c r="DI9" s="409">
        <v>-42.607380449683205</v>
      </c>
      <c r="DJ9" s="409"/>
      <c r="DK9" s="409">
        <v>0</v>
      </c>
      <c r="DL9" s="409">
        <v>0</v>
      </c>
      <c r="DM9" s="409">
        <v>0</v>
      </c>
      <c r="DN9" s="409">
        <v>0</v>
      </c>
      <c r="DO9" s="409">
        <v>-6.2297847363082184</v>
      </c>
      <c r="DP9" s="409">
        <v>-0.72889357708517366</v>
      </c>
      <c r="DQ9" s="409">
        <v>0</v>
      </c>
      <c r="DR9" s="409">
        <v>11.924976166398931</v>
      </c>
      <c r="DS9" s="409"/>
      <c r="DT9" s="409"/>
      <c r="DU9" s="409"/>
      <c r="DV9" s="409">
        <v>16574.107235743195</v>
      </c>
      <c r="DW9" s="409">
        <v>0</v>
      </c>
      <c r="DX9" s="409">
        <v>0</v>
      </c>
      <c r="DY9" s="409">
        <v>-2435.1201000000001</v>
      </c>
      <c r="DZ9" s="409">
        <v>165.43799999999965</v>
      </c>
      <c r="EA9" s="409">
        <v>0</v>
      </c>
      <c r="EB9" s="409">
        <v>0</v>
      </c>
      <c r="EC9" s="409">
        <v>-2634.5037644344466</v>
      </c>
      <c r="ED9" s="409">
        <v>0</v>
      </c>
      <c r="EE9" s="409">
        <v>0</v>
      </c>
      <c r="EF9" s="409">
        <v>0</v>
      </c>
      <c r="EG9" s="409">
        <v>0</v>
      </c>
      <c r="EH9" s="409">
        <v>0</v>
      </c>
      <c r="EI9" s="409">
        <v>0</v>
      </c>
      <c r="EJ9" s="409">
        <v>0</v>
      </c>
      <c r="EK9" s="409">
        <v>0</v>
      </c>
      <c r="EL9" s="409">
        <v>0</v>
      </c>
      <c r="EM9" s="409">
        <v>0</v>
      </c>
      <c r="EN9" s="409">
        <v>0</v>
      </c>
      <c r="EO9" s="409">
        <v>0</v>
      </c>
      <c r="EP9" s="409">
        <v>0</v>
      </c>
      <c r="EQ9" s="409">
        <v>0</v>
      </c>
      <c r="ER9" s="409">
        <v>0</v>
      </c>
      <c r="ES9" s="409">
        <v>0</v>
      </c>
      <c r="ET9" s="409">
        <v>0</v>
      </c>
      <c r="EU9" s="409">
        <v>0</v>
      </c>
      <c r="EV9" s="409">
        <v>210</v>
      </c>
      <c r="EW9" s="409">
        <v>0</v>
      </c>
      <c r="EX9" s="409">
        <v>0</v>
      </c>
      <c r="EY9" s="409">
        <v>0</v>
      </c>
      <c r="EZ9" s="409"/>
      <c r="FA9" s="409">
        <v>0</v>
      </c>
      <c r="FB9" s="409"/>
      <c r="FC9" s="409"/>
      <c r="FD9" s="409"/>
      <c r="FE9" s="409"/>
      <c r="FF9" s="409">
        <v>0</v>
      </c>
      <c r="FG9" s="409">
        <v>0</v>
      </c>
      <c r="FH9" s="409">
        <v>0</v>
      </c>
      <c r="FI9" s="409">
        <v>0</v>
      </c>
    </row>
    <row r="10" spans="1:165" customFormat="1">
      <c r="A10" s="409">
        <v>8</v>
      </c>
      <c r="B10" s="409" t="s">
        <v>1035</v>
      </c>
      <c r="C10" s="409" t="s">
        <v>2246</v>
      </c>
      <c r="D10" s="409" t="s">
        <v>595</v>
      </c>
      <c r="E10" s="409" t="s">
        <v>969</v>
      </c>
      <c r="F10" s="409" t="s">
        <v>1323</v>
      </c>
      <c r="G10" s="409" t="s">
        <v>1323</v>
      </c>
      <c r="H10" s="409" t="s">
        <v>1323</v>
      </c>
      <c r="I10" s="409" t="s">
        <v>2234</v>
      </c>
      <c r="J10" s="409" t="s">
        <v>2242</v>
      </c>
      <c r="K10" s="838">
        <v>44317</v>
      </c>
      <c r="L10" s="409">
        <v>0</v>
      </c>
      <c r="M10" s="409">
        <v>0</v>
      </c>
      <c r="N10" s="409">
        <v>106.227</v>
      </c>
      <c r="O10" s="409">
        <v>106.227</v>
      </c>
      <c r="P10" s="409">
        <v>106.227</v>
      </c>
      <c r="Q10" s="409">
        <v>106.227</v>
      </c>
      <c r="R10" s="409"/>
      <c r="S10" s="409">
        <v>64.400000000000006</v>
      </c>
      <c r="T10" s="409">
        <v>273.74</v>
      </c>
      <c r="U10" s="409"/>
      <c r="V10" s="409">
        <v>35919.597780000004</v>
      </c>
      <c r="W10" s="409">
        <v>35919.597780000004</v>
      </c>
      <c r="X10" s="409">
        <v>36906.446609999999</v>
      </c>
      <c r="Y10" s="409">
        <v>0</v>
      </c>
      <c r="Z10" s="409">
        <v>5579.6516347498991</v>
      </c>
      <c r="AA10" s="409">
        <v>0</v>
      </c>
      <c r="AB10" s="409">
        <v>0</v>
      </c>
      <c r="AC10" s="409">
        <v>0</v>
      </c>
      <c r="AD10" s="409">
        <v>0</v>
      </c>
      <c r="AE10" s="409">
        <v>0</v>
      </c>
      <c r="AF10" s="409">
        <v>29078.500339062753</v>
      </c>
      <c r="AG10" s="409">
        <v>0</v>
      </c>
      <c r="AH10" s="409">
        <v>0</v>
      </c>
      <c r="AI10" s="409">
        <v>0</v>
      </c>
      <c r="AJ10" s="409">
        <v>0</v>
      </c>
      <c r="AK10" s="409">
        <v>0</v>
      </c>
      <c r="AL10" s="409">
        <v>991.79357377566453</v>
      </c>
      <c r="AM10" s="409"/>
      <c r="AN10" s="409">
        <v>92.214374433348155</v>
      </c>
      <c r="AO10" s="409">
        <v>0</v>
      </c>
      <c r="AP10" s="409">
        <v>0</v>
      </c>
      <c r="AQ10" s="409">
        <v>0</v>
      </c>
      <c r="AR10" s="409">
        <v>0</v>
      </c>
      <c r="AS10" s="409">
        <v>0</v>
      </c>
      <c r="AT10" s="409">
        <v>0</v>
      </c>
      <c r="AU10" s="409">
        <v>0</v>
      </c>
      <c r="AV10" s="409">
        <v>0</v>
      </c>
      <c r="AW10" s="409">
        <v>0</v>
      </c>
      <c r="AX10" s="409">
        <v>0</v>
      </c>
      <c r="AY10" s="409">
        <v>0</v>
      </c>
      <c r="AZ10" s="409">
        <v>0</v>
      </c>
      <c r="BA10" s="409"/>
      <c r="BB10" s="409">
        <v>0</v>
      </c>
      <c r="BC10" s="409">
        <v>0</v>
      </c>
      <c r="BD10" s="409">
        <v>0</v>
      </c>
      <c r="BE10" s="409">
        <v>0</v>
      </c>
      <c r="BF10" s="409">
        <v>0</v>
      </c>
      <c r="BG10" s="409">
        <v>177.75238751399559</v>
      </c>
      <c r="BH10" s="409">
        <v>0</v>
      </c>
      <c r="BI10" s="409">
        <v>0</v>
      </c>
      <c r="BJ10" s="409">
        <v>0</v>
      </c>
      <c r="BK10" s="409">
        <v>0</v>
      </c>
      <c r="BL10" s="409">
        <v>0</v>
      </c>
      <c r="BM10" s="409"/>
      <c r="BN10" s="409"/>
      <c r="BO10" s="409"/>
      <c r="BP10" s="409"/>
      <c r="BQ10" s="409"/>
      <c r="BR10" s="409"/>
      <c r="BS10" s="409"/>
      <c r="BT10" s="409"/>
      <c r="BU10" s="409"/>
      <c r="BV10" s="409">
        <v>29256.252726576749</v>
      </c>
      <c r="BW10" s="409"/>
      <c r="BX10" s="409"/>
      <c r="BY10" s="409"/>
      <c r="BZ10" s="409"/>
      <c r="CA10" s="409"/>
      <c r="CB10" s="409"/>
      <c r="CC10" s="409"/>
      <c r="CD10" s="409"/>
      <c r="CE10" s="409"/>
      <c r="CF10" s="409"/>
      <c r="CG10" s="409"/>
      <c r="CH10" s="409"/>
      <c r="CI10" s="409">
        <v>36907.488900000004</v>
      </c>
      <c r="CJ10" s="409">
        <v>987.86112000000139</v>
      </c>
      <c r="CK10" s="409"/>
      <c r="CL10" s="409"/>
      <c r="CM10" s="409"/>
      <c r="CN10" s="409"/>
      <c r="CO10" s="409">
        <v>-394.10217000000085</v>
      </c>
      <c r="CP10" s="409">
        <v>1380.951</v>
      </c>
      <c r="CQ10" s="409">
        <v>31</v>
      </c>
      <c r="CR10" s="409">
        <v>987.01081016955868</v>
      </c>
      <c r="CS10" s="409">
        <v>0</v>
      </c>
      <c r="CT10" s="409">
        <v>0</v>
      </c>
      <c r="CU10" s="409">
        <v>0</v>
      </c>
      <c r="CV10" s="409">
        <v>0</v>
      </c>
      <c r="CW10" s="409">
        <v>0</v>
      </c>
      <c r="CX10" s="409">
        <v>0</v>
      </c>
      <c r="CY10" s="409">
        <v>0</v>
      </c>
      <c r="CZ10" s="409">
        <v>0</v>
      </c>
      <c r="DA10" s="409">
        <v>0</v>
      </c>
      <c r="DB10" s="409">
        <v>0</v>
      </c>
      <c r="DC10" s="409">
        <v>1566.4506848924757</v>
      </c>
      <c r="DD10" s="409">
        <v>0</v>
      </c>
      <c r="DE10" s="409">
        <v>0</v>
      </c>
      <c r="DF10" s="409">
        <v>0</v>
      </c>
      <c r="DG10" s="409">
        <v>9.5754714278906476</v>
      </c>
      <c r="DH10" s="409">
        <v>0</v>
      </c>
      <c r="DI10" s="409">
        <v>-355.65410993466139</v>
      </c>
      <c r="DJ10" s="409"/>
      <c r="DK10" s="409">
        <v>0</v>
      </c>
      <c r="DL10" s="409">
        <v>0</v>
      </c>
      <c r="DM10" s="409">
        <v>0</v>
      </c>
      <c r="DN10" s="409">
        <v>0</v>
      </c>
      <c r="DO10" s="409">
        <v>-52.001519973582731</v>
      </c>
      <c r="DP10" s="409">
        <v>-6.0842509832647238</v>
      </c>
      <c r="DQ10" s="409">
        <v>0</v>
      </c>
      <c r="DR10" s="409">
        <v>-175.27546525929611</v>
      </c>
      <c r="DS10" s="409"/>
      <c r="DT10" s="409"/>
      <c r="DU10" s="409"/>
      <c r="DV10" s="409">
        <v>0</v>
      </c>
      <c r="DW10" s="409">
        <v>0</v>
      </c>
      <c r="DX10" s="409">
        <v>0</v>
      </c>
      <c r="DY10" s="409">
        <v>-394.10217000000102</v>
      </c>
      <c r="DZ10" s="409">
        <v>1380.9510000000009</v>
      </c>
      <c r="EA10" s="409">
        <v>0</v>
      </c>
      <c r="EB10" s="409">
        <v>0</v>
      </c>
      <c r="EC10" s="409">
        <v>0</v>
      </c>
      <c r="ED10" s="409">
        <v>0</v>
      </c>
      <c r="EE10" s="409">
        <v>0</v>
      </c>
      <c r="EF10" s="409">
        <v>0</v>
      </c>
      <c r="EG10" s="409">
        <v>0</v>
      </c>
      <c r="EH10" s="409">
        <v>0</v>
      </c>
      <c r="EI10" s="409">
        <v>0</v>
      </c>
      <c r="EJ10" s="409">
        <v>0</v>
      </c>
      <c r="EK10" s="409">
        <v>0</v>
      </c>
      <c r="EL10" s="409">
        <v>0</v>
      </c>
      <c r="EM10" s="409">
        <v>0</v>
      </c>
      <c r="EN10" s="409">
        <v>0</v>
      </c>
      <c r="EO10" s="409">
        <v>0</v>
      </c>
      <c r="EP10" s="409">
        <v>0</v>
      </c>
      <c r="EQ10" s="409">
        <v>0</v>
      </c>
      <c r="ER10" s="409">
        <v>0</v>
      </c>
      <c r="ES10" s="409">
        <v>0</v>
      </c>
      <c r="ET10" s="409">
        <v>0</v>
      </c>
      <c r="EU10" s="409">
        <v>0</v>
      </c>
      <c r="EV10" s="409">
        <v>210</v>
      </c>
      <c r="EW10" s="409">
        <v>0</v>
      </c>
      <c r="EX10" s="409">
        <v>0</v>
      </c>
      <c r="EY10" s="409">
        <v>0</v>
      </c>
      <c r="EZ10" s="409"/>
      <c r="FA10" s="409">
        <v>0</v>
      </c>
      <c r="FB10" s="409"/>
      <c r="FC10" s="409"/>
      <c r="FD10" s="409"/>
      <c r="FE10" s="409"/>
      <c r="FF10" s="409">
        <v>0</v>
      </c>
      <c r="FG10" s="409">
        <v>0</v>
      </c>
      <c r="FH10" s="409">
        <v>0</v>
      </c>
      <c r="FI10" s="409">
        <v>0</v>
      </c>
    </row>
    <row r="11" spans="1:165" customFormat="1">
      <c r="A11" s="409">
        <v>9</v>
      </c>
      <c r="B11" s="409" t="s">
        <v>1035</v>
      </c>
      <c r="C11" s="409" t="s">
        <v>2246</v>
      </c>
      <c r="D11" s="409" t="s">
        <v>595</v>
      </c>
      <c r="E11" s="409" t="s">
        <v>969</v>
      </c>
      <c r="F11" s="409" t="s">
        <v>1323</v>
      </c>
      <c r="G11" s="409" t="s">
        <v>1323</v>
      </c>
      <c r="H11" s="409" t="s">
        <v>1323</v>
      </c>
      <c r="I11" s="409" t="s">
        <v>1323</v>
      </c>
      <c r="J11" s="409" t="s">
        <v>2242</v>
      </c>
      <c r="K11" s="838">
        <v>44317</v>
      </c>
      <c r="L11" s="409">
        <v>843</v>
      </c>
      <c r="M11" s="409">
        <v>843</v>
      </c>
      <c r="N11" s="409">
        <v>0</v>
      </c>
      <c r="O11" s="409">
        <v>0</v>
      </c>
      <c r="P11" s="409">
        <v>0</v>
      </c>
      <c r="Q11" s="409">
        <v>0</v>
      </c>
      <c r="R11" s="409">
        <v>33.6</v>
      </c>
      <c r="S11" s="409"/>
      <c r="T11" s="409"/>
      <c r="U11" s="409">
        <v>28324.800000000003</v>
      </c>
      <c r="V11" s="409"/>
      <c r="W11" s="409">
        <v>28324.800000000003</v>
      </c>
      <c r="X11" s="409">
        <v>26773.68</v>
      </c>
      <c r="Y11" s="409">
        <v>0</v>
      </c>
      <c r="Z11" s="409">
        <v>0</v>
      </c>
      <c r="AA11" s="409">
        <v>0</v>
      </c>
      <c r="AB11" s="409">
        <v>0</v>
      </c>
      <c r="AC11" s="409">
        <v>0</v>
      </c>
      <c r="AD11" s="409">
        <v>15043.769038745078</v>
      </c>
      <c r="AE11" s="409">
        <v>13281.591460987915</v>
      </c>
      <c r="AF11" s="409"/>
      <c r="AG11" s="409"/>
      <c r="AH11" s="409"/>
      <c r="AI11" s="409">
        <v>0</v>
      </c>
      <c r="AJ11" s="409">
        <v>0</v>
      </c>
      <c r="AK11" s="409">
        <v>0</v>
      </c>
      <c r="AL11" s="409">
        <v>0</v>
      </c>
      <c r="AM11" s="409"/>
      <c r="AN11" s="409">
        <v>0</v>
      </c>
      <c r="AO11" s="409">
        <v>0</v>
      </c>
      <c r="AP11" s="409">
        <v>0</v>
      </c>
      <c r="AQ11" s="409">
        <v>0</v>
      </c>
      <c r="AR11" s="409">
        <v>0</v>
      </c>
      <c r="AS11" s="409"/>
      <c r="AT11" s="409"/>
      <c r="AU11" s="409">
        <v>0</v>
      </c>
      <c r="AV11" s="409">
        <v>0</v>
      </c>
      <c r="AW11" s="409">
        <v>0</v>
      </c>
      <c r="AX11" s="409"/>
      <c r="AY11" s="409"/>
      <c r="AZ11" s="409">
        <v>0</v>
      </c>
      <c r="BA11" s="409"/>
      <c r="BB11" s="409">
        <v>0</v>
      </c>
      <c r="BC11" s="409">
        <v>0</v>
      </c>
      <c r="BD11" s="409">
        <v>0</v>
      </c>
      <c r="BE11" s="409">
        <v>0</v>
      </c>
      <c r="BF11" s="409"/>
      <c r="BG11" s="409">
        <v>0</v>
      </c>
      <c r="BH11" s="409">
        <v>0</v>
      </c>
      <c r="BI11" s="409">
        <v>595.38</v>
      </c>
      <c r="BJ11" s="409">
        <v>2747.94</v>
      </c>
      <c r="BK11" s="409">
        <v>16050.93</v>
      </c>
      <c r="BL11" s="409">
        <v>3</v>
      </c>
      <c r="BM11" s="409"/>
      <c r="BN11" s="409"/>
      <c r="BO11" s="409"/>
      <c r="BP11" s="409"/>
      <c r="BQ11" s="409"/>
      <c r="BR11" s="409"/>
      <c r="BS11" s="409"/>
      <c r="BT11" s="409"/>
      <c r="BU11" s="409"/>
      <c r="BV11" s="409">
        <v>0</v>
      </c>
      <c r="BW11" s="409"/>
      <c r="BX11" s="409"/>
      <c r="BY11" s="409"/>
      <c r="BZ11" s="409"/>
      <c r="CA11" s="409"/>
      <c r="CB11" s="409"/>
      <c r="CC11" s="409"/>
      <c r="CD11" s="409"/>
      <c r="CE11" s="409"/>
      <c r="CF11" s="409"/>
      <c r="CG11" s="409"/>
      <c r="CH11" s="409"/>
      <c r="CI11" s="409">
        <v>26773.68</v>
      </c>
      <c r="CJ11" s="409">
        <v>-1551.1499999999978</v>
      </c>
      <c r="CK11" s="409"/>
      <c r="CL11" s="409"/>
      <c r="CM11" s="409"/>
      <c r="CN11" s="409"/>
      <c r="CO11" s="409">
        <v>-1551.12</v>
      </c>
      <c r="CP11" s="409">
        <v>0</v>
      </c>
      <c r="CQ11" s="409">
        <v>31</v>
      </c>
      <c r="CR11" s="409">
        <v>556.55876744722991</v>
      </c>
      <c r="CS11" s="409">
        <v>0</v>
      </c>
      <c r="CT11" s="409">
        <v>0</v>
      </c>
      <c r="CU11" s="409">
        <v>0</v>
      </c>
      <c r="CV11" s="409">
        <v>0</v>
      </c>
      <c r="CW11" s="409"/>
      <c r="CX11" s="409"/>
      <c r="CY11" s="409"/>
      <c r="CZ11" s="409">
        <v>515.67696602117758</v>
      </c>
      <c r="DA11" s="409">
        <v>0</v>
      </c>
      <c r="DB11" s="409">
        <v>0</v>
      </c>
      <c r="DC11" s="409"/>
      <c r="DD11" s="409"/>
      <c r="DE11" s="409">
        <v>0</v>
      </c>
      <c r="DF11" s="409">
        <v>0</v>
      </c>
      <c r="DG11" s="409">
        <v>0</v>
      </c>
      <c r="DH11" s="409">
        <v>0</v>
      </c>
      <c r="DI11" s="409">
        <v>0</v>
      </c>
      <c r="DJ11" s="409"/>
      <c r="DK11" s="409">
        <v>0</v>
      </c>
      <c r="DL11" s="409">
        <v>0</v>
      </c>
      <c r="DM11" s="409"/>
      <c r="DN11" s="409">
        <v>0</v>
      </c>
      <c r="DO11" s="409">
        <v>0</v>
      </c>
      <c r="DP11" s="409">
        <v>0</v>
      </c>
      <c r="DQ11" s="409">
        <v>0</v>
      </c>
      <c r="DR11" s="409">
        <v>40.881801426052682</v>
      </c>
      <c r="DS11" s="409"/>
      <c r="DT11" s="409"/>
      <c r="DU11" s="409">
        <v>13281.591460987915</v>
      </c>
      <c r="DV11" s="409"/>
      <c r="DW11" s="409">
        <v>0</v>
      </c>
      <c r="DX11" s="409">
        <v>0</v>
      </c>
      <c r="DY11" s="409">
        <v>-1551.1200000000026</v>
      </c>
      <c r="DZ11" s="409"/>
      <c r="EA11" s="409">
        <v>0</v>
      </c>
      <c r="EB11" s="409"/>
      <c r="EC11" s="409">
        <v>-2111.1485646837755</v>
      </c>
      <c r="ED11" s="409"/>
      <c r="EE11" s="409">
        <v>0</v>
      </c>
      <c r="EF11" s="409">
        <v>0</v>
      </c>
      <c r="EG11" s="409"/>
      <c r="EH11" s="409">
        <v>0</v>
      </c>
      <c r="EI11" s="409">
        <v>0</v>
      </c>
      <c r="EJ11" s="409">
        <v>0</v>
      </c>
      <c r="EK11" s="409">
        <v>0</v>
      </c>
      <c r="EL11" s="409">
        <v>0</v>
      </c>
      <c r="EM11" s="409"/>
      <c r="EN11" s="409"/>
      <c r="EO11" s="409">
        <v>0</v>
      </c>
      <c r="EP11" s="409">
        <v>0</v>
      </c>
      <c r="EQ11" s="409"/>
      <c r="ER11" s="409">
        <v>0</v>
      </c>
      <c r="ES11" s="409"/>
      <c r="ET11" s="409">
        <v>0</v>
      </c>
      <c r="EU11" s="409"/>
      <c r="EV11" s="409">
        <v>210</v>
      </c>
      <c r="EW11" s="409"/>
      <c r="EX11" s="409"/>
      <c r="EY11" s="409"/>
      <c r="EZ11" s="409"/>
      <c r="FA11" s="409">
        <v>0</v>
      </c>
      <c r="FB11" s="409"/>
      <c r="FC11" s="409"/>
      <c r="FD11" s="409"/>
      <c r="FE11" s="409"/>
      <c r="FF11" s="409">
        <v>0</v>
      </c>
      <c r="FG11" s="409">
        <v>0</v>
      </c>
      <c r="FH11" s="409">
        <v>0</v>
      </c>
      <c r="FI11" s="409">
        <v>0</v>
      </c>
    </row>
    <row r="12" spans="1:165" customFormat="1">
      <c r="A12" s="409">
        <v>10</v>
      </c>
      <c r="B12" s="409" t="s">
        <v>1035</v>
      </c>
      <c r="C12" s="409" t="s">
        <v>2241</v>
      </c>
      <c r="D12" s="409" t="s">
        <v>1992</v>
      </c>
      <c r="E12" s="409" t="s">
        <v>997</v>
      </c>
      <c r="F12" s="409" t="s">
        <v>1323</v>
      </c>
      <c r="G12" s="409" t="s">
        <v>1323</v>
      </c>
      <c r="H12" s="409" t="s">
        <v>1323</v>
      </c>
      <c r="I12" s="409" t="s">
        <v>1323</v>
      </c>
      <c r="J12" s="409" t="s">
        <v>2242</v>
      </c>
      <c r="K12" s="838">
        <v>44317</v>
      </c>
      <c r="L12" s="409">
        <v>0</v>
      </c>
      <c r="M12" s="409">
        <v>0</v>
      </c>
      <c r="N12" s="409">
        <v>58.000999999999998</v>
      </c>
      <c r="O12" s="409">
        <v>58.000999999999998</v>
      </c>
      <c r="P12" s="409">
        <v>58.000999999999998</v>
      </c>
      <c r="Q12" s="409">
        <v>58.000999999999998</v>
      </c>
      <c r="R12" s="409"/>
      <c r="S12" s="409">
        <v>358.62</v>
      </c>
      <c r="T12" s="409">
        <v>273.74</v>
      </c>
      <c r="U12" s="409"/>
      <c r="V12" s="409">
        <v>36677.512360000001</v>
      </c>
      <c r="W12" s="409">
        <v>36677.512360000001</v>
      </c>
      <c r="X12" s="409">
        <v>35562.733139999997</v>
      </c>
      <c r="Y12" s="409">
        <v>0</v>
      </c>
      <c r="Z12" s="409">
        <v>3501.7762813849308</v>
      </c>
      <c r="AA12" s="409">
        <v>0</v>
      </c>
      <c r="AB12" s="409">
        <v>0</v>
      </c>
      <c r="AC12" s="409">
        <v>0</v>
      </c>
      <c r="AD12" s="409">
        <v>4993.2201150360861</v>
      </c>
      <c r="AE12" s="409">
        <v>11488.791217723627</v>
      </c>
      <c r="AF12" s="409">
        <v>15877.150801265014</v>
      </c>
      <c r="AG12" s="409">
        <v>0</v>
      </c>
      <c r="AH12" s="409">
        <v>0</v>
      </c>
      <c r="AI12" s="409">
        <v>0</v>
      </c>
      <c r="AJ12" s="409">
        <v>0</v>
      </c>
      <c r="AK12" s="409">
        <v>0</v>
      </c>
      <c r="AL12" s="409">
        <v>541.52916935018698</v>
      </c>
      <c r="AM12" s="409"/>
      <c r="AN12" s="409">
        <v>61.776364618691758</v>
      </c>
      <c r="AO12" s="409">
        <v>0</v>
      </c>
      <c r="AP12" s="409">
        <v>0</v>
      </c>
      <c r="AQ12" s="409">
        <v>0</v>
      </c>
      <c r="AR12" s="409">
        <v>0</v>
      </c>
      <c r="AS12" s="409">
        <v>0</v>
      </c>
      <c r="AT12" s="409">
        <v>0</v>
      </c>
      <c r="AU12" s="409">
        <v>0</v>
      </c>
      <c r="AV12" s="409">
        <v>0</v>
      </c>
      <c r="AW12" s="409">
        <v>0</v>
      </c>
      <c r="AX12" s="409">
        <v>0</v>
      </c>
      <c r="AY12" s="409">
        <v>0</v>
      </c>
      <c r="AZ12" s="409">
        <v>0</v>
      </c>
      <c r="BA12" s="409"/>
      <c r="BB12" s="409">
        <v>0</v>
      </c>
      <c r="BC12" s="409">
        <v>0</v>
      </c>
      <c r="BD12" s="409">
        <v>0</v>
      </c>
      <c r="BE12" s="409">
        <v>0</v>
      </c>
      <c r="BF12" s="409">
        <v>0</v>
      </c>
      <c r="BG12" s="409">
        <v>213.35240023684082</v>
      </c>
      <c r="BH12" s="409">
        <v>0</v>
      </c>
      <c r="BI12" s="409">
        <v>241.84</v>
      </c>
      <c r="BJ12" s="409">
        <v>1117.53</v>
      </c>
      <c r="BK12" s="409">
        <v>7879.81</v>
      </c>
      <c r="BL12" s="409">
        <v>70</v>
      </c>
      <c r="BM12" s="409"/>
      <c r="BN12" s="409"/>
      <c r="BO12" s="409"/>
      <c r="BP12" s="409"/>
      <c r="BQ12" s="409"/>
      <c r="BR12" s="409"/>
      <c r="BS12" s="409"/>
      <c r="BT12" s="409"/>
      <c r="BU12" s="409"/>
      <c r="BV12" s="409">
        <v>16090.503201501855</v>
      </c>
      <c r="BW12" s="409"/>
      <c r="BX12" s="409"/>
      <c r="BY12" s="409"/>
      <c r="BZ12" s="409"/>
      <c r="CA12" s="409"/>
      <c r="CB12" s="409"/>
      <c r="CC12" s="409"/>
      <c r="CD12" s="409"/>
      <c r="CE12" s="409"/>
      <c r="CF12" s="409"/>
      <c r="CG12" s="409"/>
      <c r="CH12" s="409"/>
      <c r="CI12" s="409">
        <v>35562.119999999995</v>
      </c>
      <c r="CJ12" s="409">
        <v>-1115.4223600000041</v>
      </c>
      <c r="CK12" s="409"/>
      <c r="CL12" s="409"/>
      <c r="CM12" s="409"/>
      <c r="CN12" s="409"/>
      <c r="CO12" s="409">
        <v>-1868.7922200000014</v>
      </c>
      <c r="CP12" s="409">
        <v>754.01299999999992</v>
      </c>
      <c r="CQ12" s="409">
        <v>31</v>
      </c>
      <c r="CR12" s="409">
        <v>711.20131541556839</v>
      </c>
      <c r="CS12" s="409">
        <v>0</v>
      </c>
      <c r="CT12" s="409">
        <v>0</v>
      </c>
      <c r="CU12" s="409">
        <v>0</v>
      </c>
      <c r="CV12" s="409">
        <v>0</v>
      </c>
      <c r="CW12" s="409">
        <v>0</v>
      </c>
      <c r="CX12" s="409">
        <v>0</v>
      </c>
      <c r="CY12" s="409">
        <v>0</v>
      </c>
      <c r="CZ12" s="409">
        <v>171.15980662602033</v>
      </c>
      <c r="DA12" s="409">
        <v>0</v>
      </c>
      <c r="DB12" s="409">
        <v>0</v>
      </c>
      <c r="DC12" s="409">
        <v>855.2976754916217</v>
      </c>
      <c r="DD12" s="409">
        <v>0</v>
      </c>
      <c r="DE12" s="409">
        <v>0</v>
      </c>
      <c r="DF12" s="409">
        <v>0</v>
      </c>
      <c r="DG12" s="409">
        <v>11.493234161925074</v>
      </c>
      <c r="DH12" s="409">
        <v>0</v>
      </c>
      <c r="DI12" s="409">
        <v>-223.20768536691867</v>
      </c>
      <c r="DJ12" s="409"/>
      <c r="DK12" s="409">
        <v>0</v>
      </c>
      <c r="DL12" s="409">
        <v>0</v>
      </c>
      <c r="DM12" s="409">
        <v>0</v>
      </c>
      <c r="DN12" s="409">
        <v>0</v>
      </c>
      <c r="DO12" s="409">
        <v>-28.393347830473999</v>
      </c>
      <c r="DP12" s="409">
        <v>-4.0759687357145609</v>
      </c>
      <c r="DQ12" s="409">
        <v>0</v>
      </c>
      <c r="DR12" s="409">
        <v>-71.072398930897691</v>
      </c>
      <c r="DS12" s="409"/>
      <c r="DT12" s="409"/>
      <c r="DU12" s="409"/>
      <c r="DV12" s="409">
        <v>11488.791217723627</v>
      </c>
      <c r="DW12" s="409">
        <v>0</v>
      </c>
      <c r="DX12" s="409">
        <v>0</v>
      </c>
      <c r="DY12" s="409">
        <v>-1868.7922199999994</v>
      </c>
      <c r="DZ12" s="409">
        <v>754.01300000000083</v>
      </c>
      <c r="EA12" s="409">
        <v>0</v>
      </c>
      <c r="EB12" s="409">
        <v>0</v>
      </c>
      <c r="EC12" s="409">
        <v>-1826.1776203922673</v>
      </c>
      <c r="ED12" s="409">
        <v>0</v>
      </c>
      <c r="EE12" s="409">
        <v>0</v>
      </c>
      <c r="EF12" s="409">
        <v>0</v>
      </c>
      <c r="EG12" s="409">
        <v>0</v>
      </c>
      <c r="EH12" s="409">
        <v>0</v>
      </c>
      <c r="EI12" s="409">
        <v>0</v>
      </c>
      <c r="EJ12" s="409">
        <v>0</v>
      </c>
      <c r="EK12" s="409">
        <v>0</v>
      </c>
      <c r="EL12" s="409">
        <v>0</v>
      </c>
      <c r="EM12" s="409">
        <v>0</v>
      </c>
      <c r="EN12" s="409">
        <v>0</v>
      </c>
      <c r="EO12" s="409">
        <v>0</v>
      </c>
      <c r="EP12" s="409">
        <v>0</v>
      </c>
      <c r="EQ12" s="409">
        <v>0</v>
      </c>
      <c r="ER12" s="409">
        <v>0</v>
      </c>
      <c r="ES12" s="409">
        <v>0</v>
      </c>
      <c r="ET12" s="409">
        <v>0</v>
      </c>
      <c r="EU12" s="409">
        <v>0</v>
      </c>
      <c r="EV12" s="409">
        <v>210</v>
      </c>
      <c r="EW12" s="409">
        <v>0</v>
      </c>
      <c r="EX12" s="409">
        <v>0</v>
      </c>
      <c r="EY12" s="409">
        <v>0</v>
      </c>
      <c r="EZ12" s="409"/>
      <c r="FA12" s="409">
        <v>0</v>
      </c>
      <c r="FB12" s="409"/>
      <c r="FC12" s="409"/>
      <c r="FD12" s="409"/>
      <c r="FE12" s="409"/>
      <c r="FF12" s="409">
        <v>0</v>
      </c>
      <c r="FG12" s="409">
        <v>0</v>
      </c>
      <c r="FH12" s="409">
        <v>0</v>
      </c>
      <c r="FI12" s="409">
        <v>0</v>
      </c>
    </row>
    <row r="13" spans="1:165" customFormat="1">
      <c r="A13" s="409">
        <v>11</v>
      </c>
      <c r="B13" s="409" t="s">
        <v>2240</v>
      </c>
      <c r="C13" s="409" t="s">
        <v>2241</v>
      </c>
      <c r="D13" s="409" t="s">
        <v>1992</v>
      </c>
      <c r="E13" s="409" t="s">
        <v>997</v>
      </c>
      <c r="F13" s="409" t="s">
        <v>1323</v>
      </c>
      <c r="G13" s="409" t="s">
        <v>1323</v>
      </c>
      <c r="H13" s="409" t="s">
        <v>1323</v>
      </c>
      <c r="I13" s="409" t="s">
        <v>1323</v>
      </c>
      <c r="J13" s="409" t="s">
        <v>2242</v>
      </c>
      <c r="K13" s="838">
        <v>44317</v>
      </c>
      <c r="L13" s="409">
        <v>0</v>
      </c>
      <c r="M13" s="409">
        <v>0</v>
      </c>
      <c r="N13" s="409">
        <v>0.1</v>
      </c>
      <c r="O13" s="409">
        <v>0.1</v>
      </c>
      <c r="P13" s="409">
        <v>0.1</v>
      </c>
      <c r="Q13" s="409">
        <v>0.1</v>
      </c>
      <c r="R13" s="409"/>
      <c r="S13" s="409">
        <v>358.62</v>
      </c>
      <c r="T13" s="409">
        <v>273.74</v>
      </c>
      <c r="U13" s="409"/>
      <c r="V13" s="409">
        <v>63.236000000000004</v>
      </c>
      <c r="W13" s="409">
        <v>63.236000000000004</v>
      </c>
      <c r="X13" s="409">
        <v>61.314000000000007</v>
      </c>
      <c r="Y13" s="409">
        <v>0</v>
      </c>
      <c r="Z13" s="409">
        <v>6.03744121891852</v>
      </c>
      <c r="AA13" s="409">
        <v>0</v>
      </c>
      <c r="AB13" s="409">
        <v>0</v>
      </c>
      <c r="AC13" s="409">
        <v>0</v>
      </c>
      <c r="AD13" s="409">
        <v>8.6088517698592906</v>
      </c>
      <c r="AE13" s="409">
        <v>19.807919204364801</v>
      </c>
      <c r="AF13" s="409">
        <v>27.373925968974699</v>
      </c>
      <c r="AG13" s="409">
        <v>0</v>
      </c>
      <c r="AH13" s="409">
        <v>0</v>
      </c>
      <c r="AI13" s="409">
        <v>0</v>
      </c>
      <c r="AJ13" s="409">
        <v>0</v>
      </c>
      <c r="AK13" s="409">
        <v>0</v>
      </c>
      <c r="AL13" s="409">
        <v>0.93365488414025111</v>
      </c>
      <c r="AM13" s="409"/>
      <c r="AN13" s="409">
        <v>0.10650913711607</v>
      </c>
      <c r="AO13" s="409">
        <v>0</v>
      </c>
      <c r="AP13" s="409">
        <v>0</v>
      </c>
      <c r="AQ13" s="409">
        <v>0</v>
      </c>
      <c r="AR13" s="409">
        <v>0</v>
      </c>
      <c r="AS13" s="409">
        <v>0</v>
      </c>
      <c r="AT13" s="409">
        <v>0</v>
      </c>
      <c r="AU13" s="409">
        <v>0</v>
      </c>
      <c r="AV13" s="409">
        <v>0</v>
      </c>
      <c r="AW13" s="409">
        <v>0</v>
      </c>
      <c r="AX13" s="409">
        <v>0</v>
      </c>
      <c r="AY13" s="409">
        <v>0</v>
      </c>
      <c r="AZ13" s="409">
        <v>0</v>
      </c>
      <c r="BA13" s="409"/>
      <c r="BB13" s="409">
        <v>0</v>
      </c>
      <c r="BC13" s="409">
        <v>0</v>
      </c>
      <c r="BD13" s="409">
        <v>0</v>
      </c>
      <c r="BE13" s="409">
        <v>0</v>
      </c>
      <c r="BF13" s="409">
        <v>0</v>
      </c>
      <c r="BG13" s="409">
        <v>0.36784262381138405</v>
      </c>
      <c r="BH13" s="409">
        <v>0</v>
      </c>
      <c r="BI13" s="409">
        <v>0.49</v>
      </c>
      <c r="BJ13" s="409">
        <v>2.2799999999999998</v>
      </c>
      <c r="BK13" s="409">
        <v>157.35</v>
      </c>
      <c r="BL13" s="409">
        <v>1</v>
      </c>
      <c r="BM13" s="409"/>
      <c r="BN13" s="409"/>
      <c r="BO13" s="409"/>
      <c r="BP13" s="409"/>
      <c r="BQ13" s="409"/>
      <c r="BR13" s="409"/>
      <c r="BS13" s="409"/>
      <c r="BT13" s="409"/>
      <c r="BU13" s="409"/>
      <c r="BV13" s="409">
        <v>27.741768592786084</v>
      </c>
      <c r="BW13" s="409"/>
      <c r="BX13" s="409"/>
      <c r="BY13" s="409"/>
      <c r="BZ13" s="409"/>
      <c r="CA13" s="409"/>
      <c r="CB13" s="409"/>
      <c r="CC13" s="409"/>
      <c r="CD13" s="409"/>
      <c r="CE13" s="409"/>
      <c r="CF13" s="409"/>
      <c r="CG13" s="409"/>
      <c r="CH13" s="409"/>
      <c r="CI13" s="409">
        <v>61.314000000000007</v>
      </c>
      <c r="CJ13" s="409">
        <v>-1.9519999999999911</v>
      </c>
      <c r="CK13" s="409"/>
      <c r="CL13" s="409"/>
      <c r="CM13" s="409"/>
      <c r="CN13" s="409"/>
      <c r="CO13" s="409">
        <v>-3.2220000000000031</v>
      </c>
      <c r="CP13" s="409">
        <v>1.3</v>
      </c>
      <c r="CQ13" s="409">
        <v>31</v>
      </c>
      <c r="CR13" s="409">
        <v>1.2261880233367748</v>
      </c>
      <c r="CS13" s="409">
        <v>0</v>
      </c>
      <c r="CT13" s="409">
        <v>0</v>
      </c>
      <c r="CU13" s="409">
        <v>0</v>
      </c>
      <c r="CV13" s="409">
        <v>0</v>
      </c>
      <c r="CW13" s="409">
        <v>0</v>
      </c>
      <c r="CX13" s="409">
        <v>0</v>
      </c>
      <c r="CY13" s="409">
        <v>0</v>
      </c>
      <c r="CZ13" s="409">
        <v>0.29509802697543108</v>
      </c>
      <c r="DA13" s="409">
        <v>0</v>
      </c>
      <c r="DB13" s="409">
        <v>0</v>
      </c>
      <c r="DC13" s="409">
        <v>1.4746257400590004</v>
      </c>
      <c r="DD13" s="409">
        <v>0</v>
      </c>
      <c r="DE13" s="409">
        <v>0</v>
      </c>
      <c r="DF13" s="409">
        <v>0</v>
      </c>
      <c r="DG13" s="409">
        <v>1.9815579320916987E-2</v>
      </c>
      <c r="DH13" s="409">
        <v>0</v>
      </c>
      <c r="DI13" s="409">
        <v>-0.38483420176707028</v>
      </c>
      <c r="DJ13" s="409"/>
      <c r="DK13" s="409">
        <v>0</v>
      </c>
      <c r="DL13" s="409">
        <v>0</v>
      </c>
      <c r="DM13" s="409">
        <v>0</v>
      </c>
      <c r="DN13" s="409">
        <v>0</v>
      </c>
      <c r="DO13" s="409">
        <v>-4.8953203962817993E-2</v>
      </c>
      <c r="DP13" s="409">
        <v>-7.0274111406950918E-3</v>
      </c>
      <c r="DQ13" s="409">
        <v>0</v>
      </c>
      <c r="DR13" s="409">
        <v>-0.12253650614799351</v>
      </c>
      <c r="DS13" s="409"/>
      <c r="DT13" s="409"/>
      <c r="DU13" s="409"/>
      <c r="DV13" s="409">
        <v>19.807919204364801</v>
      </c>
      <c r="DW13" s="409">
        <v>0</v>
      </c>
      <c r="DX13" s="409">
        <v>0</v>
      </c>
      <c r="DY13" s="409">
        <v>-3.2220000000000013</v>
      </c>
      <c r="DZ13" s="409">
        <v>1.3000000000000007</v>
      </c>
      <c r="EA13" s="409">
        <v>0</v>
      </c>
      <c r="EB13" s="409">
        <v>0</v>
      </c>
      <c r="EC13" s="409">
        <v>-3.1485278191622008</v>
      </c>
      <c r="ED13" s="409">
        <v>0</v>
      </c>
      <c r="EE13" s="409">
        <v>0</v>
      </c>
      <c r="EF13" s="409">
        <v>0</v>
      </c>
      <c r="EG13" s="409">
        <v>0</v>
      </c>
      <c r="EH13" s="409">
        <v>0</v>
      </c>
      <c r="EI13" s="409">
        <v>0</v>
      </c>
      <c r="EJ13" s="409">
        <v>0</v>
      </c>
      <c r="EK13" s="409">
        <v>0</v>
      </c>
      <c r="EL13" s="409">
        <v>0</v>
      </c>
      <c r="EM13" s="409">
        <v>0</v>
      </c>
      <c r="EN13" s="409">
        <v>0</v>
      </c>
      <c r="EO13" s="409">
        <v>0</v>
      </c>
      <c r="EP13" s="409">
        <v>0</v>
      </c>
      <c r="EQ13" s="409">
        <v>0</v>
      </c>
      <c r="ER13" s="409">
        <v>0</v>
      </c>
      <c r="ES13" s="409">
        <v>0</v>
      </c>
      <c r="ET13" s="409">
        <v>0</v>
      </c>
      <c r="EU13" s="409">
        <v>0</v>
      </c>
      <c r="EV13" s="409">
        <v>210</v>
      </c>
      <c r="EW13" s="409">
        <v>0</v>
      </c>
      <c r="EX13" s="409">
        <v>0</v>
      </c>
      <c r="EY13" s="409">
        <v>0</v>
      </c>
      <c r="EZ13" s="409"/>
      <c r="FA13" s="409">
        <v>0</v>
      </c>
      <c r="FB13" s="409"/>
      <c r="FC13" s="409"/>
      <c r="FD13" s="409"/>
      <c r="FE13" s="409"/>
      <c r="FF13" s="409">
        <v>0</v>
      </c>
      <c r="FG13" s="409">
        <v>0</v>
      </c>
      <c r="FH13" s="409">
        <v>0</v>
      </c>
      <c r="FI13" s="409">
        <v>0</v>
      </c>
    </row>
    <row r="14" spans="1:165" customFormat="1">
      <c r="A14" s="409">
        <v>12</v>
      </c>
      <c r="B14" s="409" t="s">
        <v>1035</v>
      </c>
      <c r="C14" s="409" t="s">
        <v>2246</v>
      </c>
      <c r="D14" s="409" t="s">
        <v>595</v>
      </c>
      <c r="E14" s="409" t="s">
        <v>997</v>
      </c>
      <c r="F14" s="409" t="s">
        <v>1323</v>
      </c>
      <c r="G14" s="409" t="s">
        <v>1323</v>
      </c>
      <c r="H14" s="409" t="s">
        <v>1323</v>
      </c>
      <c r="I14" s="409" t="s">
        <v>972</v>
      </c>
      <c r="J14" s="409" t="s">
        <v>2242</v>
      </c>
      <c r="K14" s="838">
        <v>44317</v>
      </c>
      <c r="L14" s="409">
        <v>0</v>
      </c>
      <c r="M14" s="409">
        <v>0</v>
      </c>
      <c r="N14" s="409">
        <v>1.597</v>
      </c>
      <c r="O14" s="409">
        <v>1.597</v>
      </c>
      <c r="P14" s="409">
        <v>1.597</v>
      </c>
      <c r="Q14" s="409">
        <v>1.597</v>
      </c>
      <c r="R14" s="409"/>
      <c r="S14" s="409">
        <v>1856.88</v>
      </c>
      <c r="T14" s="409">
        <v>273.74</v>
      </c>
      <c r="U14" s="409"/>
      <c r="V14" s="409">
        <v>3402.6001400000005</v>
      </c>
      <c r="W14" s="409">
        <v>3402.6001400000005</v>
      </c>
      <c r="X14" s="409">
        <v>3117.7751899999998</v>
      </c>
      <c r="Y14" s="409">
        <v>0</v>
      </c>
      <c r="Z14" s="409">
        <v>83.883604551531988</v>
      </c>
      <c r="AA14" s="409">
        <v>0</v>
      </c>
      <c r="AB14" s="409">
        <v>0</v>
      </c>
      <c r="AC14" s="409">
        <v>0</v>
      </c>
      <c r="AD14" s="409">
        <v>782.67671706927752</v>
      </c>
      <c r="AE14" s="409">
        <v>2079.9032889739024</v>
      </c>
      <c r="AF14" s="409">
        <v>437.1615977245259</v>
      </c>
      <c r="AG14" s="409">
        <v>0</v>
      </c>
      <c r="AH14" s="409">
        <v>0</v>
      </c>
      <c r="AI14" s="409">
        <v>0</v>
      </c>
      <c r="AJ14" s="409">
        <v>0</v>
      </c>
      <c r="AK14" s="409">
        <v>0</v>
      </c>
      <c r="AL14" s="409">
        <v>14.91046849971981</v>
      </c>
      <c r="AM14" s="409"/>
      <c r="AN14" s="409">
        <v>1.3863363925372738</v>
      </c>
      <c r="AO14" s="409">
        <v>0</v>
      </c>
      <c r="AP14" s="409">
        <v>0</v>
      </c>
      <c r="AQ14" s="409">
        <v>0</v>
      </c>
      <c r="AR14" s="409">
        <v>0</v>
      </c>
      <c r="AS14" s="409">
        <v>0</v>
      </c>
      <c r="AT14" s="409">
        <v>0</v>
      </c>
      <c r="AU14" s="409">
        <v>0</v>
      </c>
      <c r="AV14" s="409">
        <v>0</v>
      </c>
      <c r="AW14" s="409">
        <v>0</v>
      </c>
      <c r="AX14" s="409">
        <v>0</v>
      </c>
      <c r="AY14" s="409">
        <v>0</v>
      </c>
      <c r="AZ14" s="409">
        <v>0</v>
      </c>
      <c r="BA14" s="409"/>
      <c r="BB14" s="409">
        <v>0</v>
      </c>
      <c r="BC14" s="409">
        <v>0</v>
      </c>
      <c r="BD14" s="409">
        <v>0</v>
      </c>
      <c r="BE14" s="409">
        <v>0</v>
      </c>
      <c r="BF14" s="409">
        <v>0</v>
      </c>
      <c r="BG14" s="409">
        <v>2.6723014192234644</v>
      </c>
      <c r="BH14" s="409">
        <v>0</v>
      </c>
      <c r="BI14" s="409">
        <v>0</v>
      </c>
      <c r="BJ14" s="409">
        <v>0</v>
      </c>
      <c r="BK14" s="409">
        <v>0</v>
      </c>
      <c r="BL14" s="409">
        <v>0</v>
      </c>
      <c r="BM14" s="409"/>
      <c r="BN14" s="409"/>
      <c r="BO14" s="409"/>
      <c r="BP14" s="409"/>
      <c r="BQ14" s="409"/>
      <c r="BR14" s="409"/>
      <c r="BS14" s="409"/>
      <c r="BT14" s="409"/>
      <c r="BU14" s="409"/>
      <c r="BV14" s="409">
        <v>439.83389914374936</v>
      </c>
      <c r="BW14" s="409"/>
      <c r="BX14" s="409"/>
      <c r="BY14" s="409"/>
      <c r="BZ14" s="409"/>
      <c r="CA14" s="409"/>
      <c r="CB14" s="409"/>
      <c r="CC14" s="409"/>
      <c r="CD14" s="409"/>
      <c r="CE14" s="409"/>
      <c r="CF14" s="409"/>
      <c r="CG14" s="409"/>
      <c r="CH14" s="409"/>
      <c r="CI14" s="409">
        <v>3123.6320000000001</v>
      </c>
      <c r="CJ14" s="409">
        <v>-278.99814000000106</v>
      </c>
      <c r="CK14" s="409"/>
      <c r="CL14" s="409"/>
      <c r="CM14" s="409"/>
      <c r="CN14" s="409"/>
      <c r="CO14" s="409">
        <v>-305.5859500000002</v>
      </c>
      <c r="CP14" s="409">
        <v>20.760999999999999</v>
      </c>
      <c r="CQ14" s="409">
        <v>31</v>
      </c>
      <c r="CR14" s="409">
        <v>45.799046098025428</v>
      </c>
      <c r="CS14" s="409">
        <v>0</v>
      </c>
      <c r="CT14" s="409">
        <v>0</v>
      </c>
      <c r="CU14" s="409">
        <v>0</v>
      </c>
      <c r="CV14" s="409">
        <v>0</v>
      </c>
      <c r="CW14" s="409">
        <v>0</v>
      </c>
      <c r="CX14" s="409">
        <v>0</v>
      </c>
      <c r="CY14" s="409">
        <v>0</v>
      </c>
      <c r="CZ14" s="409">
        <v>26.82893853224266</v>
      </c>
      <c r="DA14" s="409">
        <v>0</v>
      </c>
      <c r="DB14" s="409">
        <v>0</v>
      </c>
      <c r="DC14" s="409">
        <v>23.549773068742297</v>
      </c>
      <c r="DD14" s="409">
        <v>0</v>
      </c>
      <c r="DE14" s="409">
        <v>0</v>
      </c>
      <c r="DF14" s="409">
        <v>0</v>
      </c>
      <c r="DG14" s="409">
        <v>0.14395613045968858</v>
      </c>
      <c r="DH14" s="409">
        <v>0</v>
      </c>
      <c r="DI14" s="409">
        <v>-5.346847915931491</v>
      </c>
      <c r="DJ14" s="409"/>
      <c r="DK14" s="409">
        <v>0</v>
      </c>
      <c r="DL14" s="409">
        <v>0</v>
      </c>
      <c r="DM14" s="409">
        <v>0</v>
      </c>
      <c r="DN14" s="409">
        <v>0</v>
      </c>
      <c r="DO14" s="409">
        <v>-0.78178266728620471</v>
      </c>
      <c r="DP14" s="409">
        <v>-9.1469671743283243E-2</v>
      </c>
      <c r="DQ14" s="409">
        <v>0</v>
      </c>
      <c r="DR14" s="409">
        <v>1.4964786215416543</v>
      </c>
      <c r="DS14" s="409"/>
      <c r="DT14" s="409"/>
      <c r="DU14" s="409"/>
      <c r="DV14" s="409">
        <v>2079.9032889739024</v>
      </c>
      <c r="DW14" s="409">
        <v>0</v>
      </c>
      <c r="DX14" s="409">
        <v>0</v>
      </c>
      <c r="DY14" s="409">
        <v>-305.58595000000059</v>
      </c>
      <c r="DZ14" s="409">
        <v>20.761000000000024</v>
      </c>
      <c r="EA14" s="409">
        <v>0</v>
      </c>
      <c r="EB14" s="409">
        <v>0</v>
      </c>
      <c r="EC14" s="409">
        <v>-330.60682946737484</v>
      </c>
      <c r="ED14" s="409">
        <v>0</v>
      </c>
      <c r="EE14" s="409">
        <v>0</v>
      </c>
      <c r="EF14" s="409">
        <v>0</v>
      </c>
      <c r="EG14" s="409">
        <v>0</v>
      </c>
      <c r="EH14" s="409">
        <v>0</v>
      </c>
      <c r="EI14" s="409">
        <v>0</v>
      </c>
      <c r="EJ14" s="409">
        <v>0</v>
      </c>
      <c r="EK14" s="409">
        <v>0</v>
      </c>
      <c r="EL14" s="409">
        <v>0</v>
      </c>
      <c r="EM14" s="409">
        <v>0</v>
      </c>
      <c r="EN14" s="409">
        <v>0</v>
      </c>
      <c r="EO14" s="409">
        <v>0</v>
      </c>
      <c r="EP14" s="409">
        <v>0</v>
      </c>
      <c r="EQ14" s="409">
        <v>0</v>
      </c>
      <c r="ER14" s="409">
        <v>0</v>
      </c>
      <c r="ES14" s="409">
        <v>0</v>
      </c>
      <c r="ET14" s="409">
        <v>0</v>
      </c>
      <c r="EU14" s="409">
        <v>0</v>
      </c>
      <c r="EV14" s="409">
        <v>210</v>
      </c>
      <c r="EW14" s="409">
        <v>0</v>
      </c>
      <c r="EX14" s="409">
        <v>0</v>
      </c>
      <c r="EY14" s="409">
        <v>0</v>
      </c>
      <c r="EZ14" s="409"/>
      <c r="FA14" s="409">
        <v>0</v>
      </c>
      <c r="FB14" s="409"/>
      <c r="FC14" s="409"/>
      <c r="FD14" s="409"/>
      <c r="FE14" s="409"/>
      <c r="FF14" s="409">
        <v>0</v>
      </c>
      <c r="FG14" s="409">
        <v>0</v>
      </c>
      <c r="FH14" s="409">
        <v>0</v>
      </c>
      <c r="FI14" s="409">
        <v>0</v>
      </c>
    </row>
    <row r="15" spans="1:165" customFormat="1">
      <c r="A15" s="409">
        <v>13</v>
      </c>
      <c r="B15" s="409" t="s">
        <v>1035</v>
      </c>
      <c r="C15" s="409" t="s">
        <v>2246</v>
      </c>
      <c r="D15" s="409" t="s">
        <v>595</v>
      </c>
      <c r="E15" s="409" t="s">
        <v>997</v>
      </c>
      <c r="F15" s="409" t="s">
        <v>1323</v>
      </c>
      <c r="G15" s="409" t="s">
        <v>1323</v>
      </c>
      <c r="H15" s="409" t="s">
        <v>1323</v>
      </c>
      <c r="I15" s="409" t="s">
        <v>2234</v>
      </c>
      <c r="J15" s="409" t="s">
        <v>2242</v>
      </c>
      <c r="K15" s="838">
        <v>44317</v>
      </c>
      <c r="L15" s="409">
        <v>0</v>
      </c>
      <c r="M15" s="409">
        <v>0</v>
      </c>
      <c r="N15" s="409">
        <v>31.745000000000001</v>
      </c>
      <c r="O15" s="409">
        <v>31.745000000000001</v>
      </c>
      <c r="P15" s="409">
        <v>31.745000000000001</v>
      </c>
      <c r="Q15" s="409">
        <v>31.745000000000001</v>
      </c>
      <c r="R15" s="409"/>
      <c r="S15" s="409">
        <v>64.400000000000006</v>
      </c>
      <c r="T15" s="409">
        <v>273.74</v>
      </c>
      <c r="U15" s="409"/>
      <c r="V15" s="409">
        <v>10734.254300000001</v>
      </c>
      <c r="W15" s="409">
        <v>10734.254300000001</v>
      </c>
      <c r="X15" s="409">
        <v>11029.165350000001</v>
      </c>
      <c r="Y15" s="409">
        <v>0</v>
      </c>
      <c r="Z15" s="409">
        <v>1667.4295720027444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8689.8527988510177</v>
      </c>
      <c r="AG15" s="409">
        <v>0</v>
      </c>
      <c r="AH15" s="409">
        <v>0</v>
      </c>
      <c r="AI15" s="409">
        <v>0</v>
      </c>
      <c r="AJ15" s="409">
        <v>0</v>
      </c>
      <c r="AK15" s="409">
        <v>0</v>
      </c>
      <c r="AL15" s="409">
        <v>296.38874297032271</v>
      </c>
      <c r="AM15" s="409"/>
      <c r="AN15" s="409">
        <v>27.557450708262845</v>
      </c>
      <c r="AO15" s="409">
        <v>0</v>
      </c>
      <c r="AP15" s="409">
        <v>0</v>
      </c>
      <c r="AQ15" s="409">
        <v>0</v>
      </c>
      <c r="AR15" s="409">
        <v>0</v>
      </c>
      <c r="AS15" s="409">
        <v>0</v>
      </c>
      <c r="AT15" s="409">
        <v>0</v>
      </c>
      <c r="AU15" s="409">
        <v>0</v>
      </c>
      <c r="AV15" s="409">
        <v>0</v>
      </c>
      <c r="AW15" s="409">
        <v>0</v>
      </c>
      <c r="AX15" s="409">
        <v>0</v>
      </c>
      <c r="AY15" s="409">
        <v>0</v>
      </c>
      <c r="AZ15" s="409">
        <v>0</v>
      </c>
      <c r="BA15" s="409"/>
      <c r="BB15" s="409">
        <v>0</v>
      </c>
      <c r="BC15" s="409">
        <v>0</v>
      </c>
      <c r="BD15" s="409">
        <v>0</v>
      </c>
      <c r="BE15" s="409">
        <v>0</v>
      </c>
      <c r="BF15" s="409">
        <v>0</v>
      </c>
      <c r="BG15" s="409">
        <v>53.119729839229102</v>
      </c>
      <c r="BH15" s="409">
        <v>0</v>
      </c>
      <c r="BI15" s="409">
        <v>0</v>
      </c>
      <c r="BJ15" s="409">
        <v>0</v>
      </c>
      <c r="BK15" s="409">
        <v>0</v>
      </c>
      <c r="BL15" s="409">
        <v>0</v>
      </c>
      <c r="BM15" s="409"/>
      <c r="BN15" s="409"/>
      <c r="BO15" s="409"/>
      <c r="BP15" s="409"/>
      <c r="BQ15" s="409"/>
      <c r="BR15" s="409"/>
      <c r="BS15" s="409"/>
      <c r="BT15" s="409"/>
      <c r="BU15" s="409"/>
      <c r="BV15" s="409">
        <v>8742.9725286902467</v>
      </c>
      <c r="BW15" s="409"/>
      <c r="BX15" s="409"/>
      <c r="BY15" s="409"/>
      <c r="BZ15" s="409"/>
      <c r="CA15" s="409"/>
      <c r="CB15" s="409"/>
      <c r="CC15" s="409"/>
      <c r="CD15" s="409"/>
      <c r="CE15" s="409"/>
      <c r="CF15" s="409"/>
      <c r="CG15" s="409"/>
      <c r="CH15" s="409"/>
      <c r="CI15" s="409">
        <v>11030.9025</v>
      </c>
      <c r="CJ15" s="409">
        <v>296.61819999999898</v>
      </c>
      <c r="CK15" s="409"/>
      <c r="CL15" s="409"/>
      <c r="CM15" s="409"/>
      <c r="CN15" s="409"/>
      <c r="CO15" s="409">
        <v>-117.77395000000026</v>
      </c>
      <c r="CP15" s="409">
        <v>412.685</v>
      </c>
      <c r="CQ15" s="409">
        <v>31</v>
      </c>
      <c r="CR15" s="409">
        <v>294.95945634191958</v>
      </c>
      <c r="CS15" s="409">
        <v>0</v>
      </c>
      <c r="CT15" s="409">
        <v>0</v>
      </c>
      <c r="CU15" s="409">
        <v>0</v>
      </c>
      <c r="CV15" s="409">
        <v>0</v>
      </c>
      <c r="CW15" s="409">
        <v>0</v>
      </c>
      <c r="CX15" s="409">
        <v>0</v>
      </c>
      <c r="CY15" s="409">
        <v>0</v>
      </c>
      <c r="CZ15" s="409">
        <v>0</v>
      </c>
      <c r="DA15" s="409">
        <v>0</v>
      </c>
      <c r="DB15" s="409">
        <v>0</v>
      </c>
      <c r="DC15" s="409">
        <v>468.11994118173061</v>
      </c>
      <c r="DD15" s="409">
        <v>0</v>
      </c>
      <c r="DE15" s="409">
        <v>0</v>
      </c>
      <c r="DF15" s="409">
        <v>0</v>
      </c>
      <c r="DG15" s="409">
        <v>2.8615449977725831</v>
      </c>
      <c r="DH15" s="409">
        <v>0</v>
      </c>
      <c r="DI15" s="409">
        <v>-106.28408709533164</v>
      </c>
      <c r="DJ15" s="409"/>
      <c r="DK15" s="409">
        <v>0</v>
      </c>
      <c r="DL15" s="409">
        <v>0</v>
      </c>
      <c r="DM15" s="409">
        <v>0</v>
      </c>
      <c r="DN15" s="409">
        <v>0</v>
      </c>
      <c r="DO15" s="409">
        <v>-15.54019459799656</v>
      </c>
      <c r="DP15" s="409">
        <v>-1.8182246271074085</v>
      </c>
      <c r="DQ15" s="409">
        <v>0</v>
      </c>
      <c r="DR15" s="409">
        <v>-52.379523517150588</v>
      </c>
      <c r="DS15" s="409"/>
      <c r="DT15" s="409"/>
      <c r="DU15" s="409"/>
      <c r="DV15" s="409">
        <v>0</v>
      </c>
      <c r="DW15" s="409">
        <v>0</v>
      </c>
      <c r="DX15" s="409">
        <v>0</v>
      </c>
      <c r="DY15" s="409">
        <v>-117.77395000000024</v>
      </c>
      <c r="DZ15" s="409">
        <v>412.68500000000131</v>
      </c>
      <c r="EA15" s="409">
        <v>0</v>
      </c>
      <c r="EB15" s="409">
        <v>0</v>
      </c>
      <c r="EC15" s="409">
        <v>0</v>
      </c>
      <c r="ED15" s="409">
        <v>0</v>
      </c>
      <c r="EE15" s="409">
        <v>0</v>
      </c>
      <c r="EF15" s="409">
        <v>0</v>
      </c>
      <c r="EG15" s="409">
        <v>0</v>
      </c>
      <c r="EH15" s="409">
        <v>0</v>
      </c>
      <c r="EI15" s="409">
        <v>0</v>
      </c>
      <c r="EJ15" s="409">
        <v>0</v>
      </c>
      <c r="EK15" s="409">
        <v>0</v>
      </c>
      <c r="EL15" s="409">
        <v>0</v>
      </c>
      <c r="EM15" s="409">
        <v>0</v>
      </c>
      <c r="EN15" s="409">
        <v>0</v>
      </c>
      <c r="EO15" s="409">
        <v>0</v>
      </c>
      <c r="EP15" s="409">
        <v>0</v>
      </c>
      <c r="EQ15" s="409">
        <v>0</v>
      </c>
      <c r="ER15" s="409">
        <v>0</v>
      </c>
      <c r="ES15" s="409">
        <v>0</v>
      </c>
      <c r="ET15" s="409">
        <v>0</v>
      </c>
      <c r="EU15" s="409">
        <v>0</v>
      </c>
      <c r="EV15" s="409">
        <v>210</v>
      </c>
      <c r="EW15" s="409">
        <v>0</v>
      </c>
      <c r="EX15" s="409">
        <v>0</v>
      </c>
      <c r="EY15" s="409">
        <v>0</v>
      </c>
      <c r="EZ15" s="409"/>
      <c r="FA15" s="409">
        <v>0</v>
      </c>
      <c r="FB15" s="409"/>
      <c r="FC15" s="409"/>
      <c r="FD15" s="409"/>
      <c r="FE15" s="409"/>
      <c r="FF15" s="409">
        <v>0</v>
      </c>
      <c r="FG15" s="409">
        <v>0</v>
      </c>
      <c r="FH15" s="409">
        <v>0</v>
      </c>
      <c r="FI15" s="409">
        <v>0</v>
      </c>
    </row>
    <row r="16" spans="1:165" customFormat="1">
      <c r="A16" s="409">
        <v>14</v>
      </c>
      <c r="B16" s="409" t="s">
        <v>1035</v>
      </c>
      <c r="C16" s="409" t="s">
        <v>2246</v>
      </c>
      <c r="D16" s="409" t="s">
        <v>595</v>
      </c>
      <c r="E16" s="409" t="s">
        <v>997</v>
      </c>
      <c r="F16" s="409" t="s">
        <v>1323</v>
      </c>
      <c r="G16" s="409" t="s">
        <v>1323</v>
      </c>
      <c r="H16" s="409" t="s">
        <v>1323</v>
      </c>
      <c r="I16" s="409" t="s">
        <v>1323</v>
      </c>
      <c r="J16" s="409" t="s">
        <v>2242</v>
      </c>
      <c r="K16" s="838">
        <v>44317</v>
      </c>
      <c r="L16" s="409">
        <v>222</v>
      </c>
      <c r="M16" s="409">
        <v>222</v>
      </c>
      <c r="N16" s="409">
        <v>0</v>
      </c>
      <c r="O16" s="409">
        <v>0</v>
      </c>
      <c r="P16" s="409">
        <v>0</v>
      </c>
      <c r="Q16" s="409">
        <v>0</v>
      </c>
      <c r="R16" s="409">
        <v>33.6</v>
      </c>
      <c r="S16" s="409"/>
      <c r="T16" s="409"/>
      <c r="U16" s="409">
        <v>7459.2000000000007</v>
      </c>
      <c r="V16" s="409"/>
      <c r="W16" s="409">
        <v>7459.2000000000007</v>
      </c>
      <c r="X16" s="409">
        <v>7050.72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3961.7043020182768</v>
      </c>
      <c r="AE16" s="409">
        <v>3497.6433028936144</v>
      </c>
      <c r="AF16" s="409"/>
      <c r="AG16" s="409"/>
      <c r="AH16" s="409"/>
      <c r="AI16" s="409">
        <v>0</v>
      </c>
      <c r="AJ16" s="409">
        <v>0</v>
      </c>
      <c r="AK16" s="409">
        <v>0</v>
      </c>
      <c r="AL16" s="409">
        <v>0</v>
      </c>
      <c r="AM16" s="409"/>
      <c r="AN16" s="409">
        <v>0</v>
      </c>
      <c r="AO16" s="409">
        <v>0</v>
      </c>
      <c r="AP16" s="409">
        <v>0</v>
      </c>
      <c r="AQ16" s="409">
        <v>0</v>
      </c>
      <c r="AR16" s="409">
        <v>0</v>
      </c>
      <c r="AS16" s="409"/>
      <c r="AT16" s="409"/>
      <c r="AU16" s="409">
        <v>0</v>
      </c>
      <c r="AV16" s="409">
        <v>0</v>
      </c>
      <c r="AW16" s="409">
        <v>0</v>
      </c>
      <c r="AX16" s="409"/>
      <c r="AY16" s="409"/>
      <c r="AZ16" s="409">
        <v>0</v>
      </c>
      <c r="BA16" s="409"/>
      <c r="BB16" s="409">
        <v>0</v>
      </c>
      <c r="BC16" s="409">
        <v>0</v>
      </c>
      <c r="BD16" s="409">
        <v>0</v>
      </c>
      <c r="BE16" s="409">
        <v>0</v>
      </c>
      <c r="BF16" s="409"/>
      <c r="BG16" s="409">
        <v>0</v>
      </c>
      <c r="BH16" s="409">
        <v>0</v>
      </c>
      <c r="BI16" s="409">
        <v>171.55</v>
      </c>
      <c r="BJ16" s="409">
        <v>791.79</v>
      </c>
      <c r="BK16" s="409">
        <v>4650.3999999999996</v>
      </c>
      <c r="BL16" s="409">
        <v>2</v>
      </c>
      <c r="BM16" s="409"/>
      <c r="BN16" s="409"/>
      <c r="BO16" s="409"/>
      <c r="BP16" s="409"/>
      <c r="BQ16" s="409"/>
      <c r="BR16" s="409"/>
      <c r="BS16" s="409"/>
      <c r="BT16" s="409"/>
      <c r="BU16" s="409"/>
      <c r="BV16" s="409">
        <v>0</v>
      </c>
      <c r="BW16" s="409"/>
      <c r="BX16" s="409"/>
      <c r="BY16" s="409"/>
      <c r="BZ16" s="409"/>
      <c r="CA16" s="409"/>
      <c r="CB16" s="409"/>
      <c r="CC16" s="409"/>
      <c r="CD16" s="409"/>
      <c r="CE16" s="409"/>
      <c r="CF16" s="409"/>
      <c r="CG16" s="409"/>
      <c r="CH16" s="409"/>
      <c r="CI16" s="409">
        <v>7050.72</v>
      </c>
      <c r="CJ16" s="409">
        <v>-408.51000000000113</v>
      </c>
      <c r="CK16" s="409"/>
      <c r="CL16" s="409"/>
      <c r="CM16" s="409"/>
      <c r="CN16" s="409"/>
      <c r="CO16" s="409">
        <v>-408.47999999999996</v>
      </c>
      <c r="CP16" s="409">
        <v>0</v>
      </c>
      <c r="CQ16" s="409">
        <v>31</v>
      </c>
      <c r="CR16" s="409">
        <v>146.56707754838089</v>
      </c>
      <c r="CS16" s="409">
        <v>0</v>
      </c>
      <c r="CT16" s="409">
        <v>0</v>
      </c>
      <c r="CU16" s="409">
        <v>0</v>
      </c>
      <c r="CV16" s="409">
        <v>0</v>
      </c>
      <c r="CW16" s="409"/>
      <c r="CX16" s="409"/>
      <c r="CY16" s="409"/>
      <c r="CZ16" s="409">
        <v>135.8010515500614</v>
      </c>
      <c r="DA16" s="409">
        <v>0</v>
      </c>
      <c r="DB16" s="409">
        <v>0</v>
      </c>
      <c r="DC16" s="409"/>
      <c r="DD16" s="409"/>
      <c r="DE16" s="409">
        <v>0</v>
      </c>
      <c r="DF16" s="409">
        <v>0</v>
      </c>
      <c r="DG16" s="409">
        <v>0</v>
      </c>
      <c r="DH16" s="409">
        <v>0</v>
      </c>
      <c r="DI16" s="409">
        <v>0</v>
      </c>
      <c r="DJ16" s="409"/>
      <c r="DK16" s="409">
        <v>0</v>
      </c>
      <c r="DL16" s="409">
        <v>0</v>
      </c>
      <c r="DM16" s="409"/>
      <c r="DN16" s="409">
        <v>0</v>
      </c>
      <c r="DO16" s="409">
        <v>0</v>
      </c>
      <c r="DP16" s="409">
        <v>0</v>
      </c>
      <c r="DQ16" s="409">
        <v>0</v>
      </c>
      <c r="DR16" s="409">
        <v>10.766025998319924</v>
      </c>
      <c r="DS16" s="409"/>
      <c r="DT16" s="409"/>
      <c r="DU16" s="409">
        <v>3497.6433028936144</v>
      </c>
      <c r="DV16" s="409"/>
      <c r="DW16" s="409">
        <v>0</v>
      </c>
      <c r="DX16" s="409">
        <v>0</v>
      </c>
      <c r="DY16" s="409">
        <v>-408.48000000000047</v>
      </c>
      <c r="DZ16" s="409"/>
      <c r="EA16" s="409">
        <v>0</v>
      </c>
      <c r="EB16" s="409"/>
      <c r="EC16" s="409">
        <v>-555.96083198078077</v>
      </c>
      <c r="ED16" s="409"/>
      <c r="EE16" s="409">
        <v>0</v>
      </c>
      <c r="EF16" s="409">
        <v>0</v>
      </c>
      <c r="EG16" s="409"/>
      <c r="EH16" s="409">
        <v>0</v>
      </c>
      <c r="EI16" s="409">
        <v>0</v>
      </c>
      <c r="EJ16" s="409">
        <v>0</v>
      </c>
      <c r="EK16" s="409">
        <v>0</v>
      </c>
      <c r="EL16" s="409">
        <v>0</v>
      </c>
      <c r="EM16" s="409"/>
      <c r="EN16" s="409"/>
      <c r="EO16" s="409">
        <v>0</v>
      </c>
      <c r="EP16" s="409">
        <v>0</v>
      </c>
      <c r="EQ16" s="409"/>
      <c r="ER16" s="409">
        <v>0</v>
      </c>
      <c r="ES16" s="409"/>
      <c r="ET16" s="409">
        <v>0</v>
      </c>
      <c r="EU16" s="409"/>
      <c r="EV16" s="409">
        <v>210</v>
      </c>
      <c r="EW16" s="409"/>
      <c r="EX16" s="409"/>
      <c r="EY16" s="409"/>
      <c r="EZ16" s="409"/>
      <c r="FA16" s="409">
        <v>0</v>
      </c>
      <c r="FB16" s="409"/>
      <c r="FC16" s="409"/>
      <c r="FD16" s="409"/>
      <c r="FE16" s="409"/>
      <c r="FF16" s="409">
        <v>0</v>
      </c>
      <c r="FG16" s="409">
        <v>0</v>
      </c>
      <c r="FH16" s="409">
        <v>0</v>
      </c>
      <c r="FI16" s="409">
        <v>0</v>
      </c>
    </row>
    <row r="17" spans="1:165" customFormat="1">
      <c r="A17" s="409">
        <v>15</v>
      </c>
      <c r="B17" s="409" t="s">
        <v>1035</v>
      </c>
      <c r="C17" s="409" t="s">
        <v>2241</v>
      </c>
      <c r="D17" s="409" t="s">
        <v>2247</v>
      </c>
      <c r="E17" s="409" t="s">
        <v>973</v>
      </c>
      <c r="F17" s="409" t="s">
        <v>1323</v>
      </c>
      <c r="G17" s="409" t="s">
        <v>1323</v>
      </c>
      <c r="H17" s="409" t="s">
        <v>1323</v>
      </c>
      <c r="I17" s="409" t="s">
        <v>1323</v>
      </c>
      <c r="J17" s="409" t="s">
        <v>2242</v>
      </c>
      <c r="K17" s="838">
        <v>44317</v>
      </c>
      <c r="L17" s="409">
        <v>0</v>
      </c>
      <c r="M17" s="409">
        <v>0</v>
      </c>
      <c r="N17" s="409">
        <v>434.75400000000002</v>
      </c>
      <c r="O17" s="409">
        <v>434.75400000000002</v>
      </c>
      <c r="P17" s="409">
        <v>434.75400000000002</v>
      </c>
      <c r="Q17" s="409">
        <v>434.75400000000002</v>
      </c>
      <c r="R17" s="409"/>
      <c r="S17" s="409">
        <v>358.62</v>
      </c>
      <c r="T17" s="409">
        <v>273.74</v>
      </c>
      <c r="U17" s="409"/>
      <c r="V17" s="409">
        <v>274921.03944000002</v>
      </c>
      <c r="W17" s="409">
        <v>274921.03944000002</v>
      </c>
      <c r="X17" s="409">
        <v>266565.06756</v>
      </c>
      <c r="Y17" s="409">
        <v>0</v>
      </c>
      <c r="Z17" s="409">
        <v>26248.017196897024</v>
      </c>
      <c r="AA17" s="409">
        <v>0</v>
      </c>
      <c r="AB17" s="409">
        <v>0</v>
      </c>
      <c r="AC17" s="409">
        <v>0</v>
      </c>
      <c r="AD17" s="409">
        <v>37427.327423534058</v>
      </c>
      <c r="AE17" s="409">
        <v>86115.721057744144</v>
      </c>
      <c r="AF17" s="409">
        <v>119009.23810715626</v>
      </c>
      <c r="AG17" s="409">
        <v>0</v>
      </c>
      <c r="AH17" s="409">
        <v>0</v>
      </c>
      <c r="AI17" s="409">
        <v>0</v>
      </c>
      <c r="AJ17" s="409">
        <v>0</v>
      </c>
      <c r="AK17" s="409">
        <v>0</v>
      </c>
      <c r="AL17" s="409">
        <v>4059.1019549951075</v>
      </c>
      <c r="AM17" s="409"/>
      <c r="AN17" s="409">
        <v>463.05273397759896</v>
      </c>
      <c r="AO17" s="409">
        <v>0</v>
      </c>
      <c r="AP17" s="409">
        <v>0</v>
      </c>
      <c r="AQ17" s="409">
        <v>0</v>
      </c>
      <c r="AR17" s="409">
        <v>0</v>
      </c>
      <c r="AS17" s="409">
        <v>0</v>
      </c>
      <c r="AT17" s="409">
        <v>0</v>
      </c>
      <c r="AU17" s="409">
        <v>0</v>
      </c>
      <c r="AV17" s="409">
        <v>0</v>
      </c>
      <c r="AW17" s="409">
        <v>0</v>
      </c>
      <c r="AX17" s="409">
        <v>0</v>
      </c>
      <c r="AY17" s="409">
        <v>0</v>
      </c>
      <c r="AZ17" s="409">
        <v>0</v>
      </c>
      <c r="BA17" s="409"/>
      <c r="BB17" s="409">
        <v>0</v>
      </c>
      <c r="BC17" s="409">
        <v>0</v>
      </c>
      <c r="BD17" s="409">
        <v>0</v>
      </c>
      <c r="BE17" s="409">
        <v>0</v>
      </c>
      <c r="BF17" s="409">
        <v>0</v>
      </c>
      <c r="BG17" s="409">
        <v>1599.2105207249444</v>
      </c>
      <c r="BH17" s="409">
        <v>0</v>
      </c>
      <c r="BI17" s="409">
        <v>579.64</v>
      </c>
      <c r="BJ17" s="409">
        <v>2687.32</v>
      </c>
      <c r="BK17" s="409">
        <v>12134.69</v>
      </c>
      <c r="BL17" s="409">
        <v>1025</v>
      </c>
      <c r="BM17" s="409"/>
      <c r="BN17" s="409"/>
      <c r="BO17" s="409"/>
      <c r="BP17" s="409"/>
      <c r="BQ17" s="409"/>
      <c r="BR17" s="409">
        <v>37319.283360000001</v>
      </c>
      <c r="BS17" s="409"/>
      <c r="BT17" s="409"/>
      <c r="BU17" s="409"/>
      <c r="BV17" s="409">
        <v>120608.4486278812</v>
      </c>
      <c r="BW17" s="409"/>
      <c r="BX17" s="409"/>
      <c r="BY17" s="409"/>
      <c r="BZ17" s="409"/>
      <c r="CA17" s="409"/>
      <c r="CB17" s="409"/>
      <c r="CC17" s="409"/>
      <c r="CD17" s="409"/>
      <c r="CE17" s="409"/>
      <c r="CF17" s="409"/>
      <c r="CG17" s="409"/>
      <c r="CH17" s="409"/>
      <c r="CI17" s="409">
        <v>229243.67499999999</v>
      </c>
      <c r="CJ17" s="409">
        <v>-7192.9703600000357</v>
      </c>
      <c r="CK17" s="409"/>
      <c r="CL17" s="409"/>
      <c r="CM17" s="409"/>
      <c r="CN17" s="409"/>
      <c r="CO17" s="409">
        <v>-14007.773880000013</v>
      </c>
      <c r="CP17" s="409">
        <v>5651.8020000000006</v>
      </c>
      <c r="CQ17" s="409">
        <v>31</v>
      </c>
      <c r="CR17" s="409">
        <v>5330.9014789775247</v>
      </c>
      <c r="CS17" s="409">
        <v>0</v>
      </c>
      <c r="CT17" s="409">
        <v>0</v>
      </c>
      <c r="CU17" s="409">
        <v>0</v>
      </c>
      <c r="CV17" s="409">
        <v>0</v>
      </c>
      <c r="CW17" s="409">
        <v>0</v>
      </c>
      <c r="CX17" s="409">
        <v>0</v>
      </c>
      <c r="CY17" s="409">
        <v>0</v>
      </c>
      <c r="CZ17" s="409">
        <v>1282.9504761967619</v>
      </c>
      <c r="DA17" s="409">
        <v>0</v>
      </c>
      <c r="DB17" s="409">
        <v>0</v>
      </c>
      <c r="DC17" s="409">
        <v>6410.9943899361242</v>
      </c>
      <c r="DD17" s="409">
        <v>0</v>
      </c>
      <c r="DE17" s="409">
        <v>0</v>
      </c>
      <c r="DF17" s="409">
        <v>0</v>
      </c>
      <c r="DG17" s="409">
        <v>86.149023720859532</v>
      </c>
      <c r="DH17" s="409">
        <v>0</v>
      </c>
      <c r="DI17" s="409">
        <v>-1673.0820855504098</v>
      </c>
      <c r="DJ17" s="409"/>
      <c r="DK17" s="409">
        <v>0</v>
      </c>
      <c r="DL17" s="409">
        <v>0</v>
      </c>
      <c r="DM17" s="409">
        <v>0</v>
      </c>
      <c r="DN17" s="409">
        <v>0</v>
      </c>
      <c r="DO17" s="409">
        <v>-212.82601235651009</v>
      </c>
      <c r="DP17" s="409">
        <v>-30.551951030617545</v>
      </c>
      <c r="DQ17" s="409">
        <v>0</v>
      </c>
      <c r="DR17" s="409">
        <v>-532.73236193864773</v>
      </c>
      <c r="DS17" s="409"/>
      <c r="DT17" s="409"/>
      <c r="DU17" s="409"/>
      <c r="DV17" s="409">
        <v>86115.721057744144</v>
      </c>
      <c r="DW17" s="409">
        <v>0</v>
      </c>
      <c r="DX17" s="409">
        <v>0</v>
      </c>
      <c r="DY17" s="409">
        <v>-14007.773880000022</v>
      </c>
      <c r="DZ17" s="409">
        <v>5651.801999999996</v>
      </c>
      <c r="EA17" s="409">
        <v>0</v>
      </c>
      <c r="EB17" s="409">
        <v>0</v>
      </c>
      <c r="EC17" s="409">
        <v>-13688.350634920425</v>
      </c>
      <c r="ED17" s="409">
        <v>0</v>
      </c>
      <c r="EE17" s="409">
        <v>0</v>
      </c>
      <c r="EF17" s="409">
        <v>0</v>
      </c>
      <c r="EG17" s="409">
        <v>0</v>
      </c>
      <c r="EH17" s="409">
        <v>0</v>
      </c>
      <c r="EI17" s="409">
        <v>0</v>
      </c>
      <c r="EJ17" s="409">
        <v>0</v>
      </c>
      <c r="EK17" s="409">
        <v>0</v>
      </c>
      <c r="EL17" s="409">
        <v>0</v>
      </c>
      <c r="EM17" s="409">
        <v>0</v>
      </c>
      <c r="EN17" s="409">
        <v>0</v>
      </c>
      <c r="EO17" s="409">
        <v>0</v>
      </c>
      <c r="EP17" s="409">
        <v>0</v>
      </c>
      <c r="EQ17" s="409">
        <v>0</v>
      </c>
      <c r="ER17" s="409">
        <v>0</v>
      </c>
      <c r="ES17" s="409">
        <v>0</v>
      </c>
      <c r="ET17" s="409">
        <v>0</v>
      </c>
      <c r="EU17" s="409">
        <v>0</v>
      </c>
      <c r="EV17" s="409">
        <v>210</v>
      </c>
      <c r="EW17" s="409">
        <v>0</v>
      </c>
      <c r="EX17" s="409">
        <v>0</v>
      </c>
      <c r="EY17" s="409">
        <v>0</v>
      </c>
      <c r="EZ17" s="409"/>
      <c r="FA17" s="409">
        <v>0</v>
      </c>
      <c r="FB17" s="409"/>
      <c r="FC17" s="409"/>
      <c r="FD17" s="409"/>
      <c r="FE17" s="409"/>
      <c r="FF17" s="409">
        <v>0</v>
      </c>
      <c r="FG17" s="409">
        <v>0</v>
      </c>
      <c r="FH17" s="409">
        <v>0</v>
      </c>
      <c r="FI17" s="409">
        <v>0</v>
      </c>
    </row>
    <row r="18" spans="1:165" customFormat="1">
      <c r="A18" s="409">
        <v>16</v>
      </c>
      <c r="B18" s="409" t="s">
        <v>2240</v>
      </c>
      <c r="C18" s="409" t="s">
        <v>2241</v>
      </c>
      <c r="D18" s="409" t="s">
        <v>2247</v>
      </c>
      <c r="E18" s="409" t="s">
        <v>973</v>
      </c>
      <c r="F18" s="409" t="s">
        <v>1323</v>
      </c>
      <c r="G18" s="409" t="s">
        <v>1323</v>
      </c>
      <c r="H18" s="409" t="s">
        <v>1323</v>
      </c>
      <c r="I18" s="409" t="s">
        <v>1323</v>
      </c>
      <c r="J18" s="409" t="s">
        <v>2242</v>
      </c>
      <c r="K18" s="838">
        <v>44317</v>
      </c>
      <c r="L18" s="409">
        <v>0</v>
      </c>
      <c r="M18" s="409">
        <v>0</v>
      </c>
      <c r="N18" s="409">
        <v>1.105</v>
      </c>
      <c r="O18" s="409">
        <v>1.105</v>
      </c>
      <c r="P18" s="409">
        <v>1.105</v>
      </c>
      <c r="Q18" s="409">
        <v>1.105</v>
      </c>
      <c r="R18" s="409"/>
      <c r="S18" s="409">
        <v>358.62</v>
      </c>
      <c r="T18" s="409">
        <v>273.74</v>
      </c>
      <c r="U18" s="409"/>
      <c r="V18" s="409">
        <v>698.75780000000009</v>
      </c>
      <c r="W18" s="409">
        <v>698.75780000000009</v>
      </c>
      <c r="X18" s="409">
        <v>677.51970000000006</v>
      </c>
      <c r="Y18" s="409">
        <v>0</v>
      </c>
      <c r="Z18" s="409">
        <v>66.713725469049649</v>
      </c>
      <c r="AA18" s="409">
        <v>0</v>
      </c>
      <c r="AB18" s="409">
        <v>0</v>
      </c>
      <c r="AC18" s="409">
        <v>0</v>
      </c>
      <c r="AD18" s="409">
        <v>95.127812056945146</v>
      </c>
      <c r="AE18" s="409">
        <v>218.87750720823104</v>
      </c>
      <c r="AF18" s="409">
        <v>302.4818819571704</v>
      </c>
      <c r="AG18" s="409">
        <v>0</v>
      </c>
      <c r="AH18" s="409">
        <v>0</v>
      </c>
      <c r="AI18" s="409">
        <v>0</v>
      </c>
      <c r="AJ18" s="409">
        <v>0</v>
      </c>
      <c r="AK18" s="409">
        <v>0</v>
      </c>
      <c r="AL18" s="409">
        <v>10.316886469749774</v>
      </c>
      <c r="AM18" s="409"/>
      <c r="AN18" s="409">
        <v>1.1769259651325734</v>
      </c>
      <c r="AO18" s="409">
        <v>0</v>
      </c>
      <c r="AP18" s="409">
        <v>0</v>
      </c>
      <c r="AQ18" s="409">
        <v>0</v>
      </c>
      <c r="AR18" s="409">
        <v>0</v>
      </c>
      <c r="AS18" s="409">
        <v>0</v>
      </c>
      <c r="AT18" s="409">
        <v>0</v>
      </c>
      <c r="AU18" s="409">
        <v>0</v>
      </c>
      <c r="AV18" s="409">
        <v>0</v>
      </c>
      <c r="AW18" s="409">
        <v>0</v>
      </c>
      <c r="AX18" s="409">
        <v>0</v>
      </c>
      <c r="AY18" s="409">
        <v>0</v>
      </c>
      <c r="AZ18" s="409">
        <v>0</v>
      </c>
      <c r="BA18" s="409"/>
      <c r="BB18" s="409">
        <v>0</v>
      </c>
      <c r="BC18" s="409">
        <v>0</v>
      </c>
      <c r="BD18" s="409">
        <v>0</v>
      </c>
      <c r="BE18" s="409">
        <v>0</v>
      </c>
      <c r="BF18" s="409">
        <v>0</v>
      </c>
      <c r="BG18" s="409">
        <v>4.0646609931157931</v>
      </c>
      <c r="BH18" s="409">
        <v>0</v>
      </c>
      <c r="BI18" s="409">
        <v>0.33</v>
      </c>
      <c r="BJ18" s="409">
        <v>1.55</v>
      </c>
      <c r="BK18" s="409">
        <v>276.29000000000002</v>
      </c>
      <c r="BL18" s="409">
        <v>3</v>
      </c>
      <c r="BM18" s="409"/>
      <c r="BN18" s="409"/>
      <c r="BO18" s="409"/>
      <c r="BP18" s="409"/>
      <c r="BQ18" s="409"/>
      <c r="BR18" s="409">
        <v>94.853200000000001</v>
      </c>
      <c r="BS18" s="409"/>
      <c r="BT18" s="409"/>
      <c r="BU18" s="409"/>
      <c r="BV18" s="409">
        <v>306.54654295028621</v>
      </c>
      <c r="BW18" s="409"/>
      <c r="BX18" s="409"/>
      <c r="BY18" s="409"/>
      <c r="BZ18" s="409"/>
      <c r="CA18" s="409"/>
      <c r="CB18" s="409"/>
      <c r="CC18" s="409"/>
      <c r="CD18" s="409"/>
      <c r="CE18" s="409"/>
      <c r="CF18" s="409"/>
      <c r="CG18" s="409"/>
      <c r="CH18" s="409"/>
      <c r="CI18" s="409">
        <v>585.303</v>
      </c>
      <c r="CJ18" s="409">
        <v>-15.670199999999909</v>
      </c>
      <c r="CK18" s="409"/>
      <c r="CL18" s="409"/>
      <c r="CM18" s="409"/>
      <c r="CN18" s="409"/>
      <c r="CO18" s="409">
        <v>-35.603100000000026</v>
      </c>
      <c r="CP18" s="409">
        <v>14.365</v>
      </c>
      <c r="CQ18" s="409">
        <v>31</v>
      </c>
      <c r="CR18" s="409">
        <v>13.549377657871389</v>
      </c>
      <c r="CS18" s="409">
        <v>0</v>
      </c>
      <c r="CT18" s="409">
        <v>0</v>
      </c>
      <c r="CU18" s="409">
        <v>0</v>
      </c>
      <c r="CV18" s="409">
        <v>0</v>
      </c>
      <c r="CW18" s="409">
        <v>0</v>
      </c>
      <c r="CX18" s="409">
        <v>0</v>
      </c>
      <c r="CY18" s="409">
        <v>0</v>
      </c>
      <c r="CZ18" s="409">
        <v>3.2608331980785152</v>
      </c>
      <c r="DA18" s="409">
        <v>0</v>
      </c>
      <c r="DB18" s="409">
        <v>0</v>
      </c>
      <c r="DC18" s="409">
        <v>16.294614427651993</v>
      </c>
      <c r="DD18" s="409">
        <v>0</v>
      </c>
      <c r="DE18" s="409">
        <v>0</v>
      </c>
      <c r="DF18" s="409">
        <v>0</v>
      </c>
      <c r="DG18" s="409">
        <v>0.21896215149613241</v>
      </c>
      <c r="DH18" s="409">
        <v>0</v>
      </c>
      <c r="DI18" s="409">
        <v>-4.252417929526132</v>
      </c>
      <c r="DJ18" s="409"/>
      <c r="DK18" s="409">
        <v>0</v>
      </c>
      <c r="DL18" s="409">
        <v>0</v>
      </c>
      <c r="DM18" s="409">
        <v>0</v>
      </c>
      <c r="DN18" s="409">
        <v>0</v>
      </c>
      <c r="DO18" s="409">
        <v>-0.54093290378913927</v>
      </c>
      <c r="DP18" s="409">
        <v>-7.7652893104680709E-2</v>
      </c>
      <c r="DQ18" s="409">
        <v>0</v>
      </c>
      <c r="DR18" s="409">
        <v>-1.3540283929353283</v>
      </c>
      <c r="DS18" s="409"/>
      <c r="DT18" s="409"/>
      <c r="DU18" s="409"/>
      <c r="DV18" s="409">
        <v>218.87750720823104</v>
      </c>
      <c r="DW18" s="409">
        <v>0</v>
      </c>
      <c r="DX18" s="409">
        <v>0</v>
      </c>
      <c r="DY18" s="409">
        <v>-35.60310000000004</v>
      </c>
      <c r="DZ18" s="409">
        <v>14.365000000000009</v>
      </c>
      <c r="EA18" s="409">
        <v>0</v>
      </c>
      <c r="EB18" s="409">
        <v>0</v>
      </c>
      <c r="EC18" s="409">
        <v>-34.79123240174232</v>
      </c>
      <c r="ED18" s="409">
        <v>0</v>
      </c>
      <c r="EE18" s="409">
        <v>0</v>
      </c>
      <c r="EF18" s="409">
        <v>0</v>
      </c>
      <c r="EG18" s="409">
        <v>0</v>
      </c>
      <c r="EH18" s="409">
        <v>0</v>
      </c>
      <c r="EI18" s="409">
        <v>0</v>
      </c>
      <c r="EJ18" s="409">
        <v>0</v>
      </c>
      <c r="EK18" s="409">
        <v>0</v>
      </c>
      <c r="EL18" s="409">
        <v>0</v>
      </c>
      <c r="EM18" s="409">
        <v>0</v>
      </c>
      <c r="EN18" s="409">
        <v>0</v>
      </c>
      <c r="EO18" s="409">
        <v>0</v>
      </c>
      <c r="EP18" s="409">
        <v>0</v>
      </c>
      <c r="EQ18" s="409">
        <v>0</v>
      </c>
      <c r="ER18" s="409">
        <v>0</v>
      </c>
      <c r="ES18" s="409">
        <v>0</v>
      </c>
      <c r="ET18" s="409">
        <v>0</v>
      </c>
      <c r="EU18" s="409">
        <v>0</v>
      </c>
      <c r="EV18" s="409">
        <v>210</v>
      </c>
      <c r="EW18" s="409">
        <v>0</v>
      </c>
      <c r="EX18" s="409">
        <v>0</v>
      </c>
      <c r="EY18" s="409">
        <v>0</v>
      </c>
      <c r="EZ18" s="409"/>
      <c r="FA18" s="409">
        <v>0</v>
      </c>
      <c r="FB18" s="409"/>
      <c r="FC18" s="409"/>
      <c r="FD18" s="409"/>
      <c r="FE18" s="409"/>
      <c r="FF18" s="409">
        <v>0</v>
      </c>
      <c r="FG18" s="409">
        <v>0</v>
      </c>
      <c r="FH18" s="409">
        <v>0</v>
      </c>
      <c r="FI18" s="409">
        <v>0</v>
      </c>
    </row>
    <row r="19" spans="1:165" customFormat="1">
      <c r="A19" s="409">
        <v>17</v>
      </c>
      <c r="B19" s="409" t="s">
        <v>1035</v>
      </c>
      <c r="C19" s="409" t="s">
        <v>2248</v>
      </c>
      <c r="D19" s="409" t="s">
        <v>2247</v>
      </c>
      <c r="E19" s="409" t="s">
        <v>973</v>
      </c>
      <c r="F19" s="409" t="s">
        <v>1323</v>
      </c>
      <c r="G19" s="409" t="s">
        <v>1323</v>
      </c>
      <c r="H19" s="409" t="s">
        <v>1323</v>
      </c>
      <c r="I19" s="409" t="s">
        <v>2234</v>
      </c>
      <c r="J19" s="409" t="s">
        <v>2242</v>
      </c>
      <c r="K19" s="838">
        <v>44317</v>
      </c>
      <c r="L19" s="409">
        <v>0</v>
      </c>
      <c r="M19" s="409">
        <v>0</v>
      </c>
      <c r="N19" s="409">
        <v>6.0999999999999999E-2</v>
      </c>
      <c r="O19" s="409">
        <v>6.0999999999999999E-2</v>
      </c>
      <c r="P19" s="409">
        <v>6.0999999999999999E-2</v>
      </c>
      <c r="Q19" s="409">
        <v>6.0999999999999999E-2</v>
      </c>
      <c r="R19" s="409"/>
      <c r="S19" s="409">
        <v>203.33</v>
      </c>
      <c r="T19" s="409">
        <v>235.42</v>
      </c>
      <c r="U19" s="409"/>
      <c r="V19" s="409">
        <v>26.763750000000002</v>
      </c>
      <c r="W19" s="409">
        <v>26.763750000000002</v>
      </c>
      <c r="X19" s="409">
        <v>26.38982</v>
      </c>
      <c r="Y19" s="409">
        <v>0</v>
      </c>
      <c r="Z19" s="409">
        <v>3.167241663444651</v>
      </c>
      <c r="AA19" s="409">
        <v>0</v>
      </c>
      <c r="AB19" s="409">
        <v>0</v>
      </c>
      <c r="AC19" s="409">
        <v>0</v>
      </c>
      <c r="AD19" s="409">
        <v>2.5742972112957268</v>
      </c>
      <c r="AE19" s="409">
        <v>5.9230072083769594</v>
      </c>
      <c r="AF19" s="409">
        <v>14.360361563324103</v>
      </c>
      <c r="AG19" s="409">
        <v>0</v>
      </c>
      <c r="AH19" s="409">
        <v>0</v>
      </c>
      <c r="AI19" s="409">
        <v>0</v>
      </c>
      <c r="AJ19" s="409">
        <v>0</v>
      </c>
      <c r="AK19" s="409">
        <v>0</v>
      </c>
      <c r="AL19" s="409">
        <v>0.48979535221997578</v>
      </c>
      <c r="AM19" s="409"/>
      <c r="AN19" s="409">
        <v>5.5874693331090262E-2</v>
      </c>
      <c r="AO19" s="409">
        <v>0</v>
      </c>
      <c r="AP19" s="409">
        <v>0</v>
      </c>
      <c r="AQ19" s="409">
        <v>0</v>
      </c>
      <c r="AR19" s="409">
        <v>0</v>
      </c>
      <c r="AS19" s="409">
        <v>0</v>
      </c>
      <c r="AT19" s="409">
        <v>0</v>
      </c>
      <c r="AU19" s="409">
        <v>0</v>
      </c>
      <c r="AV19" s="409">
        <v>0</v>
      </c>
      <c r="AW19" s="409">
        <v>0</v>
      </c>
      <c r="AX19" s="409">
        <v>0</v>
      </c>
      <c r="AY19" s="409">
        <v>0</v>
      </c>
      <c r="AZ19" s="409">
        <v>0</v>
      </c>
      <c r="BA19" s="409"/>
      <c r="BB19" s="409">
        <v>0</v>
      </c>
      <c r="BC19" s="409">
        <v>0</v>
      </c>
      <c r="BD19" s="409">
        <v>0</v>
      </c>
      <c r="BE19" s="409">
        <v>0</v>
      </c>
      <c r="BF19" s="409">
        <v>0</v>
      </c>
      <c r="BG19" s="409">
        <v>0.19297024045145253</v>
      </c>
      <c r="BH19" s="409">
        <v>0</v>
      </c>
      <c r="BI19" s="409">
        <v>0</v>
      </c>
      <c r="BJ19" s="409">
        <v>0</v>
      </c>
      <c r="BK19" s="409">
        <v>0</v>
      </c>
      <c r="BL19" s="409">
        <v>0</v>
      </c>
      <c r="BM19" s="409"/>
      <c r="BN19" s="409"/>
      <c r="BO19" s="409"/>
      <c r="BP19" s="409"/>
      <c r="BQ19" s="409"/>
      <c r="BR19" s="409"/>
      <c r="BS19" s="409"/>
      <c r="BT19" s="409"/>
      <c r="BU19" s="409"/>
      <c r="BV19" s="409">
        <v>14.553331803775556</v>
      </c>
      <c r="BW19" s="409"/>
      <c r="BX19" s="409"/>
      <c r="BY19" s="409"/>
      <c r="BZ19" s="409"/>
      <c r="CA19" s="409"/>
      <c r="CB19" s="409"/>
      <c r="CC19" s="409"/>
      <c r="CD19" s="409"/>
      <c r="CE19" s="409"/>
      <c r="CF19" s="409"/>
      <c r="CG19" s="409"/>
      <c r="CH19" s="409"/>
      <c r="CI19" s="409">
        <v>25.9572</v>
      </c>
      <c r="CJ19" s="409">
        <v>-0.83654999999999902</v>
      </c>
      <c r="CK19" s="409"/>
      <c r="CL19" s="409"/>
      <c r="CM19" s="409"/>
      <c r="CN19" s="409"/>
      <c r="CO19" s="409">
        <v>-1.0559100000000001</v>
      </c>
      <c r="CP19" s="409">
        <v>0.68198000000000036</v>
      </c>
      <c r="CQ19" s="409">
        <v>31</v>
      </c>
      <c r="CR19" s="409">
        <v>0.56744100744484527</v>
      </c>
      <c r="CS19" s="409">
        <v>0</v>
      </c>
      <c r="CT19" s="409">
        <v>0</v>
      </c>
      <c r="CU19" s="409">
        <v>0</v>
      </c>
      <c r="CV19" s="409">
        <v>0</v>
      </c>
      <c r="CW19" s="409">
        <v>0</v>
      </c>
      <c r="CX19" s="409">
        <v>0</v>
      </c>
      <c r="CY19" s="409">
        <v>0</v>
      </c>
      <c r="CZ19" s="409">
        <v>8.8242897916008811E-2</v>
      </c>
      <c r="DA19" s="409">
        <v>0</v>
      </c>
      <c r="DB19" s="409">
        <v>0</v>
      </c>
      <c r="DC19" s="409">
        <v>0.7735886632349871</v>
      </c>
      <c r="DD19" s="409">
        <v>0</v>
      </c>
      <c r="DE19" s="409">
        <v>0</v>
      </c>
      <c r="DF19" s="409">
        <v>0</v>
      </c>
      <c r="DG19" s="409">
        <v>1.0395252911752667E-2</v>
      </c>
      <c r="DH19" s="409">
        <v>0</v>
      </c>
      <c r="DI19" s="409">
        <v>-0.20188402224699864</v>
      </c>
      <c r="DJ19" s="409"/>
      <c r="DK19" s="409">
        <v>0</v>
      </c>
      <c r="DL19" s="409">
        <v>0</v>
      </c>
      <c r="DM19" s="409">
        <v>0</v>
      </c>
      <c r="DN19" s="409">
        <v>0</v>
      </c>
      <c r="DO19" s="409">
        <v>-2.5680850798894039E-2</v>
      </c>
      <c r="DP19" s="409">
        <v>-3.6865798844085418E-3</v>
      </c>
      <c r="DQ19" s="409">
        <v>0</v>
      </c>
      <c r="DR19" s="409">
        <v>-7.3534353687604415E-2</v>
      </c>
      <c r="DS19" s="409"/>
      <c r="DT19" s="409"/>
      <c r="DU19" s="409"/>
      <c r="DV19" s="409">
        <v>5.9230072083769594</v>
      </c>
      <c r="DW19" s="409">
        <v>0</v>
      </c>
      <c r="DX19" s="409">
        <v>0</v>
      </c>
      <c r="DY19" s="409">
        <v>-1.0559100000000008</v>
      </c>
      <c r="DZ19" s="409">
        <v>0.68198000000000114</v>
      </c>
      <c r="EA19" s="409">
        <v>0</v>
      </c>
      <c r="EB19" s="409">
        <v>0</v>
      </c>
      <c r="EC19" s="409">
        <v>-0.94147965650846732</v>
      </c>
      <c r="ED19" s="409">
        <v>0</v>
      </c>
      <c r="EE19" s="409">
        <v>0</v>
      </c>
      <c r="EF19" s="409">
        <v>0</v>
      </c>
      <c r="EG19" s="409">
        <v>0</v>
      </c>
      <c r="EH19" s="409">
        <v>0</v>
      </c>
      <c r="EI19" s="409">
        <v>0</v>
      </c>
      <c r="EJ19" s="409">
        <v>0</v>
      </c>
      <c r="EK19" s="409">
        <v>0</v>
      </c>
      <c r="EL19" s="409">
        <v>0</v>
      </c>
      <c r="EM19" s="409">
        <v>0</v>
      </c>
      <c r="EN19" s="409">
        <v>0</v>
      </c>
      <c r="EO19" s="409">
        <v>0</v>
      </c>
      <c r="EP19" s="409">
        <v>0</v>
      </c>
      <c r="EQ19" s="409">
        <v>0</v>
      </c>
      <c r="ER19" s="409">
        <v>0</v>
      </c>
      <c r="ES19" s="409">
        <v>0</v>
      </c>
      <c r="ET19" s="409">
        <v>0</v>
      </c>
      <c r="EU19" s="409">
        <v>0</v>
      </c>
      <c r="EV19" s="409">
        <v>210</v>
      </c>
      <c r="EW19" s="409">
        <v>0</v>
      </c>
      <c r="EX19" s="409">
        <v>0</v>
      </c>
      <c r="EY19" s="409">
        <v>0</v>
      </c>
      <c r="EZ19" s="409"/>
      <c r="FA19" s="409">
        <v>0</v>
      </c>
      <c r="FB19" s="409"/>
      <c r="FC19" s="409"/>
      <c r="FD19" s="409"/>
      <c r="FE19" s="409"/>
      <c r="FF19" s="409">
        <v>0</v>
      </c>
      <c r="FG19" s="409">
        <v>0</v>
      </c>
      <c r="FH19" s="409">
        <v>0</v>
      </c>
      <c r="FI19" s="409">
        <v>0</v>
      </c>
    </row>
    <row r="20" spans="1:165" customFormat="1">
      <c r="A20" s="409">
        <v>18</v>
      </c>
      <c r="B20" s="409" t="s">
        <v>1035</v>
      </c>
      <c r="C20" s="409" t="s">
        <v>2248</v>
      </c>
      <c r="D20" s="409" t="s">
        <v>2247</v>
      </c>
      <c r="E20" s="409" t="s">
        <v>973</v>
      </c>
      <c r="F20" s="409" t="s">
        <v>1323</v>
      </c>
      <c r="G20" s="409" t="s">
        <v>1323</v>
      </c>
      <c r="H20" s="409" t="s">
        <v>1323</v>
      </c>
      <c r="I20" s="409" t="s">
        <v>1323</v>
      </c>
      <c r="J20" s="409" t="s">
        <v>2242</v>
      </c>
      <c r="K20" s="838">
        <v>44317</v>
      </c>
      <c r="L20" s="409">
        <v>0</v>
      </c>
      <c r="M20" s="409">
        <v>0</v>
      </c>
      <c r="N20" s="409">
        <v>0</v>
      </c>
      <c r="O20" s="409">
        <v>0</v>
      </c>
      <c r="P20" s="409">
        <v>0</v>
      </c>
      <c r="Q20" s="409">
        <v>0</v>
      </c>
      <c r="R20" s="409"/>
      <c r="S20" s="409"/>
      <c r="T20" s="409"/>
      <c r="U20" s="409"/>
      <c r="V20" s="409"/>
      <c r="W20" s="409"/>
      <c r="X20" s="409"/>
      <c r="Y20" s="409"/>
      <c r="Z20" s="409"/>
      <c r="AA20" s="409">
        <v>0</v>
      </c>
      <c r="AB20" s="409"/>
      <c r="AC20" s="409"/>
      <c r="AD20" s="409"/>
      <c r="AE20" s="409"/>
      <c r="AF20" s="409"/>
      <c r="AG20" s="409"/>
      <c r="AH20" s="409"/>
      <c r="AI20" s="409"/>
      <c r="AJ20" s="409"/>
      <c r="AK20" s="409"/>
      <c r="AL20" s="409"/>
      <c r="AM20" s="409"/>
      <c r="AN20" s="409"/>
      <c r="AO20" s="409"/>
      <c r="AP20" s="409"/>
      <c r="AQ20" s="409"/>
      <c r="AR20" s="409"/>
      <c r="AS20" s="409"/>
      <c r="AT20" s="409"/>
      <c r="AU20" s="409"/>
      <c r="AV20" s="409"/>
      <c r="AW20" s="409"/>
      <c r="AX20" s="409"/>
      <c r="AY20" s="409"/>
      <c r="AZ20" s="409">
        <v>0</v>
      </c>
      <c r="BA20" s="409"/>
      <c r="BB20" s="409"/>
      <c r="BC20" s="409"/>
      <c r="BD20" s="409"/>
      <c r="BE20" s="409"/>
      <c r="BF20" s="409"/>
      <c r="BG20" s="409"/>
      <c r="BH20" s="409"/>
      <c r="BI20" s="409">
        <v>0.15</v>
      </c>
      <c r="BJ20" s="409">
        <v>0.74</v>
      </c>
      <c r="BK20" s="409">
        <v>0</v>
      </c>
      <c r="BL20" s="409">
        <v>1</v>
      </c>
      <c r="BM20" s="409"/>
      <c r="BN20" s="409"/>
      <c r="BO20" s="409"/>
      <c r="BP20" s="409"/>
      <c r="BQ20" s="409"/>
      <c r="BR20" s="409"/>
      <c r="BS20" s="409"/>
      <c r="BT20" s="409"/>
      <c r="BU20" s="409"/>
      <c r="BV20" s="409"/>
      <c r="BW20" s="409"/>
      <c r="BX20" s="409"/>
      <c r="BY20" s="409"/>
      <c r="BZ20" s="409"/>
      <c r="CA20" s="409"/>
      <c r="CB20" s="409"/>
      <c r="CC20" s="409"/>
      <c r="CD20" s="409"/>
      <c r="CE20" s="409"/>
      <c r="CF20" s="409"/>
      <c r="CG20" s="409"/>
      <c r="CH20" s="409"/>
      <c r="CI20" s="409"/>
      <c r="CJ20" s="409">
        <v>-0.03</v>
      </c>
      <c r="CK20" s="409"/>
      <c r="CL20" s="409"/>
      <c r="CM20" s="409"/>
      <c r="CN20" s="409"/>
      <c r="CO20" s="409">
        <v>0</v>
      </c>
      <c r="CP20" s="409">
        <v>0</v>
      </c>
      <c r="CQ20" s="409">
        <v>31</v>
      </c>
      <c r="CR20" s="409"/>
      <c r="CS20" s="409"/>
      <c r="CT20" s="409"/>
      <c r="CU20" s="409"/>
      <c r="CV20" s="409"/>
      <c r="CW20" s="409"/>
      <c r="CX20" s="409"/>
      <c r="CY20" s="409"/>
      <c r="CZ20" s="409"/>
      <c r="DA20" s="409"/>
      <c r="DB20" s="409"/>
      <c r="DC20" s="409"/>
      <c r="DD20" s="409"/>
      <c r="DE20" s="409"/>
      <c r="DF20" s="409"/>
      <c r="DG20" s="409"/>
      <c r="DH20" s="409"/>
      <c r="DI20" s="409"/>
      <c r="DJ20" s="409"/>
      <c r="DK20" s="409">
        <v>0</v>
      </c>
      <c r="DL20" s="409"/>
      <c r="DM20" s="409"/>
      <c r="DN20" s="409"/>
      <c r="DO20" s="409"/>
      <c r="DP20" s="409"/>
      <c r="DQ20" s="409"/>
      <c r="DR20" s="409"/>
      <c r="DS20" s="409"/>
      <c r="DT20" s="409"/>
      <c r="DU20" s="409"/>
      <c r="DV20" s="409"/>
      <c r="DW20" s="409"/>
      <c r="DX20" s="409"/>
      <c r="DY20" s="409"/>
      <c r="DZ20" s="409"/>
      <c r="EA20" s="409"/>
      <c r="EB20" s="409"/>
      <c r="EC20" s="409"/>
      <c r="ED20" s="409"/>
      <c r="EE20" s="409"/>
      <c r="EF20" s="409"/>
      <c r="EG20" s="409"/>
      <c r="EH20" s="409"/>
      <c r="EI20" s="409"/>
      <c r="EJ20" s="409"/>
      <c r="EK20" s="409"/>
      <c r="EL20" s="409"/>
      <c r="EM20" s="409"/>
      <c r="EN20" s="409"/>
      <c r="EO20" s="409"/>
      <c r="EP20" s="409"/>
      <c r="EQ20" s="409"/>
      <c r="ER20" s="409"/>
      <c r="ES20" s="409"/>
      <c r="ET20" s="409"/>
      <c r="EU20" s="409"/>
      <c r="EV20" s="409">
        <v>210</v>
      </c>
      <c r="EW20" s="409"/>
      <c r="EX20" s="409"/>
      <c r="EY20" s="409"/>
      <c r="EZ20" s="409"/>
      <c r="FA20" s="409">
        <v>0</v>
      </c>
      <c r="FB20" s="409"/>
      <c r="FC20" s="409"/>
      <c r="FD20" s="409"/>
      <c r="FE20" s="409"/>
      <c r="FF20" s="409">
        <v>0</v>
      </c>
      <c r="FG20" s="409">
        <v>0</v>
      </c>
      <c r="FH20" s="409">
        <v>0</v>
      </c>
      <c r="FI20" s="409">
        <v>0</v>
      </c>
    </row>
    <row r="21" spans="1:165" customFormat="1">
      <c r="A21" s="409">
        <v>19</v>
      </c>
      <c r="B21" s="409" t="s">
        <v>1035</v>
      </c>
      <c r="C21" s="409" t="s">
        <v>2241</v>
      </c>
      <c r="D21" s="409" t="s">
        <v>1992</v>
      </c>
      <c r="E21" s="409" t="s">
        <v>2249</v>
      </c>
      <c r="F21" s="409" t="s">
        <v>1323</v>
      </c>
      <c r="G21" s="409" t="s">
        <v>1323</v>
      </c>
      <c r="H21" s="409" t="s">
        <v>1323</v>
      </c>
      <c r="I21" s="409" t="s">
        <v>1323</v>
      </c>
      <c r="J21" s="409" t="s">
        <v>2242</v>
      </c>
      <c r="K21" s="838">
        <v>44317</v>
      </c>
      <c r="L21" s="409">
        <v>0</v>
      </c>
      <c r="M21" s="409">
        <v>0</v>
      </c>
      <c r="N21" s="409">
        <v>11.529</v>
      </c>
      <c r="O21" s="409">
        <v>11.529</v>
      </c>
      <c r="P21" s="409">
        <v>11.529</v>
      </c>
      <c r="Q21" s="409">
        <v>11.529</v>
      </c>
      <c r="R21" s="409"/>
      <c r="S21" s="409">
        <v>358.62</v>
      </c>
      <c r="T21" s="409">
        <v>273.74</v>
      </c>
      <c r="U21" s="409"/>
      <c r="V21" s="409">
        <v>7290.4784400000008</v>
      </c>
      <c r="W21" s="409">
        <v>7290.4784400000008</v>
      </c>
      <c r="X21" s="409">
        <v>7068.8910599999999</v>
      </c>
      <c r="Y21" s="409">
        <v>0</v>
      </c>
      <c r="Z21" s="409">
        <v>696.0565981291162</v>
      </c>
      <c r="AA21" s="409">
        <v>0</v>
      </c>
      <c r="AB21" s="409">
        <v>0</v>
      </c>
      <c r="AC21" s="409">
        <v>0</v>
      </c>
      <c r="AD21" s="409">
        <v>992.5145205470775</v>
      </c>
      <c r="AE21" s="409">
        <v>2283.6550050712176</v>
      </c>
      <c r="AF21" s="409">
        <v>3155.9399249630928</v>
      </c>
      <c r="AG21" s="409">
        <v>0</v>
      </c>
      <c r="AH21" s="409">
        <v>0</v>
      </c>
      <c r="AI21" s="409">
        <v>0</v>
      </c>
      <c r="AJ21" s="409">
        <v>0</v>
      </c>
      <c r="AK21" s="409">
        <v>0</v>
      </c>
      <c r="AL21" s="409">
        <v>107.64107159252954</v>
      </c>
      <c r="AM21" s="409"/>
      <c r="AN21" s="409">
        <v>12.27943841811171</v>
      </c>
      <c r="AO21" s="409">
        <v>0</v>
      </c>
      <c r="AP21" s="409">
        <v>0</v>
      </c>
      <c r="AQ21" s="409">
        <v>0</v>
      </c>
      <c r="AR21" s="409">
        <v>0</v>
      </c>
      <c r="AS21" s="409">
        <v>0</v>
      </c>
      <c r="AT21" s="409">
        <v>0</v>
      </c>
      <c r="AU21" s="409">
        <v>0</v>
      </c>
      <c r="AV21" s="409">
        <v>0</v>
      </c>
      <c r="AW21" s="409">
        <v>0</v>
      </c>
      <c r="AX21" s="409">
        <v>0</v>
      </c>
      <c r="AY21" s="409">
        <v>0</v>
      </c>
      <c r="AZ21" s="409">
        <v>0</v>
      </c>
      <c r="BA21" s="409"/>
      <c r="BB21" s="409">
        <v>0</v>
      </c>
      <c r="BC21" s="409">
        <v>0</v>
      </c>
      <c r="BD21" s="409">
        <v>0</v>
      </c>
      <c r="BE21" s="409">
        <v>0</v>
      </c>
      <c r="BF21" s="409">
        <v>0</v>
      </c>
      <c r="BG21" s="409">
        <v>42.408576099214464</v>
      </c>
      <c r="BH21" s="409">
        <v>0</v>
      </c>
      <c r="BI21" s="409">
        <v>3.79</v>
      </c>
      <c r="BJ21" s="409">
        <v>17.5</v>
      </c>
      <c r="BK21" s="409">
        <v>1383.57</v>
      </c>
      <c r="BL21" s="409">
        <v>15</v>
      </c>
      <c r="BM21" s="409"/>
      <c r="BN21" s="409"/>
      <c r="BO21" s="409"/>
      <c r="BP21" s="409"/>
      <c r="BQ21" s="409"/>
      <c r="BR21" s="409"/>
      <c r="BS21" s="409"/>
      <c r="BT21" s="409"/>
      <c r="BU21" s="409"/>
      <c r="BV21" s="409">
        <v>3198.3485010623072</v>
      </c>
      <c r="BW21" s="409"/>
      <c r="BX21" s="409"/>
      <c r="BY21" s="409"/>
      <c r="BZ21" s="409"/>
      <c r="CA21" s="409"/>
      <c r="CB21" s="409"/>
      <c r="CC21" s="409"/>
      <c r="CD21" s="409"/>
      <c r="CE21" s="409"/>
      <c r="CF21" s="409"/>
      <c r="CG21" s="409"/>
      <c r="CH21" s="409"/>
      <c r="CI21" s="409">
        <v>7069.5041999999994</v>
      </c>
      <c r="CJ21" s="409">
        <v>-221.00424000000203</v>
      </c>
      <c r="CK21" s="409"/>
      <c r="CL21" s="409"/>
      <c r="CM21" s="409"/>
      <c r="CN21" s="409"/>
      <c r="CO21" s="409">
        <v>-371.46438000000029</v>
      </c>
      <c r="CP21" s="409">
        <v>149.87700000000001</v>
      </c>
      <c r="CQ21" s="409">
        <v>31</v>
      </c>
      <c r="CR21" s="409">
        <v>141.36721721049707</v>
      </c>
      <c r="CS21" s="409">
        <v>0</v>
      </c>
      <c r="CT21" s="409">
        <v>0</v>
      </c>
      <c r="CU21" s="409">
        <v>0</v>
      </c>
      <c r="CV21" s="409">
        <v>0</v>
      </c>
      <c r="CW21" s="409">
        <v>0</v>
      </c>
      <c r="CX21" s="409">
        <v>0</v>
      </c>
      <c r="CY21" s="409">
        <v>0</v>
      </c>
      <c r="CZ21" s="409">
        <v>34.021851529997434</v>
      </c>
      <c r="DA21" s="409">
        <v>0</v>
      </c>
      <c r="DB21" s="409">
        <v>0</v>
      </c>
      <c r="DC21" s="409">
        <v>170.00960157140253</v>
      </c>
      <c r="DD21" s="409">
        <v>0</v>
      </c>
      <c r="DE21" s="409">
        <v>0</v>
      </c>
      <c r="DF21" s="409">
        <v>0</v>
      </c>
      <c r="DG21" s="409">
        <v>2.2845381399085198</v>
      </c>
      <c r="DH21" s="409">
        <v>0</v>
      </c>
      <c r="DI21" s="409">
        <v>-44.367535121725609</v>
      </c>
      <c r="DJ21" s="409"/>
      <c r="DK21" s="409">
        <v>0</v>
      </c>
      <c r="DL21" s="409">
        <v>0</v>
      </c>
      <c r="DM21" s="409">
        <v>0</v>
      </c>
      <c r="DN21" s="409">
        <v>0</v>
      </c>
      <c r="DO21" s="409">
        <v>-5.6438148848732936</v>
      </c>
      <c r="DP21" s="409">
        <v>-0.81019023041073801</v>
      </c>
      <c r="DQ21" s="409">
        <v>0</v>
      </c>
      <c r="DR21" s="409">
        <v>-14.127233793802169</v>
      </c>
      <c r="DS21" s="409"/>
      <c r="DT21" s="409"/>
      <c r="DU21" s="409"/>
      <c r="DV21" s="409">
        <v>2283.6550050712176</v>
      </c>
      <c r="DW21" s="409">
        <v>0</v>
      </c>
      <c r="DX21" s="409">
        <v>0</v>
      </c>
      <c r="DY21" s="409">
        <v>-371.46438000000035</v>
      </c>
      <c r="DZ21" s="409">
        <v>149.87699999999995</v>
      </c>
      <c r="EA21" s="409">
        <v>0</v>
      </c>
      <c r="EB21" s="409">
        <v>0</v>
      </c>
      <c r="EC21" s="409">
        <v>-362.99377227120999</v>
      </c>
      <c r="ED21" s="409">
        <v>0</v>
      </c>
      <c r="EE21" s="409">
        <v>0</v>
      </c>
      <c r="EF21" s="409">
        <v>0</v>
      </c>
      <c r="EG21" s="409">
        <v>0</v>
      </c>
      <c r="EH21" s="409">
        <v>0</v>
      </c>
      <c r="EI21" s="409">
        <v>0</v>
      </c>
      <c r="EJ21" s="409">
        <v>0</v>
      </c>
      <c r="EK21" s="409">
        <v>0</v>
      </c>
      <c r="EL21" s="409">
        <v>0</v>
      </c>
      <c r="EM21" s="409">
        <v>0</v>
      </c>
      <c r="EN21" s="409">
        <v>0</v>
      </c>
      <c r="EO21" s="409">
        <v>0</v>
      </c>
      <c r="EP21" s="409">
        <v>0</v>
      </c>
      <c r="EQ21" s="409">
        <v>0</v>
      </c>
      <c r="ER21" s="409">
        <v>0</v>
      </c>
      <c r="ES21" s="409">
        <v>0</v>
      </c>
      <c r="ET21" s="409">
        <v>0</v>
      </c>
      <c r="EU21" s="409">
        <v>0</v>
      </c>
      <c r="EV21" s="409">
        <v>210</v>
      </c>
      <c r="EW21" s="409">
        <v>0</v>
      </c>
      <c r="EX21" s="409">
        <v>0</v>
      </c>
      <c r="EY21" s="409">
        <v>0</v>
      </c>
      <c r="EZ21" s="409"/>
      <c r="FA21" s="409">
        <v>0</v>
      </c>
      <c r="FB21" s="409"/>
      <c r="FC21" s="409"/>
      <c r="FD21" s="409"/>
      <c r="FE21" s="409"/>
      <c r="FF21" s="409">
        <v>0</v>
      </c>
      <c r="FG21" s="409">
        <v>0</v>
      </c>
      <c r="FH21" s="409">
        <v>0</v>
      </c>
      <c r="FI21" s="409">
        <v>0</v>
      </c>
    </row>
    <row r="22" spans="1:165" customFormat="1">
      <c r="A22" s="409">
        <v>20</v>
      </c>
      <c r="B22" s="409" t="s">
        <v>1035</v>
      </c>
      <c r="C22" s="409" t="s">
        <v>2241</v>
      </c>
      <c r="D22" s="409" t="s">
        <v>2250</v>
      </c>
      <c r="E22" s="409" t="s">
        <v>2251</v>
      </c>
      <c r="F22" s="409" t="s">
        <v>2252</v>
      </c>
      <c r="G22" s="409" t="s">
        <v>1323</v>
      </c>
      <c r="H22" s="409" t="s">
        <v>1323</v>
      </c>
      <c r="I22" s="409" t="s">
        <v>1323</v>
      </c>
      <c r="J22" s="409" t="s">
        <v>2242</v>
      </c>
      <c r="K22" s="838">
        <v>44317</v>
      </c>
      <c r="L22" s="409">
        <v>0</v>
      </c>
      <c r="M22" s="409">
        <v>0</v>
      </c>
      <c r="N22" s="409">
        <v>20.052</v>
      </c>
      <c r="O22" s="409">
        <v>20.052</v>
      </c>
      <c r="P22" s="409">
        <v>20.052</v>
      </c>
      <c r="Q22" s="409">
        <v>20.052</v>
      </c>
      <c r="R22" s="409"/>
      <c r="S22" s="409">
        <v>215.17</v>
      </c>
      <c r="T22" s="409">
        <v>164.24</v>
      </c>
      <c r="U22" s="409"/>
      <c r="V22" s="409">
        <v>7607.9293199999993</v>
      </c>
      <c r="W22" s="409">
        <v>7607.9293199999993</v>
      </c>
      <c r="X22" s="409">
        <v>7376.9302800000005</v>
      </c>
      <c r="Y22" s="409">
        <v>0</v>
      </c>
      <c r="Z22" s="409">
        <v>726.37662793052459</v>
      </c>
      <c r="AA22" s="409">
        <v>0</v>
      </c>
      <c r="AB22" s="409">
        <v>0</v>
      </c>
      <c r="AC22" s="409">
        <v>0</v>
      </c>
      <c r="AD22" s="409">
        <v>1035.748174135312</v>
      </c>
      <c r="AE22" s="409">
        <v>2383.1303753155416</v>
      </c>
      <c r="AF22" s="409">
        <v>3293.4117811792798</v>
      </c>
      <c r="AG22" s="409">
        <v>0</v>
      </c>
      <c r="AH22" s="409">
        <v>0</v>
      </c>
      <c r="AI22" s="409">
        <v>0</v>
      </c>
      <c r="AJ22" s="409">
        <v>0</v>
      </c>
      <c r="AK22" s="409">
        <v>0</v>
      </c>
      <c r="AL22" s="409">
        <v>112.32988642068175</v>
      </c>
      <c r="AM22" s="409"/>
      <c r="AN22" s="409">
        <v>12.814327304708593</v>
      </c>
      <c r="AO22" s="409">
        <v>0</v>
      </c>
      <c r="AP22" s="409">
        <v>0</v>
      </c>
      <c r="AQ22" s="409">
        <v>0</v>
      </c>
      <c r="AR22" s="409">
        <v>0</v>
      </c>
      <c r="AS22" s="409">
        <v>0</v>
      </c>
      <c r="AT22" s="409">
        <v>0</v>
      </c>
      <c r="AU22" s="409">
        <v>0</v>
      </c>
      <c r="AV22" s="409">
        <v>0</v>
      </c>
      <c r="AW22" s="409">
        <v>0</v>
      </c>
      <c r="AX22" s="409">
        <v>0</v>
      </c>
      <c r="AY22" s="409">
        <v>0</v>
      </c>
      <c r="AZ22" s="409">
        <v>0</v>
      </c>
      <c r="BA22" s="409"/>
      <c r="BB22" s="409">
        <v>0</v>
      </c>
      <c r="BC22" s="409">
        <v>0</v>
      </c>
      <c r="BD22" s="409">
        <v>0</v>
      </c>
      <c r="BE22" s="409">
        <v>0</v>
      </c>
      <c r="BF22" s="409">
        <v>0</v>
      </c>
      <c r="BG22" s="409">
        <v>44.255881755995354</v>
      </c>
      <c r="BH22" s="409">
        <v>0</v>
      </c>
      <c r="BI22" s="409">
        <v>0</v>
      </c>
      <c r="BJ22" s="409">
        <v>0</v>
      </c>
      <c r="BK22" s="409">
        <v>1596.33</v>
      </c>
      <c r="BL22" s="409">
        <v>6</v>
      </c>
      <c r="BM22" s="409"/>
      <c r="BN22" s="409"/>
      <c r="BO22" s="409"/>
      <c r="BP22" s="409"/>
      <c r="BQ22" s="409"/>
      <c r="BR22" s="409"/>
      <c r="BS22" s="409"/>
      <c r="BT22" s="409"/>
      <c r="BU22" s="409"/>
      <c r="BV22" s="409">
        <v>3337.6676629352751</v>
      </c>
      <c r="BW22" s="409"/>
      <c r="BX22" s="409"/>
      <c r="BY22" s="409"/>
      <c r="BZ22" s="409"/>
      <c r="CA22" s="409"/>
      <c r="CB22" s="409"/>
      <c r="CC22" s="409"/>
      <c r="CD22" s="409"/>
      <c r="CE22" s="409"/>
      <c r="CF22" s="409"/>
      <c r="CG22" s="409"/>
      <c r="CH22" s="409"/>
      <c r="CI22" s="409">
        <v>7376.1945000000005</v>
      </c>
      <c r="CJ22" s="409">
        <v>-231.76481999999942</v>
      </c>
      <c r="CK22" s="409"/>
      <c r="CL22" s="409"/>
      <c r="CM22" s="409"/>
      <c r="CN22" s="409"/>
      <c r="CO22" s="409">
        <v>-387.60515999999967</v>
      </c>
      <c r="CP22" s="409">
        <v>156.60612000000003</v>
      </c>
      <c r="CQ22" s="409">
        <v>31</v>
      </c>
      <c r="CR22" s="409">
        <v>147.52513346369142</v>
      </c>
      <c r="CS22" s="409">
        <v>0</v>
      </c>
      <c r="CT22" s="409">
        <v>0</v>
      </c>
      <c r="CU22" s="409">
        <v>0</v>
      </c>
      <c r="CV22" s="409">
        <v>0</v>
      </c>
      <c r="CW22" s="409">
        <v>0</v>
      </c>
      <c r="CX22" s="409">
        <v>0</v>
      </c>
      <c r="CY22" s="409">
        <v>0</v>
      </c>
      <c r="CZ22" s="409">
        <v>35.503833821466515</v>
      </c>
      <c r="DA22" s="409">
        <v>0</v>
      </c>
      <c r="DB22" s="409">
        <v>0</v>
      </c>
      <c r="DC22" s="409">
        <v>177.41517203797866</v>
      </c>
      <c r="DD22" s="409">
        <v>0</v>
      </c>
      <c r="DE22" s="409">
        <v>0</v>
      </c>
      <c r="DF22" s="409">
        <v>0</v>
      </c>
      <c r="DG22" s="409">
        <v>2.3840519792581176</v>
      </c>
      <c r="DH22" s="409">
        <v>0</v>
      </c>
      <c r="DI22" s="409">
        <v>-46.300172482999415</v>
      </c>
      <c r="DJ22" s="409"/>
      <c r="DK22" s="409">
        <v>0</v>
      </c>
      <c r="DL22" s="409">
        <v>0</v>
      </c>
      <c r="DM22" s="409">
        <v>0</v>
      </c>
      <c r="DN22" s="409">
        <v>0</v>
      </c>
      <c r="DO22" s="409">
        <v>-5.8896578751743789</v>
      </c>
      <c r="DP22" s="409">
        <v>-0.84548188915927547</v>
      </c>
      <c r="DQ22" s="409">
        <v>0</v>
      </c>
      <c r="DR22" s="409">
        <v>-14.742612127677354</v>
      </c>
      <c r="DS22" s="409"/>
      <c r="DT22" s="409"/>
      <c r="DU22" s="409"/>
      <c r="DV22" s="409">
        <v>2383.1303753155416</v>
      </c>
      <c r="DW22" s="409">
        <v>0</v>
      </c>
      <c r="DX22" s="409">
        <v>0</v>
      </c>
      <c r="DY22" s="409">
        <v>-387.60515999999961</v>
      </c>
      <c r="DZ22" s="409">
        <v>156.60611999999992</v>
      </c>
      <c r="EA22" s="409">
        <v>0</v>
      </c>
      <c r="EB22" s="409">
        <v>0</v>
      </c>
      <c r="EC22" s="409">
        <v>-378.80567897904029</v>
      </c>
      <c r="ED22" s="409">
        <v>0</v>
      </c>
      <c r="EE22" s="409">
        <v>0</v>
      </c>
      <c r="EF22" s="409">
        <v>0</v>
      </c>
      <c r="EG22" s="409">
        <v>0</v>
      </c>
      <c r="EH22" s="409">
        <v>0</v>
      </c>
      <c r="EI22" s="409">
        <v>0</v>
      </c>
      <c r="EJ22" s="409">
        <v>0</v>
      </c>
      <c r="EK22" s="409">
        <v>0</v>
      </c>
      <c r="EL22" s="409">
        <v>0</v>
      </c>
      <c r="EM22" s="409">
        <v>0</v>
      </c>
      <c r="EN22" s="409">
        <v>0</v>
      </c>
      <c r="EO22" s="409">
        <v>0</v>
      </c>
      <c r="EP22" s="409">
        <v>0</v>
      </c>
      <c r="EQ22" s="409">
        <v>0</v>
      </c>
      <c r="ER22" s="409">
        <v>0</v>
      </c>
      <c r="ES22" s="409">
        <v>0</v>
      </c>
      <c r="ET22" s="409">
        <v>0</v>
      </c>
      <c r="EU22" s="409">
        <v>0</v>
      </c>
      <c r="EV22" s="409">
        <v>210</v>
      </c>
      <c r="EW22" s="409">
        <v>0</v>
      </c>
      <c r="EX22" s="409">
        <v>0</v>
      </c>
      <c r="EY22" s="409">
        <v>0</v>
      </c>
      <c r="EZ22" s="409"/>
      <c r="FA22" s="409">
        <v>0</v>
      </c>
      <c r="FB22" s="409"/>
      <c r="FC22" s="409"/>
      <c r="FD22" s="409"/>
      <c r="FE22" s="409"/>
      <c r="FF22" s="409">
        <v>0</v>
      </c>
      <c r="FG22" s="409">
        <v>0</v>
      </c>
      <c r="FH22" s="409">
        <v>0</v>
      </c>
      <c r="FI22" s="409">
        <v>0</v>
      </c>
    </row>
    <row r="23" spans="1:165" customFormat="1">
      <c r="A23" s="409">
        <v>21</v>
      </c>
      <c r="B23" s="409" t="s">
        <v>1035</v>
      </c>
      <c r="C23" s="409" t="s">
        <v>2241</v>
      </c>
      <c r="D23" s="409" t="s">
        <v>1992</v>
      </c>
      <c r="E23" s="409" t="s">
        <v>1000</v>
      </c>
      <c r="F23" s="409" t="s">
        <v>2253</v>
      </c>
      <c r="G23" s="409" t="s">
        <v>1323</v>
      </c>
      <c r="H23" s="409" t="s">
        <v>1323</v>
      </c>
      <c r="I23" s="409" t="s">
        <v>1323</v>
      </c>
      <c r="J23" s="409" t="s">
        <v>2242</v>
      </c>
      <c r="K23" s="838">
        <v>44317</v>
      </c>
      <c r="L23" s="409">
        <v>0</v>
      </c>
      <c r="M23" s="409">
        <v>0</v>
      </c>
      <c r="N23" s="409">
        <v>3.2850000000000001</v>
      </c>
      <c r="O23" s="409">
        <v>3.0878999999999999</v>
      </c>
      <c r="P23" s="409">
        <v>3.2850000000000001</v>
      </c>
      <c r="Q23" s="409">
        <v>3.0878999999999999</v>
      </c>
      <c r="R23" s="409"/>
      <c r="S23" s="409">
        <v>358.62</v>
      </c>
      <c r="T23" s="409">
        <v>273.74</v>
      </c>
      <c r="U23" s="409"/>
      <c r="V23" s="409">
        <v>2077.3026</v>
      </c>
      <c r="W23" s="409">
        <v>2077.3026</v>
      </c>
      <c r="X23" s="409">
        <v>2014.1649</v>
      </c>
      <c r="Y23" s="409">
        <v>0</v>
      </c>
      <c r="Z23" s="409">
        <v>198.3299440414734</v>
      </c>
      <c r="AA23" s="409">
        <v>0</v>
      </c>
      <c r="AB23" s="409">
        <v>0</v>
      </c>
      <c r="AC23" s="409">
        <v>0</v>
      </c>
      <c r="AD23" s="409">
        <v>282.8007806398777</v>
      </c>
      <c r="AE23" s="409">
        <v>650.69014586338369</v>
      </c>
      <c r="AF23" s="409">
        <v>899.23346808081885</v>
      </c>
      <c r="AG23" s="409">
        <v>0</v>
      </c>
      <c r="AH23" s="409">
        <v>0</v>
      </c>
      <c r="AI23" s="409">
        <v>0</v>
      </c>
      <c r="AJ23" s="409">
        <v>0</v>
      </c>
      <c r="AK23" s="409">
        <v>0</v>
      </c>
      <c r="AL23" s="409">
        <v>30.670562944007248</v>
      </c>
      <c r="AM23" s="409"/>
      <c r="AN23" s="409">
        <v>3.4988251542628994</v>
      </c>
      <c r="AO23" s="409">
        <v>0</v>
      </c>
      <c r="AP23" s="409">
        <v>0</v>
      </c>
      <c r="AQ23" s="409">
        <v>0</v>
      </c>
      <c r="AR23" s="409">
        <v>0</v>
      </c>
      <c r="AS23" s="409">
        <v>0</v>
      </c>
      <c r="AT23" s="409">
        <v>0</v>
      </c>
      <c r="AU23" s="409">
        <v>0</v>
      </c>
      <c r="AV23" s="409">
        <v>0</v>
      </c>
      <c r="AW23" s="409">
        <v>0</v>
      </c>
      <c r="AX23" s="409">
        <v>0</v>
      </c>
      <c r="AY23" s="409">
        <v>0</v>
      </c>
      <c r="AZ23" s="409">
        <v>0</v>
      </c>
      <c r="BA23" s="409"/>
      <c r="BB23" s="409">
        <v>0</v>
      </c>
      <c r="BC23" s="409">
        <v>0</v>
      </c>
      <c r="BD23" s="409">
        <v>0</v>
      </c>
      <c r="BE23" s="409">
        <v>0</v>
      </c>
      <c r="BF23" s="409">
        <v>0</v>
      </c>
      <c r="BG23" s="409">
        <v>12.083630192203966</v>
      </c>
      <c r="BH23" s="409">
        <v>0</v>
      </c>
      <c r="BI23" s="409">
        <v>0</v>
      </c>
      <c r="BJ23" s="409">
        <v>0</v>
      </c>
      <c r="BK23" s="409">
        <v>366.43</v>
      </c>
      <c r="BL23" s="409">
        <v>3</v>
      </c>
      <c r="BM23" s="409"/>
      <c r="BN23" s="409"/>
      <c r="BO23" s="409"/>
      <c r="BP23" s="409"/>
      <c r="BQ23" s="409">
        <v>120.84989400000016</v>
      </c>
      <c r="BR23" s="409"/>
      <c r="BS23" s="409"/>
      <c r="BT23" s="409"/>
      <c r="BU23" s="409"/>
      <c r="BV23" s="409">
        <v>911.31709827302279</v>
      </c>
      <c r="BW23" s="409"/>
      <c r="BX23" s="409"/>
      <c r="BY23" s="409"/>
      <c r="BZ23" s="409"/>
      <c r="CA23" s="409"/>
      <c r="CB23" s="409"/>
      <c r="CC23" s="409"/>
      <c r="CD23" s="409"/>
      <c r="CE23" s="409"/>
      <c r="CF23" s="409"/>
      <c r="CG23" s="409"/>
      <c r="CH23" s="409"/>
      <c r="CI23" s="409">
        <v>1894.6025999999999</v>
      </c>
      <c r="CJ23" s="409">
        <v>-58.091844000000037</v>
      </c>
      <c r="CK23" s="409"/>
      <c r="CL23" s="409"/>
      <c r="CM23" s="409"/>
      <c r="CN23" s="409"/>
      <c r="CO23" s="409">
        <v>-105.84270000000009</v>
      </c>
      <c r="CP23" s="409">
        <v>42.704999999999998</v>
      </c>
      <c r="CQ23" s="409">
        <v>31</v>
      </c>
      <c r="CR23" s="409">
        <v>40.280276566612656</v>
      </c>
      <c r="CS23" s="409">
        <v>0</v>
      </c>
      <c r="CT23" s="409">
        <v>0</v>
      </c>
      <c r="CU23" s="409">
        <v>0</v>
      </c>
      <c r="CV23" s="409">
        <v>0</v>
      </c>
      <c r="CW23" s="409">
        <v>0</v>
      </c>
      <c r="CX23" s="409">
        <v>0</v>
      </c>
      <c r="CY23" s="409">
        <v>0</v>
      </c>
      <c r="CZ23" s="409">
        <v>9.6939701861429057</v>
      </c>
      <c r="DA23" s="409">
        <v>0</v>
      </c>
      <c r="DB23" s="409">
        <v>0</v>
      </c>
      <c r="DC23" s="409">
        <v>48.441455560938266</v>
      </c>
      <c r="DD23" s="409">
        <v>0</v>
      </c>
      <c r="DE23" s="409">
        <v>0</v>
      </c>
      <c r="DF23" s="409">
        <v>0</v>
      </c>
      <c r="DG23" s="409">
        <v>0.65094178069212205</v>
      </c>
      <c r="DH23" s="409">
        <v>0</v>
      </c>
      <c r="DI23" s="409">
        <v>-12.641803528048257</v>
      </c>
      <c r="DJ23" s="409"/>
      <c r="DK23" s="409">
        <v>0</v>
      </c>
      <c r="DL23" s="409">
        <v>0</v>
      </c>
      <c r="DM23" s="409">
        <v>0</v>
      </c>
      <c r="DN23" s="409">
        <v>0</v>
      </c>
      <c r="DO23" s="409">
        <v>-1.6081127501785701</v>
      </c>
      <c r="DP23" s="409">
        <v>-0.23085045597183385</v>
      </c>
      <c r="DQ23" s="409">
        <v>0</v>
      </c>
      <c r="DR23" s="409">
        <v>-4.0253242269615868</v>
      </c>
      <c r="DS23" s="409"/>
      <c r="DT23" s="409"/>
      <c r="DU23" s="409"/>
      <c r="DV23" s="409">
        <v>650.69014586338369</v>
      </c>
      <c r="DW23" s="409">
        <v>0</v>
      </c>
      <c r="DX23" s="409">
        <v>0</v>
      </c>
      <c r="DY23" s="409">
        <v>-105.84270000000015</v>
      </c>
      <c r="DZ23" s="409">
        <v>42.705000000000041</v>
      </c>
      <c r="EA23" s="409">
        <v>0</v>
      </c>
      <c r="EB23" s="409">
        <v>0</v>
      </c>
      <c r="EC23" s="409">
        <v>-103.42913885947826</v>
      </c>
      <c r="ED23" s="409">
        <v>0</v>
      </c>
      <c r="EE23" s="409">
        <v>0</v>
      </c>
      <c r="EF23" s="409">
        <v>0</v>
      </c>
      <c r="EG23" s="409">
        <v>0</v>
      </c>
      <c r="EH23" s="409">
        <v>0</v>
      </c>
      <c r="EI23" s="409">
        <v>0</v>
      </c>
      <c r="EJ23" s="409">
        <v>0</v>
      </c>
      <c r="EK23" s="409">
        <v>0</v>
      </c>
      <c r="EL23" s="409">
        <v>0</v>
      </c>
      <c r="EM23" s="409">
        <v>0</v>
      </c>
      <c r="EN23" s="409">
        <v>0</v>
      </c>
      <c r="EO23" s="409">
        <v>0</v>
      </c>
      <c r="EP23" s="409">
        <v>0</v>
      </c>
      <c r="EQ23" s="409">
        <v>0</v>
      </c>
      <c r="ER23" s="409">
        <v>0</v>
      </c>
      <c r="ES23" s="409">
        <v>0</v>
      </c>
      <c r="ET23" s="409">
        <v>0</v>
      </c>
      <c r="EU23" s="409">
        <v>0</v>
      </c>
      <c r="EV23" s="409">
        <v>210</v>
      </c>
      <c r="EW23" s="409">
        <v>0</v>
      </c>
      <c r="EX23" s="409">
        <v>0</v>
      </c>
      <c r="EY23" s="409">
        <v>0</v>
      </c>
      <c r="EZ23" s="409"/>
      <c r="FA23" s="409">
        <v>0</v>
      </c>
      <c r="FB23" s="409"/>
      <c r="FC23" s="409"/>
      <c r="FD23" s="409"/>
      <c r="FE23" s="409"/>
      <c r="FF23" s="409">
        <v>0</v>
      </c>
      <c r="FG23" s="409">
        <v>0</v>
      </c>
      <c r="FH23" s="409">
        <v>0</v>
      </c>
      <c r="FI23" s="409">
        <v>0</v>
      </c>
    </row>
    <row r="24" spans="1:165" customFormat="1">
      <c r="A24" s="409">
        <v>22</v>
      </c>
      <c r="B24" s="409" t="s">
        <v>1035</v>
      </c>
      <c r="C24" s="409" t="s">
        <v>2246</v>
      </c>
      <c r="D24" s="409" t="s">
        <v>595</v>
      </c>
      <c r="E24" s="409" t="s">
        <v>1000</v>
      </c>
      <c r="F24" s="409" t="s">
        <v>2253</v>
      </c>
      <c r="G24" s="409" t="s">
        <v>1323</v>
      </c>
      <c r="H24" s="409" t="s">
        <v>1323</v>
      </c>
      <c r="I24" s="409" t="s">
        <v>972</v>
      </c>
      <c r="J24" s="409" t="s">
        <v>2242</v>
      </c>
      <c r="K24" s="838">
        <v>44317</v>
      </c>
      <c r="L24" s="409">
        <v>0</v>
      </c>
      <c r="M24" s="409">
        <v>0</v>
      </c>
      <c r="N24" s="409">
        <v>6.07</v>
      </c>
      <c r="O24" s="409">
        <v>5.7058</v>
      </c>
      <c r="P24" s="409">
        <v>6.07</v>
      </c>
      <c r="Q24" s="409">
        <v>5.7058</v>
      </c>
      <c r="R24" s="409"/>
      <c r="S24" s="409">
        <v>1856.88</v>
      </c>
      <c r="T24" s="409">
        <v>273.74</v>
      </c>
      <c r="U24" s="409"/>
      <c r="V24" s="409">
        <v>12932.863400000002</v>
      </c>
      <c r="W24" s="409">
        <v>12932.863400000002</v>
      </c>
      <c r="X24" s="409">
        <v>11850.278900000001</v>
      </c>
      <c r="Y24" s="409">
        <v>0</v>
      </c>
      <c r="Z24" s="409">
        <v>318.83123332986798</v>
      </c>
      <c r="AA24" s="409">
        <v>0</v>
      </c>
      <c r="AB24" s="409">
        <v>0</v>
      </c>
      <c r="AC24" s="409">
        <v>0</v>
      </c>
      <c r="AD24" s="409">
        <v>2974.8576534818503</v>
      </c>
      <c r="AE24" s="409">
        <v>7905.4558322301746</v>
      </c>
      <c r="AF24" s="409">
        <v>1661.5973063167642</v>
      </c>
      <c r="AG24" s="409">
        <v>0</v>
      </c>
      <c r="AH24" s="409">
        <v>0</v>
      </c>
      <c r="AI24" s="409">
        <v>0</v>
      </c>
      <c r="AJ24" s="409">
        <v>0</v>
      </c>
      <c r="AK24" s="409">
        <v>0</v>
      </c>
      <c r="AL24" s="409">
        <v>56.672851467313244</v>
      </c>
      <c r="AM24" s="409"/>
      <c r="AN24" s="409">
        <v>5.2692936147158749</v>
      </c>
      <c r="AO24" s="409">
        <v>0</v>
      </c>
      <c r="AP24" s="409">
        <v>0</v>
      </c>
      <c r="AQ24" s="409">
        <v>0</v>
      </c>
      <c r="AR24" s="409">
        <v>0</v>
      </c>
      <c r="AS24" s="409">
        <v>0</v>
      </c>
      <c r="AT24" s="409">
        <v>0</v>
      </c>
      <c r="AU24" s="409">
        <v>0</v>
      </c>
      <c r="AV24" s="409">
        <v>0</v>
      </c>
      <c r="AW24" s="409">
        <v>0</v>
      </c>
      <c r="AX24" s="409">
        <v>0</v>
      </c>
      <c r="AY24" s="409">
        <v>0</v>
      </c>
      <c r="AZ24" s="409">
        <v>0</v>
      </c>
      <c r="BA24" s="409"/>
      <c r="BB24" s="409">
        <v>0</v>
      </c>
      <c r="BC24" s="409">
        <v>0</v>
      </c>
      <c r="BD24" s="409">
        <v>0</v>
      </c>
      <c r="BE24" s="409">
        <v>0</v>
      </c>
      <c r="BF24" s="409">
        <v>0</v>
      </c>
      <c r="BG24" s="409">
        <v>10.157088049271403</v>
      </c>
      <c r="BH24" s="409">
        <v>0</v>
      </c>
      <c r="BI24" s="409">
        <v>0</v>
      </c>
      <c r="BJ24" s="409">
        <v>0</v>
      </c>
      <c r="BK24" s="409">
        <v>0</v>
      </c>
      <c r="BL24" s="409">
        <v>0</v>
      </c>
      <c r="BM24" s="409"/>
      <c r="BN24" s="409"/>
      <c r="BO24" s="409"/>
      <c r="BP24" s="409"/>
      <c r="BQ24" s="409">
        <v>711.01673400000061</v>
      </c>
      <c r="BR24" s="409"/>
      <c r="BS24" s="409"/>
      <c r="BT24" s="409"/>
      <c r="BU24" s="409"/>
      <c r="BV24" s="409">
        <v>1671.7543943660355</v>
      </c>
      <c r="BW24" s="409"/>
      <c r="BX24" s="409"/>
      <c r="BY24" s="409"/>
      <c r="BZ24" s="409"/>
      <c r="CA24" s="409"/>
      <c r="CB24" s="409"/>
      <c r="CC24" s="409"/>
      <c r="CD24" s="409"/>
      <c r="CE24" s="409"/>
      <c r="CF24" s="409"/>
      <c r="CG24" s="409"/>
      <c r="CH24" s="409"/>
      <c r="CI24" s="409">
        <v>11147.4617</v>
      </c>
      <c r="CJ24" s="409">
        <v>-1009.4598960000021</v>
      </c>
      <c r="CK24" s="409"/>
      <c r="CL24" s="409"/>
      <c r="CM24" s="409"/>
      <c r="CN24" s="409"/>
      <c r="CO24" s="409">
        <v>-1161.4945000000009</v>
      </c>
      <c r="CP24" s="409">
        <v>78.91</v>
      </c>
      <c r="CQ24" s="409">
        <v>31</v>
      </c>
      <c r="CR24" s="409">
        <v>174.07652461804264</v>
      </c>
      <c r="CS24" s="409">
        <v>0</v>
      </c>
      <c r="CT24" s="409">
        <v>0</v>
      </c>
      <c r="CU24" s="409">
        <v>0</v>
      </c>
      <c r="CV24" s="409">
        <v>0</v>
      </c>
      <c r="CW24" s="409">
        <v>0</v>
      </c>
      <c r="CX24" s="409">
        <v>0</v>
      </c>
      <c r="CY24" s="409">
        <v>0</v>
      </c>
      <c r="CZ24" s="409">
        <v>101.97348584265046</v>
      </c>
      <c r="DA24" s="409">
        <v>0</v>
      </c>
      <c r="DB24" s="409">
        <v>0</v>
      </c>
      <c r="DC24" s="409">
        <v>89.509782421581576</v>
      </c>
      <c r="DD24" s="409">
        <v>0</v>
      </c>
      <c r="DE24" s="409">
        <v>0</v>
      </c>
      <c r="DF24" s="409">
        <v>0</v>
      </c>
      <c r="DG24" s="409">
        <v>0.54715949398265984</v>
      </c>
      <c r="DH24" s="409">
        <v>0</v>
      </c>
      <c r="DI24" s="409">
        <v>-20.322709361117177</v>
      </c>
      <c r="DJ24" s="409"/>
      <c r="DK24" s="409">
        <v>0</v>
      </c>
      <c r="DL24" s="409">
        <v>0</v>
      </c>
      <c r="DM24" s="409">
        <v>0</v>
      </c>
      <c r="DN24" s="409">
        <v>0</v>
      </c>
      <c r="DO24" s="409">
        <v>-2.9714594805430536</v>
      </c>
      <c r="DP24" s="409">
        <v>-0.34766493893658623</v>
      </c>
      <c r="DQ24" s="409">
        <v>0</v>
      </c>
      <c r="DR24" s="409">
        <v>5.6879306404244474</v>
      </c>
      <c r="DS24" s="409"/>
      <c r="DT24" s="409"/>
      <c r="DU24" s="409"/>
      <c r="DV24" s="409">
        <v>7905.4558322301746</v>
      </c>
      <c r="DW24" s="409">
        <v>0</v>
      </c>
      <c r="DX24" s="409">
        <v>0</v>
      </c>
      <c r="DY24" s="409">
        <v>-1161.4945000000007</v>
      </c>
      <c r="DZ24" s="409">
        <v>78.910000000000082</v>
      </c>
      <c r="EA24" s="409">
        <v>0</v>
      </c>
      <c r="EB24" s="409">
        <v>0</v>
      </c>
      <c r="EC24" s="409">
        <v>-1256.5957763725528</v>
      </c>
      <c r="ED24" s="409">
        <v>0</v>
      </c>
      <c r="EE24" s="409">
        <v>0</v>
      </c>
      <c r="EF24" s="409">
        <v>0</v>
      </c>
      <c r="EG24" s="409">
        <v>0</v>
      </c>
      <c r="EH24" s="409">
        <v>0</v>
      </c>
      <c r="EI24" s="409">
        <v>0</v>
      </c>
      <c r="EJ24" s="409">
        <v>0</v>
      </c>
      <c r="EK24" s="409">
        <v>0</v>
      </c>
      <c r="EL24" s="409">
        <v>0</v>
      </c>
      <c r="EM24" s="409">
        <v>0</v>
      </c>
      <c r="EN24" s="409">
        <v>0</v>
      </c>
      <c r="EO24" s="409">
        <v>0</v>
      </c>
      <c r="EP24" s="409">
        <v>0</v>
      </c>
      <c r="EQ24" s="409">
        <v>0</v>
      </c>
      <c r="ER24" s="409">
        <v>0</v>
      </c>
      <c r="ES24" s="409">
        <v>0</v>
      </c>
      <c r="ET24" s="409">
        <v>0</v>
      </c>
      <c r="EU24" s="409">
        <v>0</v>
      </c>
      <c r="EV24" s="409">
        <v>210</v>
      </c>
      <c r="EW24" s="409">
        <v>0</v>
      </c>
      <c r="EX24" s="409">
        <v>0</v>
      </c>
      <c r="EY24" s="409">
        <v>0</v>
      </c>
      <c r="EZ24" s="409"/>
      <c r="FA24" s="409">
        <v>0</v>
      </c>
      <c r="FB24" s="409"/>
      <c r="FC24" s="409"/>
      <c r="FD24" s="409"/>
      <c r="FE24" s="409"/>
      <c r="FF24" s="409">
        <v>0</v>
      </c>
      <c r="FG24" s="409">
        <v>0</v>
      </c>
      <c r="FH24" s="409">
        <v>0</v>
      </c>
      <c r="FI24" s="409">
        <v>0</v>
      </c>
    </row>
    <row r="25" spans="1:165" customFormat="1">
      <c r="A25" s="409">
        <v>23</v>
      </c>
      <c r="B25" s="409" t="s">
        <v>1035</v>
      </c>
      <c r="C25" s="409" t="s">
        <v>2246</v>
      </c>
      <c r="D25" s="409" t="s">
        <v>595</v>
      </c>
      <c r="E25" s="409" t="s">
        <v>1000</v>
      </c>
      <c r="F25" s="409" t="s">
        <v>2253</v>
      </c>
      <c r="G25" s="409" t="s">
        <v>1323</v>
      </c>
      <c r="H25" s="409" t="s">
        <v>1323</v>
      </c>
      <c r="I25" s="409" t="s">
        <v>2234</v>
      </c>
      <c r="J25" s="409" t="s">
        <v>2242</v>
      </c>
      <c r="K25" s="838">
        <v>44317</v>
      </c>
      <c r="L25" s="409">
        <v>0</v>
      </c>
      <c r="M25" s="409">
        <v>0</v>
      </c>
      <c r="N25" s="409">
        <v>66.751000000000005</v>
      </c>
      <c r="O25" s="409">
        <v>62.745939999999997</v>
      </c>
      <c r="P25" s="409">
        <v>66.751000000000005</v>
      </c>
      <c r="Q25" s="409">
        <v>62.745939999999997</v>
      </c>
      <c r="R25" s="409"/>
      <c r="S25" s="409">
        <v>64.400000000000006</v>
      </c>
      <c r="T25" s="409">
        <v>273.74</v>
      </c>
      <c r="U25" s="409"/>
      <c r="V25" s="409">
        <v>22571.183140000001</v>
      </c>
      <c r="W25" s="409">
        <v>22571.183140000001</v>
      </c>
      <c r="X25" s="409">
        <v>23191.299930000005</v>
      </c>
      <c r="Y25" s="409">
        <v>0</v>
      </c>
      <c r="Z25" s="409">
        <v>3506.1455775950608</v>
      </c>
      <c r="AA25" s="409">
        <v>0</v>
      </c>
      <c r="AB25" s="409">
        <v>0</v>
      </c>
      <c r="AC25" s="409">
        <v>0</v>
      </c>
      <c r="AD25" s="409">
        <v>0</v>
      </c>
      <c r="AE25" s="409">
        <v>0</v>
      </c>
      <c r="AF25" s="409">
        <v>18272.369323550301</v>
      </c>
      <c r="AG25" s="409">
        <v>0</v>
      </c>
      <c r="AH25" s="409">
        <v>0</v>
      </c>
      <c r="AI25" s="409">
        <v>0</v>
      </c>
      <c r="AJ25" s="409">
        <v>0</v>
      </c>
      <c r="AK25" s="409">
        <v>0</v>
      </c>
      <c r="AL25" s="409">
        <v>623.22397171245905</v>
      </c>
      <c r="AM25" s="409"/>
      <c r="AN25" s="409">
        <v>57.945736091581452</v>
      </c>
      <c r="AO25" s="409">
        <v>0</v>
      </c>
      <c r="AP25" s="409">
        <v>0</v>
      </c>
      <c r="AQ25" s="409">
        <v>0</v>
      </c>
      <c r="AR25" s="409">
        <v>0</v>
      </c>
      <c r="AS25" s="409">
        <v>0</v>
      </c>
      <c r="AT25" s="409">
        <v>0</v>
      </c>
      <c r="AU25" s="409">
        <v>0</v>
      </c>
      <c r="AV25" s="409">
        <v>0</v>
      </c>
      <c r="AW25" s="409">
        <v>0</v>
      </c>
      <c r="AX25" s="409">
        <v>0</v>
      </c>
      <c r="AY25" s="409">
        <v>0</v>
      </c>
      <c r="AZ25" s="409">
        <v>0</v>
      </c>
      <c r="BA25" s="409"/>
      <c r="BB25" s="409">
        <v>0</v>
      </c>
      <c r="BC25" s="409">
        <v>0</v>
      </c>
      <c r="BD25" s="409">
        <v>0</v>
      </c>
      <c r="BE25" s="409">
        <v>0</v>
      </c>
      <c r="BF25" s="409">
        <v>0</v>
      </c>
      <c r="BG25" s="409">
        <v>111.69617535039792</v>
      </c>
      <c r="BH25" s="409">
        <v>0</v>
      </c>
      <c r="BI25" s="409">
        <v>0</v>
      </c>
      <c r="BJ25" s="409">
        <v>0</v>
      </c>
      <c r="BK25" s="409">
        <v>0</v>
      </c>
      <c r="BL25" s="409">
        <v>0</v>
      </c>
      <c r="BM25" s="409"/>
      <c r="BN25" s="409"/>
      <c r="BO25" s="409"/>
      <c r="BP25" s="409"/>
      <c r="BQ25" s="409">
        <v>1391.4779958000026</v>
      </c>
      <c r="BR25" s="409"/>
      <c r="BS25" s="409"/>
      <c r="BT25" s="409"/>
      <c r="BU25" s="409"/>
      <c r="BV25" s="409">
        <v>18384.065498900698</v>
      </c>
      <c r="BW25" s="409"/>
      <c r="BX25" s="409"/>
      <c r="BY25" s="409"/>
      <c r="BZ25" s="409"/>
      <c r="CA25" s="409"/>
      <c r="CB25" s="409"/>
      <c r="CC25" s="409"/>
      <c r="CD25" s="409"/>
      <c r="CE25" s="409"/>
      <c r="CF25" s="409"/>
      <c r="CG25" s="409"/>
      <c r="CH25" s="409"/>
      <c r="CI25" s="409">
        <v>21801.232500000002</v>
      </c>
      <c r="CJ25" s="409">
        <v>584.29034840000531</v>
      </c>
      <c r="CK25" s="409"/>
      <c r="CL25" s="409"/>
      <c r="CM25" s="409"/>
      <c r="CN25" s="409"/>
      <c r="CO25" s="409">
        <v>-247.64621000000054</v>
      </c>
      <c r="CP25" s="409">
        <v>867.76300000000003</v>
      </c>
      <c r="CQ25" s="409">
        <v>31</v>
      </c>
      <c r="CR25" s="409">
        <v>620.21857521749916</v>
      </c>
      <c r="CS25" s="409">
        <v>0</v>
      </c>
      <c r="CT25" s="409">
        <v>0</v>
      </c>
      <c r="CU25" s="409">
        <v>0</v>
      </c>
      <c r="CV25" s="409">
        <v>0</v>
      </c>
      <c r="CW25" s="409">
        <v>0</v>
      </c>
      <c r="CX25" s="409">
        <v>0</v>
      </c>
      <c r="CY25" s="409">
        <v>0</v>
      </c>
      <c r="CZ25" s="409">
        <v>0</v>
      </c>
      <c r="DA25" s="409">
        <v>0</v>
      </c>
      <c r="DB25" s="409">
        <v>0</v>
      </c>
      <c r="DC25" s="409">
        <v>984.32742774678627</v>
      </c>
      <c r="DD25" s="409">
        <v>0</v>
      </c>
      <c r="DE25" s="409">
        <v>0</v>
      </c>
      <c r="DF25" s="409">
        <v>0</v>
      </c>
      <c r="DG25" s="409">
        <v>6.0170417434656684</v>
      </c>
      <c r="DH25" s="409">
        <v>0</v>
      </c>
      <c r="DI25" s="409">
        <v>-223.4861898787367</v>
      </c>
      <c r="DJ25" s="409"/>
      <c r="DK25" s="409">
        <v>0</v>
      </c>
      <c r="DL25" s="409">
        <v>0</v>
      </c>
      <c r="DM25" s="409">
        <v>0</v>
      </c>
      <c r="DN25" s="409">
        <v>0</v>
      </c>
      <c r="DO25" s="409">
        <v>-32.676753177220689</v>
      </c>
      <c r="DP25" s="409">
        <v>-3.8232260854952429</v>
      </c>
      <c r="DQ25" s="409">
        <v>0</v>
      </c>
      <c r="DR25" s="409">
        <v>-110.13972513130631</v>
      </c>
      <c r="DS25" s="409"/>
      <c r="DT25" s="409"/>
      <c r="DU25" s="409"/>
      <c r="DV25" s="409">
        <v>0</v>
      </c>
      <c r="DW25" s="409">
        <v>0</v>
      </c>
      <c r="DX25" s="409">
        <v>0</v>
      </c>
      <c r="DY25" s="409">
        <v>-247.64621000000079</v>
      </c>
      <c r="DZ25" s="409">
        <v>867.76300000000265</v>
      </c>
      <c r="EA25" s="409">
        <v>0</v>
      </c>
      <c r="EB25" s="409">
        <v>0</v>
      </c>
      <c r="EC25" s="409">
        <v>0</v>
      </c>
      <c r="ED25" s="409">
        <v>0</v>
      </c>
      <c r="EE25" s="409">
        <v>0</v>
      </c>
      <c r="EF25" s="409">
        <v>0</v>
      </c>
      <c r="EG25" s="409">
        <v>0</v>
      </c>
      <c r="EH25" s="409">
        <v>0</v>
      </c>
      <c r="EI25" s="409">
        <v>0</v>
      </c>
      <c r="EJ25" s="409">
        <v>0</v>
      </c>
      <c r="EK25" s="409">
        <v>0</v>
      </c>
      <c r="EL25" s="409">
        <v>0</v>
      </c>
      <c r="EM25" s="409">
        <v>0</v>
      </c>
      <c r="EN25" s="409">
        <v>0</v>
      </c>
      <c r="EO25" s="409">
        <v>0</v>
      </c>
      <c r="EP25" s="409">
        <v>0</v>
      </c>
      <c r="EQ25" s="409">
        <v>0</v>
      </c>
      <c r="ER25" s="409">
        <v>0</v>
      </c>
      <c r="ES25" s="409">
        <v>0</v>
      </c>
      <c r="ET25" s="409">
        <v>0</v>
      </c>
      <c r="EU25" s="409">
        <v>0</v>
      </c>
      <c r="EV25" s="409">
        <v>210</v>
      </c>
      <c r="EW25" s="409">
        <v>0</v>
      </c>
      <c r="EX25" s="409">
        <v>0</v>
      </c>
      <c r="EY25" s="409">
        <v>0</v>
      </c>
      <c r="EZ25" s="409"/>
      <c r="FA25" s="409">
        <v>0</v>
      </c>
      <c r="FB25" s="409"/>
      <c r="FC25" s="409"/>
      <c r="FD25" s="409"/>
      <c r="FE25" s="409"/>
      <c r="FF25" s="409">
        <v>0</v>
      </c>
      <c r="FG25" s="409">
        <v>0</v>
      </c>
      <c r="FH25" s="409">
        <v>0</v>
      </c>
      <c r="FI25" s="409">
        <v>0</v>
      </c>
    </row>
    <row r="26" spans="1:165" customFormat="1">
      <c r="A26" s="409">
        <v>24</v>
      </c>
      <c r="B26" s="409" t="s">
        <v>1035</v>
      </c>
      <c r="C26" s="409" t="s">
        <v>2246</v>
      </c>
      <c r="D26" s="409" t="s">
        <v>595</v>
      </c>
      <c r="E26" s="409" t="s">
        <v>1000</v>
      </c>
      <c r="F26" s="409" t="s">
        <v>2253</v>
      </c>
      <c r="G26" s="409" t="s">
        <v>1323</v>
      </c>
      <c r="H26" s="409" t="s">
        <v>1323</v>
      </c>
      <c r="I26" s="409" t="s">
        <v>1323</v>
      </c>
      <c r="J26" s="409" t="s">
        <v>2242</v>
      </c>
      <c r="K26" s="838">
        <v>44317</v>
      </c>
      <c r="L26" s="409">
        <v>140</v>
      </c>
      <c r="M26" s="409">
        <v>131.6</v>
      </c>
      <c r="N26" s="409">
        <v>0</v>
      </c>
      <c r="O26" s="409">
        <v>0</v>
      </c>
      <c r="P26" s="409">
        <v>0</v>
      </c>
      <c r="Q26" s="409">
        <v>0</v>
      </c>
      <c r="R26" s="409">
        <v>33.6</v>
      </c>
      <c r="S26" s="409"/>
      <c r="T26" s="409"/>
      <c r="U26" s="409">
        <v>4704</v>
      </c>
      <c r="V26" s="409"/>
      <c r="W26" s="409">
        <v>4704</v>
      </c>
      <c r="X26" s="409">
        <v>4446.4000000000005</v>
      </c>
      <c r="Y26" s="409">
        <v>0</v>
      </c>
      <c r="Z26" s="409">
        <v>0</v>
      </c>
      <c r="AA26" s="409">
        <v>0</v>
      </c>
      <c r="AB26" s="409">
        <v>0</v>
      </c>
      <c r="AC26" s="409">
        <v>0</v>
      </c>
      <c r="AD26" s="409">
        <v>2498.3720823538683</v>
      </c>
      <c r="AE26" s="409">
        <v>2205.721001824802</v>
      </c>
      <c r="AF26" s="409"/>
      <c r="AG26" s="409"/>
      <c r="AH26" s="409"/>
      <c r="AI26" s="409">
        <v>0</v>
      </c>
      <c r="AJ26" s="409">
        <v>0</v>
      </c>
      <c r="AK26" s="409">
        <v>0</v>
      </c>
      <c r="AL26" s="409">
        <v>0</v>
      </c>
      <c r="AM26" s="409"/>
      <c r="AN26" s="409">
        <v>0</v>
      </c>
      <c r="AO26" s="409">
        <v>0</v>
      </c>
      <c r="AP26" s="409">
        <v>0</v>
      </c>
      <c r="AQ26" s="409">
        <v>0</v>
      </c>
      <c r="AR26" s="409">
        <v>0</v>
      </c>
      <c r="AS26" s="409"/>
      <c r="AT26" s="409"/>
      <c r="AU26" s="409">
        <v>0</v>
      </c>
      <c r="AV26" s="409">
        <v>0</v>
      </c>
      <c r="AW26" s="409">
        <v>0</v>
      </c>
      <c r="AX26" s="409"/>
      <c r="AY26" s="409"/>
      <c r="AZ26" s="409">
        <v>0</v>
      </c>
      <c r="BA26" s="409"/>
      <c r="BB26" s="409">
        <v>0</v>
      </c>
      <c r="BC26" s="409">
        <v>0</v>
      </c>
      <c r="BD26" s="409">
        <v>0</v>
      </c>
      <c r="BE26" s="409">
        <v>0</v>
      </c>
      <c r="BF26" s="409"/>
      <c r="BG26" s="409">
        <v>0</v>
      </c>
      <c r="BH26" s="409">
        <v>0</v>
      </c>
      <c r="BI26" s="409">
        <v>0</v>
      </c>
      <c r="BJ26" s="409">
        <v>0</v>
      </c>
      <c r="BK26" s="409">
        <v>6999.06</v>
      </c>
      <c r="BL26" s="409">
        <v>1</v>
      </c>
      <c r="BM26" s="409"/>
      <c r="BN26" s="409"/>
      <c r="BO26" s="409"/>
      <c r="BP26" s="409"/>
      <c r="BQ26" s="409">
        <v>266.78400000000022</v>
      </c>
      <c r="BR26" s="409"/>
      <c r="BS26" s="409"/>
      <c r="BT26" s="409"/>
      <c r="BU26" s="409"/>
      <c r="BV26" s="409">
        <v>0</v>
      </c>
      <c r="BW26" s="409"/>
      <c r="BX26" s="409"/>
      <c r="BY26" s="409"/>
      <c r="BZ26" s="409"/>
      <c r="CA26" s="409"/>
      <c r="CB26" s="409"/>
      <c r="CC26" s="409"/>
      <c r="CD26" s="409"/>
      <c r="CE26" s="409"/>
      <c r="CF26" s="409"/>
      <c r="CG26" s="409"/>
      <c r="CH26" s="409"/>
      <c r="CI26" s="409">
        <v>4179.616</v>
      </c>
      <c r="CJ26" s="409">
        <v>-242.17400000000089</v>
      </c>
      <c r="CK26" s="409"/>
      <c r="CL26" s="409"/>
      <c r="CM26" s="409"/>
      <c r="CN26" s="409"/>
      <c r="CO26" s="409">
        <v>-257.59999999999997</v>
      </c>
      <c r="CP26" s="409">
        <v>0</v>
      </c>
      <c r="CQ26" s="409">
        <v>31</v>
      </c>
      <c r="CR26" s="409">
        <v>92.429688544023975</v>
      </c>
      <c r="CS26" s="409">
        <v>0</v>
      </c>
      <c r="CT26" s="409">
        <v>0</v>
      </c>
      <c r="CU26" s="409">
        <v>0</v>
      </c>
      <c r="CV26" s="409">
        <v>0</v>
      </c>
      <c r="CW26" s="409"/>
      <c r="CX26" s="409"/>
      <c r="CY26" s="409"/>
      <c r="CZ26" s="409">
        <v>85.640302779317608</v>
      </c>
      <c r="DA26" s="409">
        <v>0</v>
      </c>
      <c r="DB26" s="409">
        <v>0</v>
      </c>
      <c r="DC26" s="409"/>
      <c r="DD26" s="409"/>
      <c r="DE26" s="409">
        <v>0</v>
      </c>
      <c r="DF26" s="409">
        <v>0</v>
      </c>
      <c r="DG26" s="409">
        <v>0</v>
      </c>
      <c r="DH26" s="409">
        <v>0</v>
      </c>
      <c r="DI26" s="409">
        <v>0</v>
      </c>
      <c r="DJ26" s="409"/>
      <c r="DK26" s="409">
        <v>0</v>
      </c>
      <c r="DL26" s="409">
        <v>0</v>
      </c>
      <c r="DM26" s="409"/>
      <c r="DN26" s="409">
        <v>0</v>
      </c>
      <c r="DO26" s="409">
        <v>0</v>
      </c>
      <c r="DP26" s="409">
        <v>0</v>
      </c>
      <c r="DQ26" s="409">
        <v>0</v>
      </c>
      <c r="DR26" s="409">
        <v>6.7893857647062585</v>
      </c>
      <c r="DS26" s="409"/>
      <c r="DT26" s="409"/>
      <c r="DU26" s="409">
        <v>2205.721001824802</v>
      </c>
      <c r="DV26" s="409"/>
      <c r="DW26" s="409">
        <v>0</v>
      </c>
      <c r="DX26" s="409">
        <v>0</v>
      </c>
      <c r="DY26" s="409">
        <v>-257.59999999999945</v>
      </c>
      <c r="DZ26" s="409"/>
      <c r="EA26" s="409">
        <v>0</v>
      </c>
      <c r="EB26" s="409"/>
      <c r="EC26" s="409">
        <v>-350.60593007797002</v>
      </c>
      <c r="ED26" s="409"/>
      <c r="EE26" s="409">
        <v>0</v>
      </c>
      <c r="EF26" s="409">
        <v>0</v>
      </c>
      <c r="EG26" s="409"/>
      <c r="EH26" s="409">
        <v>0</v>
      </c>
      <c r="EI26" s="409">
        <v>0</v>
      </c>
      <c r="EJ26" s="409">
        <v>0</v>
      </c>
      <c r="EK26" s="409">
        <v>0</v>
      </c>
      <c r="EL26" s="409">
        <v>0</v>
      </c>
      <c r="EM26" s="409"/>
      <c r="EN26" s="409"/>
      <c r="EO26" s="409">
        <v>0</v>
      </c>
      <c r="EP26" s="409">
        <v>0</v>
      </c>
      <c r="EQ26" s="409"/>
      <c r="ER26" s="409">
        <v>0</v>
      </c>
      <c r="ES26" s="409"/>
      <c r="ET26" s="409">
        <v>0</v>
      </c>
      <c r="EU26" s="409"/>
      <c r="EV26" s="409">
        <v>210</v>
      </c>
      <c r="EW26" s="409"/>
      <c r="EX26" s="409"/>
      <c r="EY26" s="409"/>
      <c r="EZ26" s="409"/>
      <c r="FA26" s="409">
        <v>0</v>
      </c>
      <c r="FB26" s="409"/>
      <c r="FC26" s="409"/>
      <c r="FD26" s="409"/>
      <c r="FE26" s="409"/>
      <c r="FF26" s="409">
        <v>0</v>
      </c>
      <c r="FG26" s="409">
        <v>0</v>
      </c>
      <c r="FH26" s="409">
        <v>0</v>
      </c>
      <c r="FI26" s="409">
        <v>0</v>
      </c>
    </row>
    <row r="27" spans="1:165" customFormat="1">
      <c r="A27" s="409">
        <v>25</v>
      </c>
      <c r="B27" s="409" t="s">
        <v>1035</v>
      </c>
      <c r="C27" s="409" t="s">
        <v>2241</v>
      </c>
      <c r="D27" s="409" t="s">
        <v>2247</v>
      </c>
      <c r="E27" s="409" t="s">
        <v>973</v>
      </c>
      <c r="F27" s="409" t="s">
        <v>2254</v>
      </c>
      <c r="G27" s="409" t="s">
        <v>2255</v>
      </c>
      <c r="H27" s="409" t="s">
        <v>1323</v>
      </c>
      <c r="I27" s="409" t="s">
        <v>1323</v>
      </c>
      <c r="J27" s="409" t="s">
        <v>2242</v>
      </c>
      <c r="K27" s="838">
        <v>44317</v>
      </c>
      <c r="L27" s="409">
        <v>0</v>
      </c>
      <c r="M27" s="409">
        <v>0</v>
      </c>
      <c r="N27" s="409">
        <v>0</v>
      </c>
      <c r="O27" s="409">
        <v>0</v>
      </c>
      <c r="P27" s="409">
        <v>0</v>
      </c>
      <c r="Q27" s="409">
        <v>0</v>
      </c>
      <c r="R27" s="409"/>
      <c r="S27" s="409"/>
      <c r="T27" s="409"/>
      <c r="U27" s="409"/>
      <c r="V27" s="409"/>
      <c r="W27" s="409"/>
      <c r="X27" s="409"/>
      <c r="Y27" s="409"/>
      <c r="Z27" s="409"/>
      <c r="AA27" s="409">
        <v>0</v>
      </c>
      <c r="AB27" s="409"/>
      <c r="AC27" s="409"/>
      <c r="AD27" s="409"/>
      <c r="AE27" s="409"/>
      <c r="AF27" s="409"/>
      <c r="AG27" s="409"/>
      <c r="AH27" s="409"/>
      <c r="AI27" s="409"/>
      <c r="AJ27" s="409"/>
      <c r="AK27" s="409"/>
      <c r="AL27" s="409"/>
      <c r="AM27" s="409"/>
      <c r="AN27" s="409"/>
      <c r="AO27" s="409"/>
      <c r="AP27" s="409"/>
      <c r="AQ27" s="409"/>
      <c r="AR27" s="409"/>
      <c r="AS27" s="409"/>
      <c r="AT27" s="409"/>
      <c r="AU27" s="409"/>
      <c r="AV27" s="409"/>
      <c r="AW27" s="409"/>
      <c r="AX27" s="409"/>
      <c r="AY27" s="409"/>
      <c r="AZ27" s="409">
        <v>0</v>
      </c>
      <c r="BA27" s="409"/>
      <c r="BB27" s="409"/>
      <c r="BC27" s="409"/>
      <c r="BD27" s="409"/>
      <c r="BE27" s="409"/>
      <c r="BF27" s="409"/>
      <c r="BG27" s="409"/>
      <c r="BH27" s="409"/>
      <c r="BI27" s="409">
        <v>30.42</v>
      </c>
      <c r="BJ27" s="409">
        <v>140.91999999999999</v>
      </c>
      <c r="BK27" s="409">
        <v>619.76</v>
      </c>
      <c r="BL27" s="409">
        <v>33</v>
      </c>
      <c r="BM27" s="409"/>
      <c r="BN27" s="409"/>
      <c r="BO27" s="409"/>
      <c r="BP27" s="409"/>
      <c r="BQ27" s="409"/>
      <c r="BR27" s="409"/>
      <c r="BS27" s="409"/>
      <c r="BT27" s="409"/>
      <c r="BU27" s="409"/>
      <c r="BV27" s="409"/>
      <c r="BW27" s="409"/>
      <c r="BX27" s="409"/>
      <c r="BY27" s="409"/>
      <c r="BZ27" s="409"/>
      <c r="CA27" s="409"/>
      <c r="CB27" s="409"/>
      <c r="CC27" s="409"/>
      <c r="CD27" s="409"/>
      <c r="CE27" s="409"/>
      <c r="CF27" s="409"/>
      <c r="CG27" s="409"/>
      <c r="CH27" s="409"/>
      <c r="CI27" s="409"/>
      <c r="CJ27" s="409">
        <v>-0.03</v>
      </c>
      <c r="CK27" s="409"/>
      <c r="CL27" s="409"/>
      <c r="CM27" s="409"/>
      <c r="CN27" s="409"/>
      <c r="CO27" s="409">
        <v>0</v>
      </c>
      <c r="CP27" s="409">
        <v>0</v>
      </c>
      <c r="CQ27" s="409">
        <v>31</v>
      </c>
      <c r="CR27" s="409"/>
      <c r="CS27" s="409"/>
      <c r="CT27" s="409"/>
      <c r="CU27" s="409"/>
      <c r="CV27" s="409"/>
      <c r="CW27" s="409"/>
      <c r="CX27" s="409"/>
      <c r="CY27" s="409"/>
      <c r="CZ27" s="409"/>
      <c r="DA27" s="409"/>
      <c r="DB27" s="409"/>
      <c r="DC27" s="409"/>
      <c r="DD27" s="409"/>
      <c r="DE27" s="409"/>
      <c r="DF27" s="409"/>
      <c r="DG27" s="409"/>
      <c r="DH27" s="409"/>
      <c r="DI27" s="409"/>
      <c r="DJ27" s="409"/>
      <c r="DK27" s="409">
        <v>0</v>
      </c>
      <c r="DL27" s="409"/>
      <c r="DM27" s="409"/>
      <c r="DN27" s="409"/>
      <c r="DO27" s="409"/>
      <c r="DP27" s="409"/>
      <c r="DQ27" s="409"/>
      <c r="DR27" s="409"/>
      <c r="DS27" s="409"/>
      <c r="DT27" s="409"/>
      <c r="DU27" s="409"/>
      <c r="DV27" s="409"/>
      <c r="DW27" s="409"/>
      <c r="DX27" s="409"/>
      <c r="DY27" s="409"/>
      <c r="DZ27" s="409"/>
      <c r="EA27" s="409"/>
      <c r="EB27" s="409"/>
      <c r="EC27" s="409"/>
      <c r="ED27" s="409"/>
      <c r="EE27" s="409"/>
      <c r="EF27" s="409"/>
      <c r="EG27" s="409"/>
      <c r="EH27" s="409"/>
      <c r="EI27" s="409"/>
      <c r="EJ27" s="409"/>
      <c r="EK27" s="409"/>
      <c r="EL27" s="409"/>
      <c r="EM27" s="409"/>
      <c r="EN27" s="409"/>
      <c r="EO27" s="409"/>
      <c r="EP27" s="409"/>
      <c r="EQ27" s="409"/>
      <c r="ER27" s="409"/>
      <c r="ES27" s="409"/>
      <c r="ET27" s="409"/>
      <c r="EU27" s="409"/>
      <c r="EV27" s="409">
        <v>210</v>
      </c>
      <c r="EW27" s="409"/>
      <c r="EX27" s="409"/>
      <c r="EY27" s="409"/>
      <c r="EZ27" s="409"/>
      <c r="FA27" s="409">
        <v>0</v>
      </c>
      <c r="FB27" s="409"/>
      <c r="FC27" s="409"/>
      <c r="FD27" s="409"/>
      <c r="FE27" s="409"/>
      <c r="FF27" s="409">
        <v>0</v>
      </c>
      <c r="FG27" s="409">
        <v>0</v>
      </c>
      <c r="FH27" s="409">
        <v>0</v>
      </c>
      <c r="FI27" s="409">
        <v>0</v>
      </c>
    </row>
    <row r="28" spans="1:165" customFormat="1">
      <c r="A28" s="409">
        <v>26</v>
      </c>
      <c r="B28" s="409" t="s">
        <v>1035</v>
      </c>
      <c r="C28" s="409" t="s">
        <v>2241</v>
      </c>
      <c r="D28" s="409" t="s">
        <v>2247</v>
      </c>
      <c r="E28" s="409" t="s">
        <v>973</v>
      </c>
      <c r="F28" s="409" t="s">
        <v>2254</v>
      </c>
      <c r="G28" s="409" t="s">
        <v>2255</v>
      </c>
      <c r="H28" s="409" t="s">
        <v>1323</v>
      </c>
      <c r="I28" s="409" t="s">
        <v>1323</v>
      </c>
      <c r="J28" s="409" t="s">
        <v>2242</v>
      </c>
      <c r="K28" s="838">
        <v>44317</v>
      </c>
      <c r="L28" s="409">
        <v>0</v>
      </c>
      <c r="M28" s="409">
        <v>0</v>
      </c>
      <c r="N28" s="409">
        <v>12.552</v>
      </c>
      <c r="O28" s="409">
        <v>12.552</v>
      </c>
      <c r="P28" s="409">
        <v>12.552</v>
      </c>
      <c r="Q28" s="409">
        <v>12.552</v>
      </c>
      <c r="R28" s="409"/>
      <c r="S28" s="409">
        <v>358.62</v>
      </c>
      <c r="T28" s="409">
        <v>273.74</v>
      </c>
      <c r="U28" s="409"/>
      <c r="V28" s="409">
        <v>7937.3827199999996</v>
      </c>
      <c r="W28" s="409">
        <v>7937.3827199999996</v>
      </c>
      <c r="X28" s="409">
        <v>7696.13328</v>
      </c>
      <c r="Y28" s="409">
        <v>0</v>
      </c>
      <c r="Z28" s="409">
        <v>757.81962179865263</v>
      </c>
      <c r="AA28" s="409">
        <v>0</v>
      </c>
      <c r="AB28" s="409">
        <v>0</v>
      </c>
      <c r="AC28" s="409">
        <v>0</v>
      </c>
      <c r="AD28" s="409">
        <v>1080.5830741527379</v>
      </c>
      <c r="AE28" s="409">
        <v>2486.2900185318695</v>
      </c>
      <c r="AF28" s="409">
        <v>3435.9751876257037</v>
      </c>
      <c r="AG28" s="409">
        <v>0</v>
      </c>
      <c r="AH28" s="409">
        <v>0</v>
      </c>
      <c r="AI28" s="409">
        <v>0</v>
      </c>
      <c r="AJ28" s="409">
        <v>0</v>
      </c>
      <c r="AK28" s="409">
        <v>0</v>
      </c>
      <c r="AL28" s="409">
        <v>117.19236105728432</v>
      </c>
      <c r="AM28" s="409"/>
      <c r="AN28" s="409">
        <v>13.369026890809106</v>
      </c>
      <c r="AO28" s="409">
        <v>0</v>
      </c>
      <c r="AP28" s="409">
        <v>0</v>
      </c>
      <c r="AQ28" s="409">
        <v>0</v>
      </c>
      <c r="AR28" s="409">
        <v>0</v>
      </c>
      <c r="AS28" s="409">
        <v>0</v>
      </c>
      <c r="AT28" s="409">
        <v>0</v>
      </c>
      <c r="AU28" s="409">
        <v>0</v>
      </c>
      <c r="AV28" s="409">
        <v>0</v>
      </c>
      <c r="AW28" s="409">
        <v>0</v>
      </c>
      <c r="AX28" s="409">
        <v>0</v>
      </c>
      <c r="AY28" s="409">
        <v>0</v>
      </c>
      <c r="AZ28" s="409">
        <v>0</v>
      </c>
      <c r="BA28" s="409"/>
      <c r="BB28" s="409">
        <v>0</v>
      </c>
      <c r="BC28" s="409">
        <v>0</v>
      </c>
      <c r="BD28" s="409">
        <v>0</v>
      </c>
      <c r="BE28" s="409">
        <v>0</v>
      </c>
      <c r="BF28" s="409">
        <v>0</v>
      </c>
      <c r="BG28" s="409">
        <v>46.171606140804919</v>
      </c>
      <c r="BH28" s="409">
        <v>0</v>
      </c>
      <c r="BI28" s="409">
        <v>0</v>
      </c>
      <c r="BJ28" s="409">
        <v>0</v>
      </c>
      <c r="BK28" s="409">
        <v>0</v>
      </c>
      <c r="BL28" s="409">
        <v>0</v>
      </c>
      <c r="BM28" s="409"/>
      <c r="BN28" s="409"/>
      <c r="BO28" s="409"/>
      <c r="BP28" s="409"/>
      <c r="BQ28" s="409"/>
      <c r="BR28" s="409">
        <v>1077.4636800000001</v>
      </c>
      <c r="BS28" s="409"/>
      <c r="BT28" s="409"/>
      <c r="BU28" s="409"/>
      <c r="BV28" s="409">
        <v>3482.1467937665088</v>
      </c>
      <c r="BW28" s="409"/>
      <c r="BX28" s="409"/>
      <c r="BY28" s="409"/>
      <c r="BZ28" s="409"/>
      <c r="CA28" s="409"/>
      <c r="CB28" s="409"/>
      <c r="CC28" s="409"/>
      <c r="CD28" s="409"/>
      <c r="CE28" s="409"/>
      <c r="CF28" s="409"/>
      <c r="CG28" s="409"/>
      <c r="CH28" s="409"/>
      <c r="CI28" s="409">
        <v>6617.6149999999998</v>
      </c>
      <c r="CJ28" s="409">
        <v>-208.69468000000052</v>
      </c>
      <c r="CK28" s="409"/>
      <c r="CL28" s="409"/>
      <c r="CM28" s="409"/>
      <c r="CN28" s="409"/>
      <c r="CO28" s="409">
        <v>-404.42544000000032</v>
      </c>
      <c r="CP28" s="409">
        <v>163.17599999999999</v>
      </c>
      <c r="CQ28" s="409">
        <v>31</v>
      </c>
      <c r="CR28" s="409">
        <v>153.91112068923212</v>
      </c>
      <c r="CS28" s="409">
        <v>0</v>
      </c>
      <c r="CT28" s="409">
        <v>0</v>
      </c>
      <c r="CU28" s="409">
        <v>0</v>
      </c>
      <c r="CV28" s="409">
        <v>0</v>
      </c>
      <c r="CW28" s="409">
        <v>0</v>
      </c>
      <c r="CX28" s="409">
        <v>0</v>
      </c>
      <c r="CY28" s="409">
        <v>0</v>
      </c>
      <c r="CZ28" s="409">
        <v>37.040704345956101</v>
      </c>
      <c r="DA28" s="409">
        <v>0</v>
      </c>
      <c r="DB28" s="409">
        <v>0</v>
      </c>
      <c r="DC28" s="409">
        <v>185.09502289220609</v>
      </c>
      <c r="DD28" s="409">
        <v>0</v>
      </c>
      <c r="DE28" s="409">
        <v>0</v>
      </c>
      <c r="DF28" s="409">
        <v>0</v>
      </c>
      <c r="DG28" s="409">
        <v>2.4872515163615034</v>
      </c>
      <c r="DH28" s="409">
        <v>0</v>
      </c>
      <c r="DI28" s="409">
        <v>-48.304389005802705</v>
      </c>
      <c r="DJ28" s="409"/>
      <c r="DK28" s="409">
        <v>0</v>
      </c>
      <c r="DL28" s="409">
        <v>0</v>
      </c>
      <c r="DM28" s="409">
        <v>0</v>
      </c>
      <c r="DN28" s="409">
        <v>0</v>
      </c>
      <c r="DO28" s="409">
        <v>-6.1446061614129235</v>
      </c>
      <c r="DP28" s="409">
        <v>-0.88208064638004835</v>
      </c>
      <c r="DQ28" s="409">
        <v>0</v>
      </c>
      <c r="DR28" s="409">
        <v>-15.380782251696145</v>
      </c>
      <c r="DS28" s="409"/>
      <c r="DT28" s="409"/>
      <c r="DU28" s="409"/>
      <c r="DV28" s="409">
        <v>2486.2900185318695</v>
      </c>
      <c r="DW28" s="409">
        <v>0</v>
      </c>
      <c r="DX28" s="409">
        <v>0</v>
      </c>
      <c r="DY28" s="409">
        <v>-404.42543999999998</v>
      </c>
      <c r="DZ28" s="409">
        <v>163.17599999999993</v>
      </c>
      <c r="EA28" s="409">
        <v>0</v>
      </c>
      <c r="EB28" s="409">
        <v>0</v>
      </c>
      <c r="EC28" s="409">
        <v>-395.2032118612392</v>
      </c>
      <c r="ED28" s="409">
        <v>0</v>
      </c>
      <c r="EE28" s="409">
        <v>0</v>
      </c>
      <c r="EF28" s="409">
        <v>0</v>
      </c>
      <c r="EG28" s="409">
        <v>0</v>
      </c>
      <c r="EH28" s="409">
        <v>0</v>
      </c>
      <c r="EI28" s="409">
        <v>0</v>
      </c>
      <c r="EJ28" s="409">
        <v>0</v>
      </c>
      <c r="EK28" s="409">
        <v>0</v>
      </c>
      <c r="EL28" s="409">
        <v>0</v>
      </c>
      <c r="EM28" s="409">
        <v>0</v>
      </c>
      <c r="EN28" s="409">
        <v>0</v>
      </c>
      <c r="EO28" s="409">
        <v>0</v>
      </c>
      <c r="EP28" s="409">
        <v>0</v>
      </c>
      <c r="EQ28" s="409">
        <v>0</v>
      </c>
      <c r="ER28" s="409">
        <v>0</v>
      </c>
      <c r="ES28" s="409">
        <v>0</v>
      </c>
      <c r="ET28" s="409">
        <v>0</v>
      </c>
      <c r="EU28" s="409">
        <v>0</v>
      </c>
      <c r="EV28" s="409">
        <v>210</v>
      </c>
      <c r="EW28" s="409">
        <v>0</v>
      </c>
      <c r="EX28" s="409">
        <v>0</v>
      </c>
      <c r="EY28" s="409">
        <v>0</v>
      </c>
      <c r="EZ28" s="409"/>
      <c r="FA28" s="409">
        <v>0</v>
      </c>
      <c r="FB28" s="409"/>
      <c r="FC28" s="409"/>
      <c r="FD28" s="409"/>
      <c r="FE28" s="409"/>
      <c r="FF28" s="409">
        <v>0</v>
      </c>
      <c r="FG28" s="409">
        <v>0</v>
      </c>
      <c r="FH28" s="409">
        <v>0</v>
      </c>
      <c r="FI28" s="409">
        <v>0</v>
      </c>
    </row>
    <row r="29" spans="1:165" customFormat="1">
      <c r="A29" s="409">
        <v>27</v>
      </c>
      <c r="B29" s="409" t="s">
        <v>1035</v>
      </c>
      <c r="C29" s="409" t="s">
        <v>2241</v>
      </c>
      <c r="D29" s="409" t="s">
        <v>2247</v>
      </c>
      <c r="E29" s="409" t="s">
        <v>973</v>
      </c>
      <c r="F29" s="409" t="s">
        <v>2254</v>
      </c>
      <c r="G29" s="409" t="s">
        <v>2256</v>
      </c>
      <c r="H29" s="409" t="s">
        <v>1323</v>
      </c>
      <c r="I29" s="409" t="s">
        <v>1323</v>
      </c>
      <c r="J29" s="409" t="s">
        <v>2242</v>
      </c>
      <c r="K29" s="838">
        <v>44317</v>
      </c>
      <c r="L29" s="409">
        <v>0</v>
      </c>
      <c r="M29" s="409">
        <v>0</v>
      </c>
      <c r="N29" s="409">
        <v>20.905999999999999</v>
      </c>
      <c r="O29" s="409">
        <v>8.3623999999999992</v>
      </c>
      <c r="P29" s="409">
        <v>20.905999999999999</v>
      </c>
      <c r="Q29" s="409">
        <v>8.3623999999999992</v>
      </c>
      <c r="R29" s="409"/>
      <c r="S29" s="409">
        <v>358.62</v>
      </c>
      <c r="T29" s="409">
        <v>273.74</v>
      </c>
      <c r="U29" s="409"/>
      <c r="V29" s="409">
        <v>13220.118159999998</v>
      </c>
      <c r="W29" s="409">
        <v>13220.118159999998</v>
      </c>
      <c r="X29" s="409">
        <v>12818.304839999999</v>
      </c>
      <c r="Y29" s="409">
        <v>0</v>
      </c>
      <c r="Z29" s="409">
        <v>1262.1874612271058</v>
      </c>
      <c r="AA29" s="409">
        <v>0</v>
      </c>
      <c r="AB29" s="409">
        <v>0</v>
      </c>
      <c r="AC29" s="409">
        <v>0</v>
      </c>
      <c r="AD29" s="409">
        <v>1799.7665510067829</v>
      </c>
      <c r="AE29" s="409">
        <v>4141.0435888645043</v>
      </c>
      <c r="AF29" s="409">
        <v>5722.7929630738499</v>
      </c>
      <c r="AG29" s="409">
        <v>0</v>
      </c>
      <c r="AH29" s="409">
        <v>0</v>
      </c>
      <c r="AI29" s="409">
        <v>0</v>
      </c>
      <c r="AJ29" s="409">
        <v>0</v>
      </c>
      <c r="AK29" s="409">
        <v>0</v>
      </c>
      <c r="AL29" s="409">
        <v>195.18989007836089</v>
      </c>
      <c r="AM29" s="409"/>
      <c r="AN29" s="409">
        <v>22.266800205485591</v>
      </c>
      <c r="AO29" s="409">
        <v>0</v>
      </c>
      <c r="AP29" s="409">
        <v>0</v>
      </c>
      <c r="AQ29" s="409">
        <v>0</v>
      </c>
      <c r="AR29" s="409">
        <v>0</v>
      </c>
      <c r="AS29" s="409">
        <v>0</v>
      </c>
      <c r="AT29" s="409">
        <v>0</v>
      </c>
      <c r="AU29" s="409">
        <v>0</v>
      </c>
      <c r="AV29" s="409">
        <v>0</v>
      </c>
      <c r="AW29" s="409">
        <v>0</v>
      </c>
      <c r="AX29" s="409">
        <v>0</v>
      </c>
      <c r="AY29" s="409">
        <v>0</v>
      </c>
      <c r="AZ29" s="409">
        <v>0</v>
      </c>
      <c r="BA29" s="409"/>
      <c r="BB29" s="409">
        <v>0</v>
      </c>
      <c r="BC29" s="409">
        <v>0</v>
      </c>
      <c r="BD29" s="409">
        <v>0</v>
      </c>
      <c r="BE29" s="409">
        <v>0</v>
      </c>
      <c r="BF29" s="409">
        <v>0</v>
      </c>
      <c r="BG29" s="409">
        <v>76.901178934007945</v>
      </c>
      <c r="BH29" s="409">
        <v>0</v>
      </c>
      <c r="BI29" s="409">
        <v>0</v>
      </c>
      <c r="BJ29" s="409">
        <v>0</v>
      </c>
      <c r="BK29" s="409">
        <v>0</v>
      </c>
      <c r="BL29" s="409">
        <v>0</v>
      </c>
      <c r="BM29" s="409"/>
      <c r="BN29" s="409"/>
      <c r="BO29" s="409"/>
      <c r="BP29" s="409"/>
      <c r="BQ29" s="409"/>
      <c r="BR29" s="409"/>
      <c r="BS29" s="409">
        <v>8408.8113200000007</v>
      </c>
      <c r="BT29" s="409"/>
      <c r="BU29" s="409"/>
      <c r="BV29" s="409">
        <v>5799.6941420078583</v>
      </c>
      <c r="BW29" s="409"/>
      <c r="BX29" s="409"/>
      <c r="BY29" s="409"/>
      <c r="BZ29" s="409"/>
      <c r="CA29" s="409"/>
      <c r="CB29" s="409"/>
      <c r="CC29" s="409"/>
      <c r="CD29" s="409"/>
      <c r="CE29" s="409"/>
      <c r="CF29" s="409"/>
      <c r="CG29" s="409"/>
      <c r="CH29" s="409"/>
      <c r="CI29" s="409">
        <v>4408.2279999999992</v>
      </c>
      <c r="CJ29" s="409">
        <v>-139.60961600000064</v>
      </c>
      <c r="CK29" s="409"/>
      <c r="CL29" s="409"/>
      <c r="CM29" s="409"/>
      <c r="CN29" s="409"/>
      <c r="CO29" s="409">
        <v>-673.59132000000056</v>
      </c>
      <c r="CP29" s="409">
        <v>271.77799999999996</v>
      </c>
      <c r="CQ29" s="409">
        <v>31</v>
      </c>
      <c r="CR29" s="409">
        <v>256.34686815878194</v>
      </c>
      <c r="CS29" s="409">
        <v>0</v>
      </c>
      <c r="CT29" s="409">
        <v>0</v>
      </c>
      <c r="CU29" s="409">
        <v>0</v>
      </c>
      <c r="CV29" s="409">
        <v>0</v>
      </c>
      <c r="CW29" s="409">
        <v>0</v>
      </c>
      <c r="CX29" s="409">
        <v>0</v>
      </c>
      <c r="CY29" s="409">
        <v>0</v>
      </c>
      <c r="CZ29" s="409">
        <v>61.693193519483657</v>
      </c>
      <c r="DA29" s="409">
        <v>0</v>
      </c>
      <c r="DB29" s="409">
        <v>0</v>
      </c>
      <c r="DC29" s="409">
        <v>308.28525721673486</v>
      </c>
      <c r="DD29" s="409">
        <v>0</v>
      </c>
      <c r="DE29" s="409">
        <v>0</v>
      </c>
      <c r="DF29" s="409">
        <v>0</v>
      </c>
      <c r="DG29" s="409">
        <v>4.1426450128308971</v>
      </c>
      <c r="DH29" s="409">
        <v>0</v>
      </c>
      <c r="DI29" s="409">
        <v>-80.453438221423767</v>
      </c>
      <c r="DJ29" s="409"/>
      <c r="DK29" s="409">
        <v>0</v>
      </c>
      <c r="DL29" s="409">
        <v>0</v>
      </c>
      <c r="DM29" s="409">
        <v>0</v>
      </c>
      <c r="DN29" s="409">
        <v>0</v>
      </c>
      <c r="DO29" s="409">
        <v>-10.234156820466751</v>
      </c>
      <c r="DP29" s="409">
        <v>-1.4691505730737155</v>
      </c>
      <c r="DQ29" s="409">
        <v>0</v>
      </c>
      <c r="DR29" s="409">
        <v>-25.617481975299519</v>
      </c>
      <c r="DS29" s="409"/>
      <c r="DT29" s="409"/>
      <c r="DU29" s="409"/>
      <c r="DV29" s="409">
        <v>4141.0435888645043</v>
      </c>
      <c r="DW29" s="409">
        <v>0</v>
      </c>
      <c r="DX29" s="409">
        <v>0</v>
      </c>
      <c r="DY29" s="409">
        <v>-673.59132000000045</v>
      </c>
      <c r="DZ29" s="409">
        <v>271.77800000000025</v>
      </c>
      <c r="EA29" s="409">
        <v>0</v>
      </c>
      <c r="EB29" s="409">
        <v>0</v>
      </c>
      <c r="EC29" s="409">
        <v>-658.23122587404896</v>
      </c>
      <c r="ED29" s="409">
        <v>0</v>
      </c>
      <c r="EE29" s="409">
        <v>0</v>
      </c>
      <c r="EF29" s="409">
        <v>0</v>
      </c>
      <c r="EG29" s="409">
        <v>0</v>
      </c>
      <c r="EH29" s="409">
        <v>0</v>
      </c>
      <c r="EI29" s="409">
        <v>0</v>
      </c>
      <c r="EJ29" s="409">
        <v>0</v>
      </c>
      <c r="EK29" s="409">
        <v>0</v>
      </c>
      <c r="EL29" s="409">
        <v>0</v>
      </c>
      <c r="EM29" s="409">
        <v>0</v>
      </c>
      <c r="EN29" s="409">
        <v>0</v>
      </c>
      <c r="EO29" s="409">
        <v>0</v>
      </c>
      <c r="EP29" s="409">
        <v>0</v>
      </c>
      <c r="EQ29" s="409">
        <v>0</v>
      </c>
      <c r="ER29" s="409">
        <v>0</v>
      </c>
      <c r="ES29" s="409">
        <v>0</v>
      </c>
      <c r="ET29" s="409">
        <v>0</v>
      </c>
      <c r="EU29" s="409">
        <v>0</v>
      </c>
      <c r="EV29" s="409">
        <v>210</v>
      </c>
      <c r="EW29" s="409">
        <v>0</v>
      </c>
      <c r="EX29" s="409">
        <v>0</v>
      </c>
      <c r="EY29" s="409">
        <v>0</v>
      </c>
      <c r="EZ29" s="409"/>
      <c r="FA29" s="409">
        <v>0</v>
      </c>
      <c r="FB29" s="409"/>
      <c r="FC29" s="409"/>
      <c r="FD29" s="409"/>
      <c r="FE29" s="409"/>
      <c r="FF29" s="409">
        <v>0</v>
      </c>
      <c r="FG29" s="409">
        <v>0</v>
      </c>
      <c r="FH29" s="409">
        <v>0</v>
      </c>
      <c r="FI29" s="409">
        <v>0</v>
      </c>
    </row>
    <row r="30" spans="1:165" customFormat="1">
      <c r="A30" s="409">
        <v>28</v>
      </c>
      <c r="B30" s="409" t="s">
        <v>1035</v>
      </c>
      <c r="C30" s="409" t="s">
        <v>2241</v>
      </c>
      <c r="D30" s="409" t="s">
        <v>1989</v>
      </c>
      <c r="E30" s="409" t="s">
        <v>968</v>
      </c>
      <c r="F30" s="409" t="s">
        <v>968</v>
      </c>
      <c r="G30" s="409" t="s">
        <v>1323</v>
      </c>
      <c r="H30" s="409" t="s">
        <v>1323</v>
      </c>
      <c r="I30" s="409" t="s">
        <v>1323</v>
      </c>
      <c r="J30" s="409" t="s">
        <v>2242</v>
      </c>
      <c r="K30" s="838">
        <v>44348</v>
      </c>
      <c r="L30" s="409">
        <v>0</v>
      </c>
      <c r="M30" s="409">
        <v>0</v>
      </c>
      <c r="N30" s="409">
        <v>77.843000000000004</v>
      </c>
      <c r="O30" s="409">
        <v>77.843000000000004</v>
      </c>
      <c r="P30" s="409">
        <v>77.843000000000004</v>
      </c>
      <c r="Q30" s="409">
        <v>77.843000000000004</v>
      </c>
      <c r="R30" s="409"/>
      <c r="S30" s="409">
        <v>358.62</v>
      </c>
      <c r="T30" s="409">
        <v>273.74</v>
      </c>
      <c r="U30" s="409"/>
      <c r="V30" s="409">
        <v>49224.799480000001</v>
      </c>
      <c r="W30" s="409">
        <v>49224.799480000001</v>
      </c>
      <c r="X30" s="409">
        <v>47728.657019999999</v>
      </c>
      <c r="Y30" s="409">
        <v>0</v>
      </c>
      <c r="Z30" s="409">
        <v>4699.7253680427439</v>
      </c>
      <c r="AA30" s="409">
        <v>0</v>
      </c>
      <c r="AB30" s="409">
        <v>0</v>
      </c>
      <c r="AC30" s="409">
        <v>0</v>
      </c>
      <c r="AD30" s="409">
        <v>6701.3884832115673</v>
      </c>
      <c r="AE30" s="409">
        <v>15419.078546253691</v>
      </c>
      <c r="AF30" s="409">
        <v>21308.685192028974</v>
      </c>
      <c r="AG30" s="409">
        <v>0</v>
      </c>
      <c r="AH30" s="409">
        <v>0</v>
      </c>
      <c r="AI30" s="409">
        <v>0</v>
      </c>
      <c r="AJ30" s="409">
        <v>0</v>
      </c>
      <c r="AK30" s="409">
        <v>0</v>
      </c>
      <c r="AL30" s="409">
        <v>726.78497146129564</v>
      </c>
      <c r="AM30" s="409"/>
      <c r="AN30" s="409">
        <v>82.909907605262376</v>
      </c>
      <c r="AO30" s="409">
        <v>0</v>
      </c>
      <c r="AP30" s="409">
        <v>0</v>
      </c>
      <c r="AQ30" s="409">
        <v>0</v>
      </c>
      <c r="AR30" s="409">
        <v>0</v>
      </c>
      <c r="AS30" s="409">
        <v>0</v>
      </c>
      <c r="AT30" s="409">
        <v>0</v>
      </c>
      <c r="AU30" s="409">
        <v>0</v>
      </c>
      <c r="AV30" s="409">
        <v>0</v>
      </c>
      <c r="AW30" s="409">
        <v>0</v>
      </c>
      <c r="AX30" s="409">
        <v>0</v>
      </c>
      <c r="AY30" s="409">
        <v>0</v>
      </c>
      <c r="AZ30" s="409">
        <v>0</v>
      </c>
      <c r="BA30" s="409"/>
      <c r="BB30" s="409">
        <v>0</v>
      </c>
      <c r="BC30" s="409">
        <v>0</v>
      </c>
      <c r="BD30" s="409">
        <v>0</v>
      </c>
      <c r="BE30" s="409">
        <v>0</v>
      </c>
      <c r="BF30" s="409">
        <v>0</v>
      </c>
      <c r="BG30" s="409">
        <v>286.33973365349567</v>
      </c>
      <c r="BH30" s="409">
        <v>0</v>
      </c>
      <c r="BI30" s="409">
        <v>369.55</v>
      </c>
      <c r="BJ30" s="409">
        <v>1717.09</v>
      </c>
      <c r="BK30" s="409">
        <v>8177.51</v>
      </c>
      <c r="BL30" s="409">
        <v>712</v>
      </c>
      <c r="BM30" s="409"/>
      <c r="BN30" s="409"/>
      <c r="BO30" s="409"/>
      <c r="BP30" s="409"/>
      <c r="BQ30" s="409"/>
      <c r="BR30" s="409"/>
      <c r="BS30" s="409"/>
      <c r="BT30" s="409"/>
      <c r="BU30" s="409"/>
      <c r="BV30" s="409">
        <v>21595.024925682468</v>
      </c>
      <c r="BW30" s="409"/>
      <c r="BX30" s="409"/>
      <c r="BY30" s="409"/>
      <c r="BZ30" s="409"/>
      <c r="CA30" s="409"/>
      <c r="CB30" s="409"/>
      <c r="CC30" s="409"/>
      <c r="CD30" s="409"/>
      <c r="CE30" s="409"/>
      <c r="CF30" s="409"/>
      <c r="CG30" s="409"/>
      <c r="CH30" s="409"/>
      <c r="CI30" s="409">
        <v>47726.817600000002</v>
      </c>
      <c r="CJ30" s="409">
        <v>-1498.0118800000055</v>
      </c>
      <c r="CK30" s="409"/>
      <c r="CL30" s="409"/>
      <c r="CM30" s="409"/>
      <c r="CN30" s="409"/>
      <c r="CO30" s="409">
        <v>-2508.1014600000021</v>
      </c>
      <c r="CP30" s="409">
        <v>1011.9590000000001</v>
      </c>
      <c r="CQ30" s="409">
        <v>30</v>
      </c>
      <c r="CR30" s="409">
        <v>954.50154300604481</v>
      </c>
      <c r="CS30" s="409">
        <v>0</v>
      </c>
      <c r="CT30" s="409">
        <v>0</v>
      </c>
      <c r="CU30" s="409">
        <v>0</v>
      </c>
      <c r="CV30" s="409">
        <v>0</v>
      </c>
      <c r="CW30" s="409">
        <v>0</v>
      </c>
      <c r="CX30" s="409">
        <v>0</v>
      </c>
      <c r="CY30" s="409">
        <v>0</v>
      </c>
      <c r="CZ30" s="409">
        <v>229.71315713848435</v>
      </c>
      <c r="DA30" s="409">
        <v>0</v>
      </c>
      <c r="DB30" s="409">
        <v>0</v>
      </c>
      <c r="DC30" s="409">
        <v>1147.8929148341304</v>
      </c>
      <c r="DD30" s="409">
        <v>0</v>
      </c>
      <c r="DE30" s="409">
        <v>0</v>
      </c>
      <c r="DF30" s="409">
        <v>0</v>
      </c>
      <c r="DG30" s="409">
        <v>15.425041410781432</v>
      </c>
      <c r="DH30" s="409">
        <v>0</v>
      </c>
      <c r="DI30" s="409">
        <v>-299.56648768154082</v>
      </c>
      <c r="DJ30" s="409"/>
      <c r="DK30" s="409">
        <v>0</v>
      </c>
      <c r="DL30" s="409">
        <v>0</v>
      </c>
      <c r="DM30" s="409">
        <v>0</v>
      </c>
      <c r="DN30" s="409">
        <v>0</v>
      </c>
      <c r="DO30" s="409">
        <v>-38.106642560776436</v>
      </c>
      <c r="DP30" s="409">
        <v>-5.4703476542512846</v>
      </c>
      <c r="DQ30" s="409">
        <v>0</v>
      </c>
      <c r="DR30" s="409">
        <v>-95.38609248078258</v>
      </c>
      <c r="DS30" s="409"/>
      <c r="DT30" s="409"/>
      <c r="DU30" s="409"/>
      <c r="DV30" s="409">
        <v>15419.078546253691</v>
      </c>
      <c r="DW30" s="409">
        <v>0</v>
      </c>
      <c r="DX30" s="409">
        <v>0</v>
      </c>
      <c r="DY30" s="409">
        <v>-2508.1014600000017</v>
      </c>
      <c r="DZ30" s="409">
        <v>1011.9589999999989</v>
      </c>
      <c r="EA30" s="409">
        <v>0</v>
      </c>
      <c r="EB30" s="409">
        <v>0</v>
      </c>
      <c r="EC30" s="409">
        <v>-2450.9085102704321</v>
      </c>
      <c r="ED30" s="409">
        <v>0</v>
      </c>
      <c r="EE30" s="409">
        <v>0</v>
      </c>
      <c r="EF30" s="409">
        <v>0</v>
      </c>
      <c r="EG30" s="409">
        <v>0</v>
      </c>
      <c r="EH30" s="409">
        <v>0</v>
      </c>
      <c r="EI30" s="409">
        <v>0</v>
      </c>
      <c r="EJ30" s="409">
        <v>0</v>
      </c>
      <c r="EK30" s="409">
        <v>0</v>
      </c>
      <c r="EL30" s="409">
        <v>0</v>
      </c>
      <c r="EM30" s="409">
        <v>0</v>
      </c>
      <c r="EN30" s="409">
        <v>0</v>
      </c>
      <c r="EO30" s="409">
        <v>0</v>
      </c>
      <c r="EP30" s="409">
        <v>0</v>
      </c>
      <c r="EQ30" s="409">
        <v>0</v>
      </c>
      <c r="ER30" s="409">
        <v>0</v>
      </c>
      <c r="ES30" s="409">
        <v>0</v>
      </c>
      <c r="ET30" s="409">
        <v>0</v>
      </c>
      <c r="EU30" s="409">
        <v>0</v>
      </c>
      <c r="EV30" s="409">
        <v>210</v>
      </c>
      <c r="EW30" s="409">
        <v>0</v>
      </c>
      <c r="EX30" s="409">
        <v>0</v>
      </c>
      <c r="EY30" s="409">
        <v>0</v>
      </c>
      <c r="EZ30" s="409"/>
      <c r="FA30" s="409">
        <v>0</v>
      </c>
      <c r="FB30" s="409"/>
      <c r="FC30" s="409"/>
      <c r="FD30" s="409"/>
      <c r="FE30" s="409"/>
      <c r="FF30" s="409">
        <v>0</v>
      </c>
      <c r="FG30" s="409">
        <v>0</v>
      </c>
      <c r="FH30" s="409">
        <v>0</v>
      </c>
      <c r="FI30" s="409">
        <v>0</v>
      </c>
    </row>
    <row r="31" spans="1:165" customFormat="1">
      <c r="A31" s="409">
        <v>29</v>
      </c>
      <c r="B31" s="409" t="s">
        <v>2257</v>
      </c>
      <c r="C31" s="409" t="s">
        <v>2241</v>
      </c>
      <c r="D31" s="409" t="s">
        <v>1989</v>
      </c>
      <c r="E31" s="409" t="s">
        <v>968</v>
      </c>
      <c r="F31" s="409" t="s">
        <v>968</v>
      </c>
      <c r="G31" s="409" t="s">
        <v>1323</v>
      </c>
      <c r="H31" s="409" t="s">
        <v>1323</v>
      </c>
      <c r="I31" s="409" t="s">
        <v>1323</v>
      </c>
      <c r="J31" s="409" t="s">
        <v>2242</v>
      </c>
      <c r="K31" s="838">
        <v>44348</v>
      </c>
      <c r="L31" s="409">
        <v>0</v>
      </c>
      <c r="M31" s="409">
        <v>0</v>
      </c>
      <c r="N31" s="409">
        <v>-0.13900000000000001</v>
      </c>
      <c r="O31" s="409">
        <v>-0.13900000000000001</v>
      </c>
      <c r="P31" s="409">
        <v>-0.13900000000000001</v>
      </c>
      <c r="Q31" s="409">
        <v>-0.13900000000000001</v>
      </c>
      <c r="R31" s="409"/>
      <c r="S31" s="409">
        <v>358.62</v>
      </c>
      <c r="T31" s="409">
        <v>273.74</v>
      </c>
      <c r="U31" s="409"/>
      <c r="V31" s="409">
        <v>-87.898040000000009</v>
      </c>
      <c r="W31" s="409">
        <v>-87.898040000000009</v>
      </c>
      <c r="X31" s="409">
        <v>-85.226460000000003</v>
      </c>
      <c r="Y31" s="409">
        <v>0</v>
      </c>
      <c r="Z31" s="409">
        <v>-8.3920432942967444</v>
      </c>
      <c r="AA31" s="409">
        <v>0</v>
      </c>
      <c r="AB31" s="409">
        <v>0</v>
      </c>
      <c r="AC31" s="409">
        <v>0</v>
      </c>
      <c r="AD31" s="409">
        <v>-11.966303960104414</v>
      </c>
      <c r="AE31" s="409">
        <v>-27.533007694067074</v>
      </c>
      <c r="AF31" s="409">
        <v>-38.049757096874835</v>
      </c>
      <c r="AG31" s="409">
        <v>0</v>
      </c>
      <c r="AH31" s="409">
        <v>0</v>
      </c>
      <c r="AI31" s="409">
        <v>0</v>
      </c>
      <c r="AJ31" s="409">
        <v>0</v>
      </c>
      <c r="AK31" s="409">
        <v>0</v>
      </c>
      <c r="AL31" s="409">
        <v>-1.297780288954949</v>
      </c>
      <c r="AM31" s="409"/>
      <c r="AN31" s="409">
        <v>-0.14804770059133732</v>
      </c>
      <c r="AO31" s="409">
        <v>0</v>
      </c>
      <c r="AP31" s="409">
        <v>0</v>
      </c>
      <c r="AQ31" s="409">
        <v>0</v>
      </c>
      <c r="AR31" s="409">
        <v>0</v>
      </c>
      <c r="AS31" s="409">
        <v>0</v>
      </c>
      <c r="AT31" s="409">
        <v>0</v>
      </c>
      <c r="AU31" s="409">
        <v>0</v>
      </c>
      <c r="AV31" s="409">
        <v>0</v>
      </c>
      <c r="AW31" s="409">
        <v>0</v>
      </c>
      <c r="AX31" s="409">
        <v>0</v>
      </c>
      <c r="AY31" s="409">
        <v>0</v>
      </c>
      <c r="AZ31" s="409">
        <v>0</v>
      </c>
      <c r="BA31" s="409"/>
      <c r="BB31" s="409">
        <v>0</v>
      </c>
      <c r="BC31" s="409">
        <v>0</v>
      </c>
      <c r="BD31" s="409">
        <v>0</v>
      </c>
      <c r="BE31" s="409">
        <v>0</v>
      </c>
      <c r="BF31" s="409">
        <v>0</v>
      </c>
      <c r="BG31" s="409">
        <v>-0.51130124709782387</v>
      </c>
      <c r="BH31" s="409">
        <v>0</v>
      </c>
      <c r="BI31" s="409">
        <v>-0.66</v>
      </c>
      <c r="BJ31" s="409">
        <v>-3.08</v>
      </c>
      <c r="BK31" s="409">
        <v>-16</v>
      </c>
      <c r="BL31" s="409">
        <v>0</v>
      </c>
      <c r="BM31" s="409"/>
      <c r="BN31" s="409"/>
      <c r="BO31" s="409"/>
      <c r="BP31" s="409"/>
      <c r="BQ31" s="409"/>
      <c r="BR31" s="409"/>
      <c r="BS31" s="409"/>
      <c r="BT31" s="409"/>
      <c r="BU31" s="409"/>
      <c r="BV31" s="409">
        <v>-38.561058343972661</v>
      </c>
      <c r="BW31" s="409"/>
      <c r="BX31" s="409"/>
      <c r="BY31" s="409"/>
      <c r="BZ31" s="409"/>
      <c r="CA31" s="409"/>
      <c r="CB31" s="409"/>
      <c r="CC31" s="409"/>
      <c r="CD31" s="409"/>
      <c r="CE31" s="409"/>
      <c r="CF31" s="409"/>
      <c r="CG31" s="409"/>
      <c r="CH31" s="409"/>
      <c r="CI31" s="409">
        <v>-85.839600000000004</v>
      </c>
      <c r="CJ31" s="409">
        <v>2.0284400000000034</v>
      </c>
      <c r="CK31" s="409"/>
      <c r="CL31" s="409"/>
      <c r="CM31" s="409"/>
      <c r="CN31" s="409"/>
      <c r="CO31" s="409">
        <v>4.4785800000000044</v>
      </c>
      <c r="CP31" s="409">
        <v>-1.8070000000000002</v>
      </c>
      <c r="CQ31" s="409">
        <v>30</v>
      </c>
      <c r="CR31" s="409">
        <v>-1.7044013524381256</v>
      </c>
      <c r="CS31" s="409">
        <v>0</v>
      </c>
      <c r="CT31" s="409">
        <v>0</v>
      </c>
      <c r="CU31" s="409">
        <v>0</v>
      </c>
      <c r="CV31" s="409">
        <v>0</v>
      </c>
      <c r="CW31" s="409">
        <v>0</v>
      </c>
      <c r="CX31" s="409">
        <v>0</v>
      </c>
      <c r="CY31" s="409">
        <v>0</v>
      </c>
      <c r="CZ31" s="409">
        <v>-0.41018625749584992</v>
      </c>
      <c r="DA31" s="409">
        <v>0</v>
      </c>
      <c r="DB31" s="409">
        <v>0</v>
      </c>
      <c r="DC31" s="409">
        <v>-2.0497297786820141</v>
      </c>
      <c r="DD31" s="409">
        <v>0</v>
      </c>
      <c r="DE31" s="409">
        <v>0</v>
      </c>
      <c r="DF31" s="409">
        <v>0</v>
      </c>
      <c r="DG31" s="409">
        <v>-2.7543655256074606E-2</v>
      </c>
      <c r="DH31" s="409">
        <v>0</v>
      </c>
      <c r="DI31" s="409">
        <v>0.53491954045622858</v>
      </c>
      <c r="DJ31" s="409"/>
      <c r="DK31" s="409">
        <v>0</v>
      </c>
      <c r="DL31" s="409">
        <v>0</v>
      </c>
      <c r="DM31" s="409">
        <v>0</v>
      </c>
      <c r="DN31" s="409">
        <v>0</v>
      </c>
      <c r="DO31" s="409">
        <v>6.8044953508316963E-2</v>
      </c>
      <c r="DP31" s="409">
        <v>9.7681014855661996E-3</v>
      </c>
      <c r="DQ31" s="409">
        <v>0</v>
      </c>
      <c r="DR31" s="409">
        <v>0.17032574354571098</v>
      </c>
      <c r="DS31" s="409"/>
      <c r="DT31" s="409"/>
      <c r="DU31" s="409"/>
      <c r="DV31" s="409">
        <v>-27.533007694067074</v>
      </c>
      <c r="DW31" s="409">
        <v>0</v>
      </c>
      <c r="DX31" s="409">
        <v>0</v>
      </c>
      <c r="DY31" s="409">
        <v>4.478580000000008</v>
      </c>
      <c r="DZ31" s="409">
        <v>-1.8070000000000022</v>
      </c>
      <c r="EA31" s="409">
        <v>0</v>
      </c>
      <c r="EB31" s="409">
        <v>0</v>
      </c>
      <c r="EC31" s="409">
        <v>4.3764536686354596</v>
      </c>
      <c r="ED31" s="409">
        <v>0</v>
      </c>
      <c r="EE31" s="409">
        <v>0</v>
      </c>
      <c r="EF31" s="409">
        <v>0</v>
      </c>
      <c r="EG31" s="409">
        <v>0</v>
      </c>
      <c r="EH31" s="409">
        <v>0</v>
      </c>
      <c r="EI31" s="409">
        <v>0</v>
      </c>
      <c r="EJ31" s="409">
        <v>0</v>
      </c>
      <c r="EK31" s="409">
        <v>0</v>
      </c>
      <c r="EL31" s="409">
        <v>0</v>
      </c>
      <c r="EM31" s="409">
        <v>0</v>
      </c>
      <c r="EN31" s="409">
        <v>0</v>
      </c>
      <c r="EO31" s="409">
        <v>0</v>
      </c>
      <c r="EP31" s="409">
        <v>0</v>
      </c>
      <c r="EQ31" s="409">
        <v>0</v>
      </c>
      <c r="ER31" s="409">
        <v>0</v>
      </c>
      <c r="ES31" s="409">
        <v>0</v>
      </c>
      <c r="ET31" s="409">
        <v>0</v>
      </c>
      <c r="EU31" s="409">
        <v>0</v>
      </c>
      <c r="EV31" s="409">
        <v>210</v>
      </c>
      <c r="EW31" s="409">
        <v>0</v>
      </c>
      <c r="EX31" s="409">
        <v>0</v>
      </c>
      <c r="EY31" s="409">
        <v>0</v>
      </c>
      <c r="EZ31" s="409"/>
      <c r="FA31" s="409">
        <v>0</v>
      </c>
      <c r="FB31" s="409"/>
      <c r="FC31" s="409"/>
      <c r="FD31" s="409"/>
      <c r="FE31" s="409"/>
      <c r="FF31" s="409">
        <v>0</v>
      </c>
      <c r="FG31" s="409">
        <v>0</v>
      </c>
      <c r="FH31" s="409">
        <v>0</v>
      </c>
      <c r="FI31" s="409">
        <v>0</v>
      </c>
    </row>
    <row r="32" spans="1:165" customFormat="1">
      <c r="A32" s="409">
        <v>30</v>
      </c>
      <c r="B32" s="409" t="s">
        <v>2240</v>
      </c>
      <c r="C32" s="409" t="s">
        <v>2241</v>
      </c>
      <c r="D32" s="409" t="s">
        <v>1989</v>
      </c>
      <c r="E32" s="409" t="s">
        <v>968</v>
      </c>
      <c r="F32" s="409" t="s">
        <v>968</v>
      </c>
      <c r="G32" s="409" t="s">
        <v>1323</v>
      </c>
      <c r="H32" s="409" t="s">
        <v>1323</v>
      </c>
      <c r="I32" s="409" t="s">
        <v>1323</v>
      </c>
      <c r="J32" s="409" t="s">
        <v>2242</v>
      </c>
      <c r="K32" s="838">
        <v>44348</v>
      </c>
      <c r="L32" s="409">
        <v>0</v>
      </c>
      <c r="M32" s="409">
        <v>0</v>
      </c>
      <c r="N32" s="409">
        <v>0.2</v>
      </c>
      <c r="O32" s="409">
        <v>0.2</v>
      </c>
      <c r="P32" s="409">
        <v>0.2</v>
      </c>
      <c r="Q32" s="409">
        <v>0.2</v>
      </c>
      <c r="R32" s="409"/>
      <c r="S32" s="409">
        <v>358.62</v>
      </c>
      <c r="T32" s="409">
        <v>273.74</v>
      </c>
      <c r="U32" s="409"/>
      <c r="V32" s="409">
        <v>126.47200000000001</v>
      </c>
      <c r="W32" s="409">
        <v>126.47200000000001</v>
      </c>
      <c r="X32" s="409">
        <v>122.62800000000001</v>
      </c>
      <c r="Y32" s="409">
        <v>0</v>
      </c>
      <c r="Z32" s="409">
        <v>12.07488243783704</v>
      </c>
      <c r="AA32" s="409">
        <v>0</v>
      </c>
      <c r="AB32" s="409">
        <v>0</v>
      </c>
      <c r="AC32" s="409">
        <v>0</v>
      </c>
      <c r="AD32" s="409">
        <v>17.217703539718581</v>
      </c>
      <c r="AE32" s="409">
        <v>39.615838408729601</v>
      </c>
      <c r="AF32" s="409">
        <v>54.747851937949399</v>
      </c>
      <c r="AG32" s="409">
        <v>0</v>
      </c>
      <c r="AH32" s="409">
        <v>0</v>
      </c>
      <c r="AI32" s="409">
        <v>0</v>
      </c>
      <c r="AJ32" s="409">
        <v>0</v>
      </c>
      <c r="AK32" s="409">
        <v>0</v>
      </c>
      <c r="AL32" s="409">
        <v>1.8673097682805022</v>
      </c>
      <c r="AM32" s="409"/>
      <c r="AN32" s="409">
        <v>0.21301827423214001</v>
      </c>
      <c r="AO32" s="409">
        <v>0</v>
      </c>
      <c r="AP32" s="409">
        <v>0</v>
      </c>
      <c r="AQ32" s="409">
        <v>0</v>
      </c>
      <c r="AR32" s="409">
        <v>0</v>
      </c>
      <c r="AS32" s="409">
        <v>0</v>
      </c>
      <c r="AT32" s="409">
        <v>0</v>
      </c>
      <c r="AU32" s="409">
        <v>0</v>
      </c>
      <c r="AV32" s="409">
        <v>0</v>
      </c>
      <c r="AW32" s="409">
        <v>0</v>
      </c>
      <c r="AX32" s="409">
        <v>0</v>
      </c>
      <c r="AY32" s="409">
        <v>0</v>
      </c>
      <c r="AZ32" s="409">
        <v>0</v>
      </c>
      <c r="BA32" s="409"/>
      <c r="BB32" s="409">
        <v>0</v>
      </c>
      <c r="BC32" s="409">
        <v>0</v>
      </c>
      <c r="BD32" s="409">
        <v>0</v>
      </c>
      <c r="BE32" s="409">
        <v>0</v>
      </c>
      <c r="BF32" s="409">
        <v>0</v>
      </c>
      <c r="BG32" s="409">
        <v>0.7356852476227681</v>
      </c>
      <c r="BH32" s="409">
        <v>0</v>
      </c>
      <c r="BI32" s="409">
        <v>1</v>
      </c>
      <c r="BJ32" s="409">
        <v>4.6399999999999997</v>
      </c>
      <c r="BK32" s="409">
        <v>61.63</v>
      </c>
      <c r="BL32" s="409">
        <v>3</v>
      </c>
      <c r="BM32" s="409"/>
      <c r="BN32" s="409"/>
      <c r="BO32" s="409"/>
      <c r="BP32" s="409"/>
      <c r="BQ32" s="409"/>
      <c r="BR32" s="409"/>
      <c r="BS32" s="409"/>
      <c r="BT32" s="409"/>
      <c r="BU32" s="409"/>
      <c r="BV32" s="409">
        <v>55.483537185572168</v>
      </c>
      <c r="BW32" s="409"/>
      <c r="BX32" s="409"/>
      <c r="BY32" s="409"/>
      <c r="BZ32" s="409"/>
      <c r="CA32" s="409"/>
      <c r="CB32" s="409"/>
      <c r="CC32" s="409"/>
      <c r="CD32" s="409"/>
      <c r="CE32" s="409"/>
      <c r="CF32" s="409"/>
      <c r="CG32" s="409"/>
      <c r="CH32" s="409"/>
      <c r="CI32" s="409">
        <v>122.62800000000001</v>
      </c>
      <c r="CJ32" s="409">
        <v>-3.8740000000000094</v>
      </c>
      <c r="CK32" s="409"/>
      <c r="CL32" s="409"/>
      <c r="CM32" s="409"/>
      <c r="CN32" s="409"/>
      <c r="CO32" s="409">
        <v>-6.4440000000000062</v>
      </c>
      <c r="CP32" s="409">
        <v>2.6</v>
      </c>
      <c r="CQ32" s="409">
        <v>30</v>
      </c>
      <c r="CR32" s="409">
        <v>2.4523760466735496</v>
      </c>
      <c r="CS32" s="409">
        <v>0</v>
      </c>
      <c r="CT32" s="409">
        <v>0</v>
      </c>
      <c r="CU32" s="409">
        <v>0</v>
      </c>
      <c r="CV32" s="409">
        <v>0</v>
      </c>
      <c r="CW32" s="409">
        <v>0</v>
      </c>
      <c r="CX32" s="409">
        <v>0</v>
      </c>
      <c r="CY32" s="409">
        <v>0</v>
      </c>
      <c r="CZ32" s="409">
        <v>0.59019605395086217</v>
      </c>
      <c r="DA32" s="409">
        <v>0</v>
      </c>
      <c r="DB32" s="409">
        <v>0</v>
      </c>
      <c r="DC32" s="409">
        <v>2.9492514801180008</v>
      </c>
      <c r="DD32" s="409">
        <v>0</v>
      </c>
      <c r="DE32" s="409">
        <v>0</v>
      </c>
      <c r="DF32" s="409">
        <v>0</v>
      </c>
      <c r="DG32" s="409">
        <v>3.9631158641833975E-2</v>
      </c>
      <c r="DH32" s="409">
        <v>0</v>
      </c>
      <c r="DI32" s="409">
        <v>-0.76966840353414057</v>
      </c>
      <c r="DJ32" s="409"/>
      <c r="DK32" s="409">
        <v>0</v>
      </c>
      <c r="DL32" s="409">
        <v>0</v>
      </c>
      <c r="DM32" s="409">
        <v>0</v>
      </c>
      <c r="DN32" s="409">
        <v>0</v>
      </c>
      <c r="DO32" s="409">
        <v>-9.7906407925635985E-2</v>
      </c>
      <c r="DP32" s="409">
        <v>-1.4054822281390184E-2</v>
      </c>
      <c r="DQ32" s="409">
        <v>0</v>
      </c>
      <c r="DR32" s="409">
        <v>-0.24507301229598702</v>
      </c>
      <c r="DS32" s="409"/>
      <c r="DT32" s="409"/>
      <c r="DU32" s="409"/>
      <c r="DV32" s="409">
        <v>39.615838408729601</v>
      </c>
      <c r="DW32" s="409">
        <v>0</v>
      </c>
      <c r="DX32" s="409">
        <v>0</v>
      </c>
      <c r="DY32" s="409">
        <v>-6.4440000000000026</v>
      </c>
      <c r="DZ32" s="409">
        <v>2.6000000000000014</v>
      </c>
      <c r="EA32" s="409">
        <v>0</v>
      </c>
      <c r="EB32" s="409">
        <v>0</v>
      </c>
      <c r="EC32" s="409">
        <v>-6.2970556383244016</v>
      </c>
      <c r="ED32" s="409">
        <v>0</v>
      </c>
      <c r="EE32" s="409">
        <v>0</v>
      </c>
      <c r="EF32" s="409">
        <v>0</v>
      </c>
      <c r="EG32" s="409">
        <v>0</v>
      </c>
      <c r="EH32" s="409">
        <v>0</v>
      </c>
      <c r="EI32" s="409">
        <v>0</v>
      </c>
      <c r="EJ32" s="409">
        <v>0</v>
      </c>
      <c r="EK32" s="409">
        <v>0</v>
      </c>
      <c r="EL32" s="409">
        <v>0</v>
      </c>
      <c r="EM32" s="409">
        <v>0</v>
      </c>
      <c r="EN32" s="409">
        <v>0</v>
      </c>
      <c r="EO32" s="409">
        <v>0</v>
      </c>
      <c r="EP32" s="409">
        <v>0</v>
      </c>
      <c r="EQ32" s="409">
        <v>0</v>
      </c>
      <c r="ER32" s="409">
        <v>0</v>
      </c>
      <c r="ES32" s="409">
        <v>0</v>
      </c>
      <c r="ET32" s="409">
        <v>0</v>
      </c>
      <c r="EU32" s="409">
        <v>0</v>
      </c>
      <c r="EV32" s="409">
        <v>210</v>
      </c>
      <c r="EW32" s="409">
        <v>0</v>
      </c>
      <c r="EX32" s="409">
        <v>0</v>
      </c>
      <c r="EY32" s="409">
        <v>0</v>
      </c>
      <c r="EZ32" s="409"/>
      <c r="FA32" s="409">
        <v>0</v>
      </c>
      <c r="FB32" s="409"/>
      <c r="FC32" s="409"/>
      <c r="FD32" s="409"/>
      <c r="FE32" s="409"/>
      <c r="FF32" s="409">
        <v>0</v>
      </c>
      <c r="FG32" s="409">
        <v>0</v>
      </c>
      <c r="FH32" s="409">
        <v>0</v>
      </c>
      <c r="FI32" s="409">
        <v>0</v>
      </c>
    </row>
    <row r="33" spans="1:165" customFormat="1">
      <c r="A33" s="409">
        <v>31</v>
      </c>
      <c r="B33" s="409" t="s">
        <v>1035</v>
      </c>
      <c r="C33" s="409" t="s">
        <v>2241</v>
      </c>
      <c r="D33" s="409" t="s">
        <v>1989</v>
      </c>
      <c r="E33" s="409" t="s">
        <v>968</v>
      </c>
      <c r="F33" s="409" t="s">
        <v>2243</v>
      </c>
      <c r="G33" s="409" t="s">
        <v>1323</v>
      </c>
      <c r="H33" s="409" t="s">
        <v>1323</v>
      </c>
      <c r="I33" s="409" t="s">
        <v>1323</v>
      </c>
      <c r="J33" s="409" t="s">
        <v>2242</v>
      </c>
      <c r="K33" s="838">
        <v>44348</v>
      </c>
      <c r="L33" s="409">
        <v>0</v>
      </c>
      <c r="M33" s="409">
        <v>0</v>
      </c>
      <c r="N33" s="409">
        <v>0.3</v>
      </c>
      <c r="O33" s="409">
        <v>0.3</v>
      </c>
      <c r="P33" s="409">
        <v>0.3</v>
      </c>
      <c r="Q33" s="409">
        <v>0.3</v>
      </c>
      <c r="R33" s="409"/>
      <c r="S33" s="409">
        <v>288.91000000000003</v>
      </c>
      <c r="T33" s="409">
        <v>273.74</v>
      </c>
      <c r="U33" s="409"/>
      <c r="V33" s="409">
        <v>168.79500000000002</v>
      </c>
      <c r="W33" s="409">
        <v>168.79500000000002</v>
      </c>
      <c r="X33" s="409">
        <v>164.298</v>
      </c>
      <c r="Y33" s="409">
        <v>0</v>
      </c>
      <c r="Z33" s="409">
        <v>0</v>
      </c>
      <c r="AA33" s="409">
        <v>0</v>
      </c>
      <c r="AB33" s="409">
        <v>0</v>
      </c>
      <c r="AC33" s="409">
        <v>0</v>
      </c>
      <c r="AD33" s="409">
        <v>25.826555309577866</v>
      </c>
      <c r="AE33" s="409">
        <v>59.423757613094395</v>
      </c>
      <c r="AF33" s="409">
        <v>82.121777906924095</v>
      </c>
      <c r="AG33" s="409">
        <v>0</v>
      </c>
      <c r="AH33" s="409">
        <v>0</v>
      </c>
      <c r="AI33" s="409">
        <v>0</v>
      </c>
      <c r="AJ33" s="409">
        <v>0</v>
      </c>
      <c r="AK33" s="409">
        <v>0</v>
      </c>
      <c r="AL33" s="409">
        <v>0</v>
      </c>
      <c r="AM33" s="409"/>
      <c r="AN33" s="409">
        <v>0.31952741134821</v>
      </c>
      <c r="AO33" s="409">
        <v>0</v>
      </c>
      <c r="AP33" s="409">
        <v>0</v>
      </c>
      <c r="AQ33" s="409">
        <v>0</v>
      </c>
      <c r="AR33" s="409">
        <v>0</v>
      </c>
      <c r="AS33" s="409">
        <v>0</v>
      </c>
      <c r="AT33" s="409">
        <v>0</v>
      </c>
      <c r="AU33" s="409">
        <v>0</v>
      </c>
      <c r="AV33" s="409">
        <v>0</v>
      </c>
      <c r="AW33" s="409">
        <v>0</v>
      </c>
      <c r="AX33" s="409">
        <v>0</v>
      </c>
      <c r="AY33" s="409">
        <v>0</v>
      </c>
      <c r="AZ33" s="409">
        <v>0</v>
      </c>
      <c r="BA33" s="409"/>
      <c r="BB33" s="409">
        <v>0</v>
      </c>
      <c r="BC33" s="409">
        <v>0</v>
      </c>
      <c r="BD33" s="409">
        <v>0</v>
      </c>
      <c r="BE33" s="409">
        <v>0</v>
      </c>
      <c r="BF33" s="409">
        <v>0</v>
      </c>
      <c r="BG33" s="409">
        <v>1.1035278714341521</v>
      </c>
      <c r="BH33" s="409">
        <v>0</v>
      </c>
      <c r="BI33" s="409">
        <v>0.41</v>
      </c>
      <c r="BJ33" s="409">
        <v>1.96</v>
      </c>
      <c r="BK33" s="409">
        <v>8.44</v>
      </c>
      <c r="BL33" s="409">
        <v>1</v>
      </c>
      <c r="BM33" s="409"/>
      <c r="BN33" s="409"/>
      <c r="BO33" s="409"/>
      <c r="BP33" s="409"/>
      <c r="BQ33" s="409"/>
      <c r="BR33" s="409"/>
      <c r="BS33" s="409"/>
      <c r="BT33" s="409">
        <v>106.794</v>
      </c>
      <c r="BU33" s="409"/>
      <c r="BV33" s="409">
        <v>83.225305778358248</v>
      </c>
      <c r="BW33" s="409"/>
      <c r="BX33" s="409"/>
      <c r="BY33" s="409"/>
      <c r="BZ33" s="409"/>
      <c r="CA33" s="409"/>
      <c r="CB33" s="409"/>
      <c r="CC33" s="409"/>
      <c r="CD33" s="409"/>
      <c r="CE33" s="409"/>
      <c r="CF33" s="409"/>
      <c r="CG33" s="409"/>
      <c r="CH33" s="409"/>
      <c r="CI33" s="409">
        <v>57.503999999999991</v>
      </c>
      <c r="CJ33" s="409">
        <v>-1.6050000000000111</v>
      </c>
      <c r="CK33" s="409"/>
      <c r="CL33" s="409"/>
      <c r="CM33" s="409"/>
      <c r="CN33" s="409"/>
      <c r="CO33" s="409">
        <v>-8.397000000000002</v>
      </c>
      <c r="CP33" s="409">
        <v>3.9</v>
      </c>
      <c r="CQ33" s="409">
        <v>30</v>
      </c>
      <c r="CR33" s="409">
        <v>4.9497422794861308</v>
      </c>
      <c r="CS33" s="409">
        <v>0</v>
      </c>
      <c r="CT33" s="409">
        <v>0</v>
      </c>
      <c r="CU33" s="409">
        <v>0</v>
      </c>
      <c r="CV33" s="409">
        <v>0</v>
      </c>
      <c r="CW33" s="409">
        <v>0</v>
      </c>
      <c r="CX33" s="409">
        <v>0</v>
      </c>
      <c r="CY33" s="409">
        <v>0</v>
      </c>
      <c r="CZ33" s="409">
        <v>0.88529408092629325</v>
      </c>
      <c r="DA33" s="409">
        <v>0</v>
      </c>
      <c r="DB33" s="409">
        <v>0</v>
      </c>
      <c r="DC33" s="409">
        <v>4.4238772201770047</v>
      </c>
      <c r="DD33" s="409">
        <v>0</v>
      </c>
      <c r="DE33" s="409">
        <v>0</v>
      </c>
      <c r="DF33" s="409">
        <v>0</v>
      </c>
      <c r="DG33" s="409">
        <v>5.9446737962750795E-2</v>
      </c>
      <c r="DH33" s="409">
        <v>0</v>
      </c>
      <c r="DI33" s="409">
        <v>0</v>
      </c>
      <c r="DJ33" s="409"/>
      <c r="DK33" s="409">
        <v>0</v>
      </c>
      <c r="DL33" s="409">
        <v>0</v>
      </c>
      <c r="DM33" s="409">
        <v>0</v>
      </c>
      <c r="DN33" s="409">
        <v>0</v>
      </c>
      <c r="DO33" s="409">
        <v>0</v>
      </c>
      <c r="DP33" s="409">
        <v>-2.1082233422085317E-2</v>
      </c>
      <c r="DQ33" s="409">
        <v>0</v>
      </c>
      <c r="DR33" s="409">
        <v>-0.39779352615783092</v>
      </c>
      <c r="DS33" s="409"/>
      <c r="DT33" s="409"/>
      <c r="DU33" s="409"/>
      <c r="DV33" s="409">
        <v>59.423757613094395</v>
      </c>
      <c r="DW33" s="409">
        <v>0</v>
      </c>
      <c r="DX33" s="409">
        <v>0</v>
      </c>
      <c r="DY33" s="409">
        <v>-8.3970000000000056</v>
      </c>
      <c r="DZ33" s="409">
        <v>3.9000000000000057</v>
      </c>
      <c r="EA33" s="409">
        <v>0</v>
      </c>
      <c r="EB33" s="409">
        <v>0</v>
      </c>
      <c r="EC33" s="409">
        <v>-9.4455834574865989</v>
      </c>
      <c r="ED33" s="409">
        <v>0</v>
      </c>
      <c r="EE33" s="409">
        <v>0</v>
      </c>
      <c r="EF33" s="409">
        <v>0</v>
      </c>
      <c r="EG33" s="409">
        <v>0</v>
      </c>
      <c r="EH33" s="409">
        <v>0</v>
      </c>
      <c r="EI33" s="409">
        <v>0</v>
      </c>
      <c r="EJ33" s="409">
        <v>0</v>
      </c>
      <c r="EK33" s="409">
        <v>0</v>
      </c>
      <c r="EL33" s="409">
        <v>0</v>
      </c>
      <c r="EM33" s="409">
        <v>0</v>
      </c>
      <c r="EN33" s="409">
        <v>0</v>
      </c>
      <c r="EO33" s="409">
        <v>0</v>
      </c>
      <c r="EP33" s="409">
        <v>0</v>
      </c>
      <c r="EQ33" s="409">
        <v>0</v>
      </c>
      <c r="ER33" s="409">
        <v>0</v>
      </c>
      <c r="ES33" s="409">
        <v>0</v>
      </c>
      <c r="ET33" s="409">
        <v>0</v>
      </c>
      <c r="EU33" s="409">
        <v>0</v>
      </c>
      <c r="EV33" s="409">
        <v>210</v>
      </c>
      <c r="EW33" s="409">
        <v>0</v>
      </c>
      <c r="EX33" s="409">
        <v>0</v>
      </c>
      <c r="EY33" s="409">
        <v>0</v>
      </c>
      <c r="EZ33" s="409"/>
      <c r="FA33" s="409">
        <v>0</v>
      </c>
      <c r="FB33" s="409"/>
      <c r="FC33" s="409"/>
      <c r="FD33" s="409"/>
      <c r="FE33" s="409"/>
      <c r="FF33" s="409">
        <v>0</v>
      </c>
      <c r="FG33" s="409">
        <v>0</v>
      </c>
      <c r="FH33" s="409">
        <v>0</v>
      </c>
      <c r="FI33" s="409">
        <v>0</v>
      </c>
    </row>
    <row r="34" spans="1:165" customFormat="1">
      <c r="A34" s="409">
        <v>32</v>
      </c>
      <c r="B34" s="409" t="s">
        <v>1035</v>
      </c>
      <c r="C34" s="409" t="s">
        <v>2241</v>
      </c>
      <c r="D34" s="409" t="s">
        <v>1989</v>
      </c>
      <c r="E34" s="409" t="s">
        <v>968</v>
      </c>
      <c r="F34" s="409" t="s">
        <v>2244</v>
      </c>
      <c r="G34" s="409" t="s">
        <v>1323</v>
      </c>
      <c r="H34" s="409" t="s">
        <v>1323</v>
      </c>
      <c r="I34" s="409" t="s">
        <v>1323</v>
      </c>
      <c r="J34" s="409" t="s">
        <v>2242</v>
      </c>
      <c r="K34" s="838">
        <v>44348</v>
      </c>
      <c r="L34" s="409">
        <v>0</v>
      </c>
      <c r="M34" s="409">
        <v>0</v>
      </c>
      <c r="N34" s="409">
        <v>0.57399999999999995</v>
      </c>
      <c r="O34" s="409">
        <v>0.57399999999999995</v>
      </c>
      <c r="P34" s="409">
        <v>0.57399999999999995</v>
      </c>
      <c r="Q34" s="409">
        <v>0.57399999999999995</v>
      </c>
      <c r="R34" s="409"/>
      <c r="S34" s="409">
        <v>288.91000000000003</v>
      </c>
      <c r="T34" s="409">
        <v>273.74</v>
      </c>
      <c r="U34" s="409"/>
      <c r="V34" s="409">
        <v>322.96109999999999</v>
      </c>
      <c r="W34" s="409">
        <v>322.96109999999999</v>
      </c>
      <c r="X34" s="409">
        <v>314.35683999999998</v>
      </c>
      <c r="Y34" s="409">
        <v>0</v>
      </c>
      <c r="Z34" s="409">
        <v>0</v>
      </c>
      <c r="AA34" s="409">
        <v>0</v>
      </c>
      <c r="AB34" s="409">
        <v>0</v>
      </c>
      <c r="AC34" s="409">
        <v>0</v>
      </c>
      <c r="AD34" s="409">
        <v>49.41480915899232</v>
      </c>
      <c r="AE34" s="409">
        <v>113.69745623305394</v>
      </c>
      <c r="AF34" s="409">
        <v>157.12633506191474</v>
      </c>
      <c r="AG34" s="409">
        <v>0</v>
      </c>
      <c r="AH34" s="409">
        <v>0</v>
      </c>
      <c r="AI34" s="409">
        <v>0</v>
      </c>
      <c r="AJ34" s="409">
        <v>0</v>
      </c>
      <c r="AK34" s="409">
        <v>0</v>
      </c>
      <c r="AL34" s="409">
        <v>0</v>
      </c>
      <c r="AM34" s="409"/>
      <c r="AN34" s="409">
        <v>0.61136244704624176</v>
      </c>
      <c r="AO34" s="409">
        <v>0</v>
      </c>
      <c r="AP34" s="409">
        <v>0</v>
      </c>
      <c r="AQ34" s="409">
        <v>0</v>
      </c>
      <c r="AR34" s="409">
        <v>0</v>
      </c>
      <c r="AS34" s="409">
        <v>0</v>
      </c>
      <c r="AT34" s="409">
        <v>0</v>
      </c>
      <c r="AU34" s="409">
        <v>0</v>
      </c>
      <c r="AV34" s="409">
        <v>0</v>
      </c>
      <c r="AW34" s="409">
        <v>0</v>
      </c>
      <c r="AX34" s="409">
        <v>0</v>
      </c>
      <c r="AY34" s="409">
        <v>0</v>
      </c>
      <c r="AZ34" s="409">
        <v>0</v>
      </c>
      <c r="BA34" s="409"/>
      <c r="BB34" s="409">
        <v>0</v>
      </c>
      <c r="BC34" s="409">
        <v>0</v>
      </c>
      <c r="BD34" s="409">
        <v>0</v>
      </c>
      <c r="BE34" s="409">
        <v>0</v>
      </c>
      <c r="BF34" s="409">
        <v>0</v>
      </c>
      <c r="BG34" s="409">
        <v>2.1114166606773441</v>
      </c>
      <c r="BH34" s="409">
        <v>0</v>
      </c>
      <c r="BI34" s="409">
        <v>1.49</v>
      </c>
      <c r="BJ34" s="409">
        <v>6.86</v>
      </c>
      <c r="BK34" s="409">
        <v>34.369999999999997</v>
      </c>
      <c r="BL34" s="409">
        <v>2</v>
      </c>
      <c r="BM34" s="409"/>
      <c r="BN34" s="409"/>
      <c r="BO34" s="409"/>
      <c r="BP34" s="409"/>
      <c r="BQ34" s="409"/>
      <c r="BR34" s="409"/>
      <c r="BS34" s="409"/>
      <c r="BT34" s="409">
        <v>125.74044000000001</v>
      </c>
      <c r="BU34" s="409"/>
      <c r="BV34" s="409">
        <v>159.23775172259209</v>
      </c>
      <c r="BW34" s="409"/>
      <c r="BX34" s="409"/>
      <c r="BY34" s="409"/>
      <c r="BZ34" s="409"/>
      <c r="CA34" s="409"/>
      <c r="CB34" s="409"/>
      <c r="CC34" s="409"/>
      <c r="CD34" s="409"/>
      <c r="CE34" s="409"/>
      <c r="CF34" s="409"/>
      <c r="CG34" s="409"/>
      <c r="CH34" s="409"/>
      <c r="CI34" s="409">
        <v>187.30199999999999</v>
      </c>
      <c r="CJ34" s="409">
        <v>-6.5046599999999728</v>
      </c>
      <c r="CK34" s="409"/>
      <c r="CL34" s="409"/>
      <c r="CM34" s="409"/>
      <c r="CN34" s="409"/>
      <c r="CO34" s="409">
        <v>-16.066260000000003</v>
      </c>
      <c r="CP34" s="409">
        <v>7.4619999999999997</v>
      </c>
      <c r="CQ34" s="409">
        <v>30</v>
      </c>
      <c r="CR34" s="409">
        <v>9.4705068947501445</v>
      </c>
      <c r="CS34" s="409">
        <v>0</v>
      </c>
      <c r="CT34" s="409">
        <v>0</v>
      </c>
      <c r="CU34" s="409">
        <v>0</v>
      </c>
      <c r="CV34" s="409">
        <v>0</v>
      </c>
      <c r="CW34" s="409">
        <v>0</v>
      </c>
      <c r="CX34" s="409">
        <v>0</v>
      </c>
      <c r="CY34" s="409">
        <v>0</v>
      </c>
      <c r="CZ34" s="409">
        <v>1.6938626748389751</v>
      </c>
      <c r="DA34" s="409">
        <v>0</v>
      </c>
      <c r="DB34" s="409">
        <v>0</v>
      </c>
      <c r="DC34" s="409">
        <v>8.4643517479386787</v>
      </c>
      <c r="DD34" s="409">
        <v>0</v>
      </c>
      <c r="DE34" s="409">
        <v>0</v>
      </c>
      <c r="DF34" s="409">
        <v>0</v>
      </c>
      <c r="DG34" s="409">
        <v>0.11374142530206344</v>
      </c>
      <c r="DH34" s="409">
        <v>0</v>
      </c>
      <c r="DI34" s="409">
        <v>0</v>
      </c>
      <c r="DJ34" s="409"/>
      <c r="DK34" s="409">
        <v>0</v>
      </c>
      <c r="DL34" s="409">
        <v>0</v>
      </c>
      <c r="DM34" s="409">
        <v>0</v>
      </c>
      <c r="DN34" s="409">
        <v>0</v>
      </c>
      <c r="DO34" s="409">
        <v>0</v>
      </c>
      <c r="DP34" s="409">
        <v>-4.0337339947589923E-2</v>
      </c>
      <c r="DQ34" s="409">
        <v>0</v>
      </c>
      <c r="DR34" s="409">
        <v>-0.76111161338198308</v>
      </c>
      <c r="DS34" s="409"/>
      <c r="DT34" s="409"/>
      <c r="DU34" s="409"/>
      <c r="DV34" s="409">
        <v>113.69745623305394</v>
      </c>
      <c r="DW34" s="409">
        <v>0</v>
      </c>
      <c r="DX34" s="409">
        <v>0</v>
      </c>
      <c r="DY34" s="409">
        <v>-16.06626</v>
      </c>
      <c r="DZ34" s="409">
        <v>7.4619999999999891</v>
      </c>
      <c r="EA34" s="409">
        <v>0</v>
      </c>
      <c r="EB34" s="409">
        <v>0</v>
      </c>
      <c r="EC34" s="409">
        <v>-18.072549681991035</v>
      </c>
      <c r="ED34" s="409">
        <v>0</v>
      </c>
      <c r="EE34" s="409">
        <v>0</v>
      </c>
      <c r="EF34" s="409">
        <v>0</v>
      </c>
      <c r="EG34" s="409">
        <v>0</v>
      </c>
      <c r="EH34" s="409">
        <v>0</v>
      </c>
      <c r="EI34" s="409">
        <v>0</v>
      </c>
      <c r="EJ34" s="409">
        <v>0</v>
      </c>
      <c r="EK34" s="409">
        <v>0</v>
      </c>
      <c r="EL34" s="409">
        <v>0</v>
      </c>
      <c r="EM34" s="409">
        <v>0</v>
      </c>
      <c r="EN34" s="409">
        <v>0</v>
      </c>
      <c r="EO34" s="409">
        <v>0</v>
      </c>
      <c r="EP34" s="409">
        <v>0</v>
      </c>
      <c r="EQ34" s="409">
        <v>0</v>
      </c>
      <c r="ER34" s="409">
        <v>0</v>
      </c>
      <c r="ES34" s="409">
        <v>0</v>
      </c>
      <c r="ET34" s="409">
        <v>0</v>
      </c>
      <c r="EU34" s="409">
        <v>0</v>
      </c>
      <c r="EV34" s="409">
        <v>210</v>
      </c>
      <c r="EW34" s="409">
        <v>0</v>
      </c>
      <c r="EX34" s="409">
        <v>0</v>
      </c>
      <c r="EY34" s="409">
        <v>0</v>
      </c>
      <c r="EZ34" s="409"/>
      <c r="FA34" s="409">
        <v>0</v>
      </c>
      <c r="FB34" s="409"/>
      <c r="FC34" s="409"/>
      <c r="FD34" s="409"/>
      <c r="FE34" s="409"/>
      <c r="FF34" s="409">
        <v>0</v>
      </c>
      <c r="FG34" s="409">
        <v>0</v>
      </c>
      <c r="FH34" s="409">
        <v>0</v>
      </c>
      <c r="FI34" s="409">
        <v>0</v>
      </c>
    </row>
    <row r="35" spans="1:165" customFormat="1">
      <c r="A35" s="409">
        <v>33</v>
      </c>
      <c r="B35" s="409" t="s">
        <v>1035</v>
      </c>
      <c r="C35" s="409" t="s">
        <v>2241</v>
      </c>
      <c r="D35" s="409" t="s">
        <v>1989</v>
      </c>
      <c r="E35" s="409" t="s">
        <v>968</v>
      </c>
      <c r="F35" s="409" t="s">
        <v>2245</v>
      </c>
      <c r="G35" s="409" t="s">
        <v>1323</v>
      </c>
      <c r="H35" s="409" t="s">
        <v>1323</v>
      </c>
      <c r="I35" s="409" t="s">
        <v>1323</v>
      </c>
      <c r="J35" s="409" t="s">
        <v>2242</v>
      </c>
      <c r="K35" s="838">
        <v>44348</v>
      </c>
      <c r="L35" s="409">
        <v>0</v>
      </c>
      <c r="M35" s="409">
        <v>0</v>
      </c>
      <c r="N35" s="409">
        <v>0.437</v>
      </c>
      <c r="O35" s="409">
        <v>0.437</v>
      </c>
      <c r="P35" s="409">
        <v>0.437</v>
      </c>
      <c r="Q35" s="409">
        <v>0.437</v>
      </c>
      <c r="R35" s="409"/>
      <c r="S35" s="409">
        <v>288.91000000000003</v>
      </c>
      <c r="T35" s="409">
        <v>273.74</v>
      </c>
      <c r="U35" s="409"/>
      <c r="V35" s="409">
        <v>245.87805000000003</v>
      </c>
      <c r="W35" s="409">
        <v>245.87805000000003</v>
      </c>
      <c r="X35" s="409">
        <v>239.32742000000002</v>
      </c>
      <c r="Y35" s="409">
        <v>0</v>
      </c>
      <c r="Z35" s="409">
        <v>0</v>
      </c>
      <c r="AA35" s="409">
        <v>0</v>
      </c>
      <c r="AB35" s="409">
        <v>0</v>
      </c>
      <c r="AC35" s="409">
        <v>0</v>
      </c>
      <c r="AD35" s="409">
        <v>37.620682234285098</v>
      </c>
      <c r="AE35" s="409">
        <v>86.560606923074175</v>
      </c>
      <c r="AF35" s="409">
        <v>119.62405648441943</v>
      </c>
      <c r="AG35" s="409">
        <v>0</v>
      </c>
      <c r="AH35" s="409">
        <v>0</v>
      </c>
      <c r="AI35" s="409">
        <v>0</v>
      </c>
      <c r="AJ35" s="409">
        <v>0</v>
      </c>
      <c r="AK35" s="409">
        <v>0</v>
      </c>
      <c r="AL35" s="409">
        <v>0</v>
      </c>
      <c r="AM35" s="409"/>
      <c r="AN35" s="409">
        <v>0.46544492919722591</v>
      </c>
      <c r="AO35" s="409">
        <v>0</v>
      </c>
      <c r="AP35" s="409">
        <v>0</v>
      </c>
      <c r="AQ35" s="409">
        <v>0</v>
      </c>
      <c r="AR35" s="409">
        <v>0</v>
      </c>
      <c r="AS35" s="409">
        <v>0</v>
      </c>
      <c r="AT35" s="409">
        <v>0</v>
      </c>
      <c r="AU35" s="409">
        <v>0</v>
      </c>
      <c r="AV35" s="409">
        <v>0</v>
      </c>
      <c r="AW35" s="409">
        <v>0</v>
      </c>
      <c r="AX35" s="409">
        <v>0</v>
      </c>
      <c r="AY35" s="409">
        <v>0</v>
      </c>
      <c r="AZ35" s="409">
        <v>0</v>
      </c>
      <c r="BA35" s="409"/>
      <c r="BB35" s="409">
        <v>0</v>
      </c>
      <c r="BC35" s="409">
        <v>0</v>
      </c>
      <c r="BD35" s="409">
        <v>0</v>
      </c>
      <c r="BE35" s="409">
        <v>0</v>
      </c>
      <c r="BF35" s="409">
        <v>0</v>
      </c>
      <c r="BG35" s="409">
        <v>1.6074722660557481</v>
      </c>
      <c r="BH35" s="409">
        <v>0</v>
      </c>
      <c r="BI35" s="409">
        <v>2.02</v>
      </c>
      <c r="BJ35" s="409">
        <v>9.43</v>
      </c>
      <c r="BK35" s="409">
        <v>59.3</v>
      </c>
      <c r="BL35" s="409">
        <v>6</v>
      </c>
      <c r="BM35" s="409"/>
      <c r="BN35" s="409"/>
      <c r="BO35" s="409"/>
      <c r="BP35" s="409"/>
      <c r="BQ35" s="409"/>
      <c r="BR35" s="409"/>
      <c r="BS35" s="409"/>
      <c r="BT35" s="409">
        <v>23.930120000000009</v>
      </c>
      <c r="BU35" s="409"/>
      <c r="BV35" s="409">
        <v>121.23152875047518</v>
      </c>
      <c r="BW35" s="409"/>
      <c r="BX35" s="409"/>
      <c r="BY35" s="409"/>
      <c r="BZ35" s="409"/>
      <c r="CA35" s="409"/>
      <c r="CB35" s="409"/>
      <c r="CC35" s="409"/>
      <c r="CD35" s="409"/>
      <c r="CE35" s="409"/>
      <c r="CF35" s="409"/>
      <c r="CG35" s="409"/>
      <c r="CH35" s="409"/>
      <c r="CI35" s="409">
        <v>216.876</v>
      </c>
      <c r="CJ35" s="409">
        <v>-4.4464299999999923</v>
      </c>
      <c r="CK35" s="409"/>
      <c r="CL35" s="409"/>
      <c r="CM35" s="409"/>
      <c r="CN35" s="409"/>
      <c r="CO35" s="409">
        <v>-12.231630000000004</v>
      </c>
      <c r="CP35" s="409">
        <v>5.681</v>
      </c>
      <c r="CQ35" s="409">
        <v>30</v>
      </c>
      <c r="CR35" s="409">
        <v>7.2101245871181163</v>
      </c>
      <c r="CS35" s="409">
        <v>0</v>
      </c>
      <c r="CT35" s="409">
        <v>0</v>
      </c>
      <c r="CU35" s="409">
        <v>0</v>
      </c>
      <c r="CV35" s="409">
        <v>0</v>
      </c>
      <c r="CW35" s="409">
        <v>0</v>
      </c>
      <c r="CX35" s="409">
        <v>0</v>
      </c>
      <c r="CY35" s="409">
        <v>0</v>
      </c>
      <c r="CZ35" s="409">
        <v>1.2895783778826271</v>
      </c>
      <c r="DA35" s="409">
        <v>0</v>
      </c>
      <c r="DB35" s="409">
        <v>0</v>
      </c>
      <c r="DC35" s="409">
        <v>6.4441144840578346</v>
      </c>
      <c r="DD35" s="409">
        <v>0</v>
      </c>
      <c r="DE35" s="409">
        <v>0</v>
      </c>
      <c r="DF35" s="409">
        <v>0</v>
      </c>
      <c r="DG35" s="409">
        <v>8.6594081632407338E-2</v>
      </c>
      <c r="DH35" s="409">
        <v>0</v>
      </c>
      <c r="DI35" s="409">
        <v>0</v>
      </c>
      <c r="DJ35" s="409"/>
      <c r="DK35" s="409">
        <v>0</v>
      </c>
      <c r="DL35" s="409">
        <v>0</v>
      </c>
      <c r="DM35" s="409">
        <v>0</v>
      </c>
      <c r="DN35" s="409">
        <v>0</v>
      </c>
      <c r="DO35" s="409">
        <v>0</v>
      </c>
      <c r="DP35" s="409">
        <v>-3.0709786684837592E-2</v>
      </c>
      <c r="DQ35" s="409">
        <v>0</v>
      </c>
      <c r="DR35" s="409">
        <v>-0.579452569769907</v>
      </c>
      <c r="DS35" s="409"/>
      <c r="DT35" s="409"/>
      <c r="DU35" s="409"/>
      <c r="DV35" s="409">
        <v>86.560606923074175</v>
      </c>
      <c r="DW35" s="409">
        <v>0</v>
      </c>
      <c r="DX35" s="409">
        <v>0</v>
      </c>
      <c r="DY35" s="409">
        <v>-12.23163000000001</v>
      </c>
      <c r="DZ35" s="409">
        <v>5.6809999999999974</v>
      </c>
      <c r="EA35" s="409">
        <v>0</v>
      </c>
      <c r="EB35" s="409">
        <v>0</v>
      </c>
      <c r="EC35" s="409">
        <v>-13.75906656973882</v>
      </c>
      <c r="ED35" s="409">
        <v>0</v>
      </c>
      <c r="EE35" s="409">
        <v>0</v>
      </c>
      <c r="EF35" s="409">
        <v>0</v>
      </c>
      <c r="EG35" s="409">
        <v>0</v>
      </c>
      <c r="EH35" s="409">
        <v>0</v>
      </c>
      <c r="EI35" s="409">
        <v>0</v>
      </c>
      <c r="EJ35" s="409">
        <v>0</v>
      </c>
      <c r="EK35" s="409">
        <v>0</v>
      </c>
      <c r="EL35" s="409">
        <v>0</v>
      </c>
      <c r="EM35" s="409">
        <v>0</v>
      </c>
      <c r="EN35" s="409">
        <v>0</v>
      </c>
      <c r="EO35" s="409">
        <v>0</v>
      </c>
      <c r="EP35" s="409">
        <v>0</v>
      </c>
      <c r="EQ35" s="409">
        <v>0</v>
      </c>
      <c r="ER35" s="409">
        <v>0</v>
      </c>
      <c r="ES35" s="409">
        <v>0</v>
      </c>
      <c r="ET35" s="409">
        <v>0</v>
      </c>
      <c r="EU35" s="409">
        <v>0</v>
      </c>
      <c r="EV35" s="409">
        <v>210</v>
      </c>
      <c r="EW35" s="409">
        <v>0</v>
      </c>
      <c r="EX35" s="409">
        <v>0</v>
      </c>
      <c r="EY35" s="409">
        <v>0</v>
      </c>
      <c r="EZ35" s="409"/>
      <c r="FA35" s="409">
        <v>0</v>
      </c>
      <c r="FB35" s="409"/>
      <c r="FC35" s="409"/>
      <c r="FD35" s="409"/>
      <c r="FE35" s="409"/>
      <c r="FF35" s="409">
        <v>0</v>
      </c>
      <c r="FG35" s="409">
        <v>0</v>
      </c>
      <c r="FH35" s="409">
        <v>0</v>
      </c>
      <c r="FI35" s="409">
        <v>0</v>
      </c>
    </row>
    <row r="36" spans="1:165" customFormat="1">
      <c r="A36" s="409">
        <v>34</v>
      </c>
      <c r="B36" s="409" t="s">
        <v>1035</v>
      </c>
      <c r="C36" s="409" t="s">
        <v>2241</v>
      </c>
      <c r="D36" s="409" t="s">
        <v>1989</v>
      </c>
      <c r="E36" s="409" t="s">
        <v>968</v>
      </c>
      <c r="F36" s="409" t="s">
        <v>2258</v>
      </c>
      <c r="G36" s="409" t="s">
        <v>1323</v>
      </c>
      <c r="H36" s="409" t="s">
        <v>1323</v>
      </c>
      <c r="I36" s="409" t="s">
        <v>1323</v>
      </c>
      <c r="J36" s="409" t="s">
        <v>2242</v>
      </c>
      <c r="K36" s="838">
        <v>44348</v>
      </c>
      <c r="L36" s="409">
        <v>0</v>
      </c>
      <c r="M36" s="409">
        <v>0</v>
      </c>
      <c r="N36" s="409">
        <v>0.02</v>
      </c>
      <c r="O36" s="409">
        <v>0.02</v>
      </c>
      <c r="P36" s="409">
        <v>0.02</v>
      </c>
      <c r="Q36" s="409">
        <v>0.02</v>
      </c>
      <c r="R36" s="409"/>
      <c r="S36" s="409">
        <v>288.91000000000003</v>
      </c>
      <c r="T36" s="409">
        <v>273.74</v>
      </c>
      <c r="U36" s="409"/>
      <c r="V36" s="409">
        <v>11.253</v>
      </c>
      <c r="W36" s="409">
        <v>11.253</v>
      </c>
      <c r="X36" s="409">
        <v>10.953200000000001</v>
      </c>
      <c r="Y36" s="409">
        <v>0</v>
      </c>
      <c r="Z36" s="409">
        <v>0</v>
      </c>
      <c r="AA36" s="409">
        <v>0</v>
      </c>
      <c r="AB36" s="409">
        <v>0</v>
      </c>
      <c r="AC36" s="409">
        <v>0</v>
      </c>
      <c r="AD36" s="409">
        <v>1.7217703539718578</v>
      </c>
      <c r="AE36" s="409">
        <v>3.9615838408729598</v>
      </c>
      <c r="AF36" s="409">
        <v>5.4747851937949399</v>
      </c>
      <c r="AG36" s="409">
        <v>0</v>
      </c>
      <c r="AH36" s="409">
        <v>0</v>
      </c>
      <c r="AI36" s="409">
        <v>0</v>
      </c>
      <c r="AJ36" s="409">
        <v>0</v>
      </c>
      <c r="AK36" s="409">
        <v>0</v>
      </c>
      <c r="AL36" s="409">
        <v>0</v>
      </c>
      <c r="AM36" s="409"/>
      <c r="AN36" s="409">
        <v>2.1301827423214001E-2</v>
      </c>
      <c r="AO36" s="409">
        <v>0</v>
      </c>
      <c r="AP36" s="409">
        <v>0</v>
      </c>
      <c r="AQ36" s="409">
        <v>0</v>
      </c>
      <c r="AR36" s="409">
        <v>0</v>
      </c>
      <c r="AS36" s="409">
        <v>0</v>
      </c>
      <c r="AT36" s="409">
        <v>0</v>
      </c>
      <c r="AU36" s="409">
        <v>0</v>
      </c>
      <c r="AV36" s="409">
        <v>0</v>
      </c>
      <c r="AW36" s="409">
        <v>0</v>
      </c>
      <c r="AX36" s="409">
        <v>0</v>
      </c>
      <c r="AY36" s="409">
        <v>0</v>
      </c>
      <c r="AZ36" s="409">
        <v>0</v>
      </c>
      <c r="BA36" s="409"/>
      <c r="BB36" s="409">
        <v>0</v>
      </c>
      <c r="BC36" s="409">
        <v>0</v>
      </c>
      <c r="BD36" s="409">
        <v>0</v>
      </c>
      <c r="BE36" s="409">
        <v>0</v>
      </c>
      <c r="BF36" s="409">
        <v>0</v>
      </c>
      <c r="BG36" s="409">
        <v>7.3568524762276807E-2</v>
      </c>
      <c r="BH36" s="409">
        <v>0</v>
      </c>
      <c r="BI36" s="409">
        <v>0.17</v>
      </c>
      <c r="BJ36" s="409">
        <v>0.83</v>
      </c>
      <c r="BK36" s="409">
        <v>6.85</v>
      </c>
      <c r="BL36" s="409">
        <v>1</v>
      </c>
      <c r="BM36" s="409"/>
      <c r="BN36" s="409"/>
      <c r="BO36" s="409"/>
      <c r="BP36" s="409"/>
      <c r="BQ36" s="409"/>
      <c r="BR36" s="409"/>
      <c r="BS36" s="409"/>
      <c r="BT36" s="409"/>
      <c r="BU36" s="409"/>
      <c r="BV36" s="409">
        <v>5.5483537185572169</v>
      </c>
      <c r="BW36" s="409"/>
      <c r="BX36" s="409"/>
      <c r="BY36" s="409"/>
      <c r="BZ36" s="409"/>
      <c r="CA36" s="409"/>
      <c r="CB36" s="409"/>
      <c r="CC36" s="409"/>
      <c r="CD36" s="409"/>
      <c r="CE36" s="409"/>
      <c r="CF36" s="409"/>
      <c r="CG36" s="409"/>
      <c r="CH36" s="409"/>
      <c r="CI36" s="409">
        <v>10.953200000000001</v>
      </c>
      <c r="CJ36" s="409">
        <v>-0.32979999999999876</v>
      </c>
      <c r="CK36" s="409"/>
      <c r="CL36" s="409"/>
      <c r="CM36" s="409"/>
      <c r="CN36" s="409"/>
      <c r="CO36" s="409">
        <v>-0.55980000000000019</v>
      </c>
      <c r="CP36" s="409">
        <v>0.26</v>
      </c>
      <c r="CQ36" s="409">
        <v>30</v>
      </c>
      <c r="CR36" s="409">
        <v>0.3299828186324083</v>
      </c>
      <c r="CS36" s="409">
        <v>0</v>
      </c>
      <c r="CT36" s="409">
        <v>0</v>
      </c>
      <c r="CU36" s="409">
        <v>0</v>
      </c>
      <c r="CV36" s="409">
        <v>0</v>
      </c>
      <c r="CW36" s="409">
        <v>0</v>
      </c>
      <c r="CX36" s="409">
        <v>0</v>
      </c>
      <c r="CY36" s="409">
        <v>0</v>
      </c>
      <c r="CZ36" s="409">
        <v>5.9019605395086217E-2</v>
      </c>
      <c r="DA36" s="409">
        <v>0</v>
      </c>
      <c r="DB36" s="409">
        <v>0</v>
      </c>
      <c r="DC36" s="409">
        <v>0.29492514801180025</v>
      </c>
      <c r="DD36" s="409">
        <v>0</v>
      </c>
      <c r="DE36" s="409">
        <v>0</v>
      </c>
      <c r="DF36" s="409">
        <v>0</v>
      </c>
      <c r="DG36" s="409">
        <v>3.9631158641833947E-3</v>
      </c>
      <c r="DH36" s="409">
        <v>0</v>
      </c>
      <c r="DI36" s="409">
        <v>0</v>
      </c>
      <c r="DJ36" s="409"/>
      <c r="DK36" s="409">
        <v>0</v>
      </c>
      <c r="DL36" s="409">
        <v>0</v>
      </c>
      <c r="DM36" s="409">
        <v>0</v>
      </c>
      <c r="DN36" s="409">
        <v>0</v>
      </c>
      <c r="DO36" s="409">
        <v>0</v>
      </c>
      <c r="DP36" s="409">
        <v>-1.4054822281390211E-3</v>
      </c>
      <c r="DQ36" s="409">
        <v>0</v>
      </c>
      <c r="DR36" s="409">
        <v>-2.6519568410522054E-2</v>
      </c>
      <c r="DS36" s="409"/>
      <c r="DT36" s="409"/>
      <c r="DU36" s="409"/>
      <c r="DV36" s="409">
        <v>3.9615838408729598</v>
      </c>
      <c r="DW36" s="409">
        <v>0</v>
      </c>
      <c r="DX36" s="409">
        <v>0</v>
      </c>
      <c r="DY36" s="409">
        <v>-0.55980000000000008</v>
      </c>
      <c r="DZ36" s="409">
        <v>0.25999999999999979</v>
      </c>
      <c r="EA36" s="409">
        <v>0</v>
      </c>
      <c r="EB36" s="409">
        <v>0</v>
      </c>
      <c r="EC36" s="409">
        <v>-0.62970556383243981</v>
      </c>
      <c r="ED36" s="409">
        <v>0</v>
      </c>
      <c r="EE36" s="409">
        <v>0</v>
      </c>
      <c r="EF36" s="409">
        <v>0</v>
      </c>
      <c r="EG36" s="409">
        <v>0</v>
      </c>
      <c r="EH36" s="409">
        <v>0</v>
      </c>
      <c r="EI36" s="409">
        <v>0</v>
      </c>
      <c r="EJ36" s="409">
        <v>0</v>
      </c>
      <c r="EK36" s="409">
        <v>0</v>
      </c>
      <c r="EL36" s="409">
        <v>0</v>
      </c>
      <c r="EM36" s="409">
        <v>0</v>
      </c>
      <c r="EN36" s="409">
        <v>0</v>
      </c>
      <c r="EO36" s="409">
        <v>0</v>
      </c>
      <c r="EP36" s="409">
        <v>0</v>
      </c>
      <c r="EQ36" s="409">
        <v>0</v>
      </c>
      <c r="ER36" s="409">
        <v>0</v>
      </c>
      <c r="ES36" s="409">
        <v>0</v>
      </c>
      <c r="ET36" s="409">
        <v>0</v>
      </c>
      <c r="EU36" s="409">
        <v>0</v>
      </c>
      <c r="EV36" s="409">
        <v>210</v>
      </c>
      <c r="EW36" s="409">
        <v>0</v>
      </c>
      <c r="EX36" s="409">
        <v>0</v>
      </c>
      <c r="EY36" s="409">
        <v>0</v>
      </c>
      <c r="EZ36" s="409"/>
      <c r="FA36" s="409">
        <v>0</v>
      </c>
      <c r="FB36" s="409"/>
      <c r="FC36" s="409"/>
      <c r="FD36" s="409"/>
      <c r="FE36" s="409"/>
      <c r="FF36" s="409">
        <v>0</v>
      </c>
      <c r="FG36" s="409">
        <v>0</v>
      </c>
      <c r="FH36" s="409">
        <v>0</v>
      </c>
      <c r="FI36" s="409">
        <v>0</v>
      </c>
    </row>
    <row r="37" spans="1:165" customFormat="1">
      <c r="A37" s="409">
        <v>35</v>
      </c>
      <c r="B37" s="409" t="s">
        <v>1035</v>
      </c>
      <c r="C37" s="409" t="s">
        <v>2241</v>
      </c>
      <c r="D37" s="409" t="s">
        <v>1992</v>
      </c>
      <c r="E37" s="409" t="s">
        <v>969</v>
      </c>
      <c r="F37" s="409" t="s">
        <v>1323</v>
      </c>
      <c r="G37" s="409" t="s">
        <v>1323</v>
      </c>
      <c r="H37" s="409" t="s">
        <v>1323</v>
      </c>
      <c r="I37" s="409" t="s">
        <v>1323</v>
      </c>
      <c r="J37" s="409" t="s">
        <v>2242</v>
      </c>
      <c r="K37" s="838">
        <v>44348</v>
      </c>
      <c r="L37" s="409">
        <v>0</v>
      </c>
      <c r="M37" s="409">
        <v>0</v>
      </c>
      <c r="N37" s="409">
        <v>25.774000000000001</v>
      </c>
      <c r="O37" s="409">
        <v>25.774000000000001</v>
      </c>
      <c r="P37" s="409">
        <v>25.774000000000001</v>
      </c>
      <c r="Q37" s="409">
        <v>25.774000000000001</v>
      </c>
      <c r="R37" s="409"/>
      <c r="S37" s="409">
        <v>358.62</v>
      </c>
      <c r="T37" s="409">
        <v>273.74</v>
      </c>
      <c r="U37" s="409"/>
      <c r="V37" s="409">
        <v>16298.446640000002</v>
      </c>
      <c r="W37" s="409">
        <v>16298.446640000002</v>
      </c>
      <c r="X37" s="409">
        <v>15803.07036</v>
      </c>
      <c r="Y37" s="409">
        <v>0</v>
      </c>
      <c r="Z37" s="409">
        <v>1556.0900997640595</v>
      </c>
      <c r="AA37" s="409">
        <v>0</v>
      </c>
      <c r="AB37" s="409">
        <v>0</v>
      </c>
      <c r="AC37" s="409">
        <v>0</v>
      </c>
      <c r="AD37" s="409">
        <v>2218.8454551635332</v>
      </c>
      <c r="AE37" s="409">
        <v>5105.2930957329836</v>
      </c>
      <c r="AF37" s="409">
        <v>7055.3556792435384</v>
      </c>
      <c r="AG37" s="409">
        <v>0</v>
      </c>
      <c r="AH37" s="409">
        <v>0</v>
      </c>
      <c r="AI37" s="409">
        <v>0</v>
      </c>
      <c r="AJ37" s="409">
        <v>0</v>
      </c>
      <c r="AK37" s="409">
        <v>0</v>
      </c>
      <c r="AL37" s="409">
        <v>240.64020983830832</v>
      </c>
      <c r="AM37" s="409"/>
      <c r="AN37" s="409">
        <v>27.451665000295883</v>
      </c>
      <c r="AO37" s="409">
        <v>0</v>
      </c>
      <c r="AP37" s="409">
        <v>0</v>
      </c>
      <c r="AQ37" s="409">
        <v>0</v>
      </c>
      <c r="AR37" s="409">
        <v>0</v>
      </c>
      <c r="AS37" s="409">
        <v>0</v>
      </c>
      <c r="AT37" s="409">
        <v>0</v>
      </c>
      <c r="AU37" s="409">
        <v>0</v>
      </c>
      <c r="AV37" s="409">
        <v>0</v>
      </c>
      <c r="AW37" s="409">
        <v>0</v>
      </c>
      <c r="AX37" s="409">
        <v>0</v>
      </c>
      <c r="AY37" s="409">
        <v>0</v>
      </c>
      <c r="AZ37" s="409">
        <v>0</v>
      </c>
      <c r="BA37" s="409"/>
      <c r="BB37" s="409">
        <v>0</v>
      </c>
      <c r="BC37" s="409">
        <v>0</v>
      </c>
      <c r="BD37" s="409">
        <v>0</v>
      </c>
      <c r="BE37" s="409">
        <v>0</v>
      </c>
      <c r="BF37" s="409">
        <v>0</v>
      </c>
      <c r="BG37" s="409">
        <v>94.807757861146115</v>
      </c>
      <c r="BH37" s="409">
        <v>0</v>
      </c>
      <c r="BI37" s="409">
        <v>133.97</v>
      </c>
      <c r="BJ37" s="409">
        <v>618.55999999999995</v>
      </c>
      <c r="BK37" s="409">
        <v>3711.24</v>
      </c>
      <c r="BL37" s="409">
        <v>10</v>
      </c>
      <c r="BM37" s="409"/>
      <c r="BN37" s="409"/>
      <c r="BO37" s="409"/>
      <c r="BP37" s="409"/>
      <c r="BQ37" s="409"/>
      <c r="BR37" s="409"/>
      <c r="BS37" s="409"/>
      <c r="BT37" s="409"/>
      <c r="BU37" s="409"/>
      <c r="BV37" s="409">
        <v>7150.1634371046848</v>
      </c>
      <c r="BW37" s="409"/>
      <c r="BX37" s="409"/>
      <c r="BY37" s="409"/>
      <c r="BZ37" s="409"/>
      <c r="CA37" s="409"/>
      <c r="CB37" s="409"/>
      <c r="CC37" s="409"/>
      <c r="CD37" s="409"/>
      <c r="CE37" s="409"/>
      <c r="CF37" s="409"/>
      <c r="CG37" s="409"/>
      <c r="CH37" s="409"/>
      <c r="CI37" s="409">
        <v>15800.6178</v>
      </c>
      <c r="CJ37" s="409">
        <v>-497.8588400000026</v>
      </c>
      <c r="CK37" s="409"/>
      <c r="CL37" s="409"/>
      <c r="CM37" s="409"/>
      <c r="CN37" s="409"/>
      <c r="CO37" s="409">
        <v>-830.43828000000076</v>
      </c>
      <c r="CP37" s="409">
        <v>335.06200000000001</v>
      </c>
      <c r="CQ37" s="409">
        <v>30</v>
      </c>
      <c r="CR37" s="409">
        <v>316.03770113482096</v>
      </c>
      <c r="CS37" s="409">
        <v>0</v>
      </c>
      <c r="CT37" s="409">
        <v>0</v>
      </c>
      <c r="CU37" s="409">
        <v>0</v>
      </c>
      <c r="CV37" s="409">
        <v>0</v>
      </c>
      <c r="CW37" s="409">
        <v>0</v>
      </c>
      <c r="CX37" s="409">
        <v>0</v>
      </c>
      <c r="CY37" s="409">
        <v>0</v>
      </c>
      <c r="CZ37" s="409">
        <v>76.058565472647842</v>
      </c>
      <c r="DA37" s="409">
        <v>0</v>
      </c>
      <c r="DB37" s="409">
        <v>0</v>
      </c>
      <c r="DC37" s="409">
        <v>380.07003824280764</v>
      </c>
      <c r="DD37" s="409">
        <v>0</v>
      </c>
      <c r="DE37" s="409">
        <v>0</v>
      </c>
      <c r="DF37" s="409">
        <v>0</v>
      </c>
      <c r="DG37" s="409">
        <v>5.1072674141731511</v>
      </c>
      <c r="DH37" s="409">
        <v>0</v>
      </c>
      <c r="DI37" s="409">
        <v>-99.187167163444656</v>
      </c>
      <c r="DJ37" s="409"/>
      <c r="DK37" s="409">
        <v>0</v>
      </c>
      <c r="DL37" s="409">
        <v>0</v>
      </c>
      <c r="DM37" s="409">
        <v>0</v>
      </c>
      <c r="DN37" s="409">
        <v>0</v>
      </c>
      <c r="DO37" s="409">
        <v>-12.617198789376715</v>
      </c>
      <c r="DP37" s="409">
        <v>-1.8112449474027557</v>
      </c>
      <c r="DQ37" s="409">
        <v>0</v>
      </c>
      <c r="DR37" s="409">
        <v>-31.582559094583843</v>
      </c>
      <c r="DS37" s="409"/>
      <c r="DT37" s="409"/>
      <c r="DU37" s="409"/>
      <c r="DV37" s="409">
        <v>5105.2930957329836</v>
      </c>
      <c r="DW37" s="409">
        <v>0</v>
      </c>
      <c r="DX37" s="409">
        <v>0</v>
      </c>
      <c r="DY37" s="409">
        <v>-830.43828000000212</v>
      </c>
      <c r="DZ37" s="409">
        <v>335.0619999999999</v>
      </c>
      <c r="EA37" s="409">
        <v>0</v>
      </c>
      <c r="EB37" s="409">
        <v>0</v>
      </c>
      <c r="EC37" s="409">
        <v>-811.50156011086528</v>
      </c>
      <c r="ED37" s="409">
        <v>0</v>
      </c>
      <c r="EE37" s="409">
        <v>0</v>
      </c>
      <c r="EF37" s="409">
        <v>0</v>
      </c>
      <c r="EG37" s="409">
        <v>0</v>
      </c>
      <c r="EH37" s="409">
        <v>0</v>
      </c>
      <c r="EI37" s="409">
        <v>0</v>
      </c>
      <c r="EJ37" s="409">
        <v>0</v>
      </c>
      <c r="EK37" s="409">
        <v>0</v>
      </c>
      <c r="EL37" s="409">
        <v>0</v>
      </c>
      <c r="EM37" s="409">
        <v>0</v>
      </c>
      <c r="EN37" s="409">
        <v>0</v>
      </c>
      <c r="EO37" s="409">
        <v>0</v>
      </c>
      <c r="EP37" s="409">
        <v>0</v>
      </c>
      <c r="EQ37" s="409">
        <v>0</v>
      </c>
      <c r="ER37" s="409">
        <v>0</v>
      </c>
      <c r="ES37" s="409">
        <v>0</v>
      </c>
      <c r="ET37" s="409">
        <v>0</v>
      </c>
      <c r="EU37" s="409">
        <v>0</v>
      </c>
      <c r="EV37" s="409">
        <v>210</v>
      </c>
      <c r="EW37" s="409">
        <v>0</v>
      </c>
      <c r="EX37" s="409">
        <v>0</v>
      </c>
      <c r="EY37" s="409">
        <v>0</v>
      </c>
      <c r="EZ37" s="409"/>
      <c r="FA37" s="409">
        <v>0</v>
      </c>
      <c r="FB37" s="409"/>
      <c r="FC37" s="409"/>
      <c r="FD37" s="409"/>
      <c r="FE37" s="409"/>
      <c r="FF37" s="409">
        <v>0</v>
      </c>
      <c r="FG37" s="409">
        <v>0</v>
      </c>
      <c r="FH37" s="409">
        <v>0</v>
      </c>
      <c r="FI37" s="409">
        <v>0</v>
      </c>
    </row>
    <row r="38" spans="1:165" customFormat="1">
      <c r="A38" s="409">
        <v>36</v>
      </c>
      <c r="B38" s="409" t="s">
        <v>2240</v>
      </c>
      <c r="C38" s="409" t="s">
        <v>2241</v>
      </c>
      <c r="D38" s="409" t="s">
        <v>1992</v>
      </c>
      <c r="E38" s="409" t="s">
        <v>969</v>
      </c>
      <c r="F38" s="409" t="s">
        <v>1323</v>
      </c>
      <c r="G38" s="409" t="s">
        <v>1323</v>
      </c>
      <c r="H38" s="409" t="s">
        <v>1323</v>
      </c>
      <c r="I38" s="409" t="s">
        <v>1323</v>
      </c>
      <c r="J38" s="409" t="s">
        <v>2242</v>
      </c>
      <c r="K38" s="838">
        <v>44348</v>
      </c>
      <c r="L38" s="409">
        <v>0</v>
      </c>
      <c r="M38" s="409">
        <v>0</v>
      </c>
      <c r="N38" s="409">
        <v>0.1</v>
      </c>
      <c r="O38" s="409">
        <v>0.1</v>
      </c>
      <c r="P38" s="409">
        <v>0.1</v>
      </c>
      <c r="Q38" s="409">
        <v>0.1</v>
      </c>
      <c r="R38" s="409"/>
      <c r="S38" s="409">
        <v>358.62</v>
      </c>
      <c r="T38" s="409">
        <v>273.74</v>
      </c>
      <c r="U38" s="409"/>
      <c r="V38" s="409">
        <v>63.236000000000004</v>
      </c>
      <c r="W38" s="409">
        <v>63.236000000000004</v>
      </c>
      <c r="X38" s="409">
        <v>61.314000000000007</v>
      </c>
      <c r="Y38" s="409">
        <v>0</v>
      </c>
      <c r="Z38" s="409">
        <v>6.03744121891852</v>
      </c>
      <c r="AA38" s="409">
        <v>0</v>
      </c>
      <c r="AB38" s="409">
        <v>0</v>
      </c>
      <c r="AC38" s="409">
        <v>0</v>
      </c>
      <c r="AD38" s="409">
        <v>8.6088517698592906</v>
      </c>
      <c r="AE38" s="409">
        <v>19.807919204364801</v>
      </c>
      <c r="AF38" s="409">
        <v>27.373925968974699</v>
      </c>
      <c r="AG38" s="409">
        <v>0</v>
      </c>
      <c r="AH38" s="409">
        <v>0</v>
      </c>
      <c r="AI38" s="409">
        <v>0</v>
      </c>
      <c r="AJ38" s="409">
        <v>0</v>
      </c>
      <c r="AK38" s="409">
        <v>0</v>
      </c>
      <c r="AL38" s="409">
        <v>0.93365488414025111</v>
      </c>
      <c r="AM38" s="409"/>
      <c r="AN38" s="409">
        <v>0.10650913711607</v>
      </c>
      <c r="AO38" s="409">
        <v>0</v>
      </c>
      <c r="AP38" s="409">
        <v>0</v>
      </c>
      <c r="AQ38" s="409">
        <v>0</v>
      </c>
      <c r="AR38" s="409">
        <v>0</v>
      </c>
      <c r="AS38" s="409">
        <v>0</v>
      </c>
      <c r="AT38" s="409">
        <v>0</v>
      </c>
      <c r="AU38" s="409">
        <v>0</v>
      </c>
      <c r="AV38" s="409">
        <v>0</v>
      </c>
      <c r="AW38" s="409">
        <v>0</v>
      </c>
      <c r="AX38" s="409">
        <v>0</v>
      </c>
      <c r="AY38" s="409">
        <v>0</v>
      </c>
      <c r="AZ38" s="409">
        <v>0</v>
      </c>
      <c r="BA38" s="409"/>
      <c r="BB38" s="409">
        <v>0</v>
      </c>
      <c r="BC38" s="409">
        <v>0</v>
      </c>
      <c r="BD38" s="409">
        <v>0</v>
      </c>
      <c r="BE38" s="409">
        <v>0</v>
      </c>
      <c r="BF38" s="409">
        <v>0</v>
      </c>
      <c r="BG38" s="409">
        <v>0.36784262381138405</v>
      </c>
      <c r="BH38" s="409">
        <v>0</v>
      </c>
      <c r="BI38" s="409">
        <v>0.51</v>
      </c>
      <c r="BJ38" s="409">
        <v>2.4</v>
      </c>
      <c r="BK38" s="409">
        <v>217.37</v>
      </c>
      <c r="BL38" s="409">
        <v>1</v>
      </c>
      <c r="BM38" s="409"/>
      <c r="BN38" s="409"/>
      <c r="BO38" s="409"/>
      <c r="BP38" s="409"/>
      <c r="BQ38" s="409"/>
      <c r="BR38" s="409"/>
      <c r="BS38" s="409"/>
      <c r="BT38" s="409"/>
      <c r="BU38" s="409"/>
      <c r="BV38" s="409">
        <v>27.741768592786084</v>
      </c>
      <c r="BW38" s="409"/>
      <c r="BX38" s="409"/>
      <c r="BY38" s="409"/>
      <c r="BZ38" s="409"/>
      <c r="CA38" s="409"/>
      <c r="CB38" s="409"/>
      <c r="CC38" s="409"/>
      <c r="CD38" s="409"/>
      <c r="CE38" s="409"/>
      <c r="CF38" s="409"/>
      <c r="CG38" s="409"/>
      <c r="CH38" s="409"/>
      <c r="CI38" s="409">
        <v>61.314000000000007</v>
      </c>
      <c r="CJ38" s="409">
        <v>-1.9519999999999911</v>
      </c>
      <c r="CK38" s="409"/>
      <c r="CL38" s="409"/>
      <c r="CM38" s="409"/>
      <c r="CN38" s="409"/>
      <c r="CO38" s="409">
        <v>-3.2220000000000031</v>
      </c>
      <c r="CP38" s="409">
        <v>1.3</v>
      </c>
      <c r="CQ38" s="409">
        <v>30</v>
      </c>
      <c r="CR38" s="409">
        <v>1.2261880233367748</v>
      </c>
      <c r="CS38" s="409">
        <v>0</v>
      </c>
      <c r="CT38" s="409">
        <v>0</v>
      </c>
      <c r="CU38" s="409">
        <v>0</v>
      </c>
      <c r="CV38" s="409">
        <v>0</v>
      </c>
      <c r="CW38" s="409">
        <v>0</v>
      </c>
      <c r="CX38" s="409">
        <v>0</v>
      </c>
      <c r="CY38" s="409">
        <v>0</v>
      </c>
      <c r="CZ38" s="409">
        <v>0.29509802697543108</v>
      </c>
      <c r="DA38" s="409">
        <v>0</v>
      </c>
      <c r="DB38" s="409">
        <v>0</v>
      </c>
      <c r="DC38" s="409">
        <v>1.4746257400590004</v>
      </c>
      <c r="DD38" s="409">
        <v>0</v>
      </c>
      <c r="DE38" s="409">
        <v>0</v>
      </c>
      <c r="DF38" s="409">
        <v>0</v>
      </c>
      <c r="DG38" s="409">
        <v>1.9815579320916987E-2</v>
      </c>
      <c r="DH38" s="409">
        <v>0</v>
      </c>
      <c r="DI38" s="409">
        <v>-0.38483420176707028</v>
      </c>
      <c r="DJ38" s="409"/>
      <c r="DK38" s="409">
        <v>0</v>
      </c>
      <c r="DL38" s="409">
        <v>0</v>
      </c>
      <c r="DM38" s="409">
        <v>0</v>
      </c>
      <c r="DN38" s="409">
        <v>0</v>
      </c>
      <c r="DO38" s="409">
        <v>-4.8953203962817993E-2</v>
      </c>
      <c r="DP38" s="409">
        <v>-7.0274111406950918E-3</v>
      </c>
      <c r="DQ38" s="409">
        <v>0</v>
      </c>
      <c r="DR38" s="409">
        <v>-0.12253650614799351</v>
      </c>
      <c r="DS38" s="409"/>
      <c r="DT38" s="409"/>
      <c r="DU38" s="409"/>
      <c r="DV38" s="409">
        <v>19.807919204364801</v>
      </c>
      <c r="DW38" s="409">
        <v>0</v>
      </c>
      <c r="DX38" s="409">
        <v>0</v>
      </c>
      <c r="DY38" s="409">
        <v>-3.2220000000000013</v>
      </c>
      <c r="DZ38" s="409">
        <v>1.3000000000000007</v>
      </c>
      <c r="EA38" s="409">
        <v>0</v>
      </c>
      <c r="EB38" s="409">
        <v>0</v>
      </c>
      <c r="EC38" s="409">
        <v>-3.1485278191622008</v>
      </c>
      <c r="ED38" s="409">
        <v>0</v>
      </c>
      <c r="EE38" s="409">
        <v>0</v>
      </c>
      <c r="EF38" s="409">
        <v>0</v>
      </c>
      <c r="EG38" s="409">
        <v>0</v>
      </c>
      <c r="EH38" s="409">
        <v>0</v>
      </c>
      <c r="EI38" s="409">
        <v>0</v>
      </c>
      <c r="EJ38" s="409">
        <v>0</v>
      </c>
      <c r="EK38" s="409">
        <v>0</v>
      </c>
      <c r="EL38" s="409">
        <v>0</v>
      </c>
      <c r="EM38" s="409">
        <v>0</v>
      </c>
      <c r="EN38" s="409">
        <v>0</v>
      </c>
      <c r="EO38" s="409">
        <v>0</v>
      </c>
      <c r="EP38" s="409">
        <v>0</v>
      </c>
      <c r="EQ38" s="409">
        <v>0</v>
      </c>
      <c r="ER38" s="409">
        <v>0</v>
      </c>
      <c r="ES38" s="409">
        <v>0</v>
      </c>
      <c r="ET38" s="409">
        <v>0</v>
      </c>
      <c r="EU38" s="409">
        <v>0</v>
      </c>
      <c r="EV38" s="409">
        <v>210</v>
      </c>
      <c r="EW38" s="409">
        <v>0</v>
      </c>
      <c r="EX38" s="409">
        <v>0</v>
      </c>
      <c r="EY38" s="409">
        <v>0</v>
      </c>
      <c r="EZ38" s="409"/>
      <c r="FA38" s="409">
        <v>0</v>
      </c>
      <c r="FB38" s="409"/>
      <c r="FC38" s="409"/>
      <c r="FD38" s="409"/>
      <c r="FE38" s="409"/>
      <c r="FF38" s="409">
        <v>0</v>
      </c>
      <c r="FG38" s="409">
        <v>0</v>
      </c>
      <c r="FH38" s="409">
        <v>0</v>
      </c>
      <c r="FI38" s="409">
        <v>0</v>
      </c>
    </row>
    <row r="39" spans="1:165" customFormat="1">
      <c r="A39" s="409">
        <v>37</v>
      </c>
      <c r="B39" s="409" t="s">
        <v>1035</v>
      </c>
      <c r="C39" s="409" t="s">
        <v>2246</v>
      </c>
      <c r="D39" s="409" t="s">
        <v>595</v>
      </c>
      <c r="E39" s="409" t="s">
        <v>969</v>
      </c>
      <c r="F39" s="409" t="s">
        <v>1323</v>
      </c>
      <c r="G39" s="409" t="s">
        <v>1323</v>
      </c>
      <c r="H39" s="409" t="s">
        <v>1323</v>
      </c>
      <c r="I39" s="409" t="s">
        <v>972</v>
      </c>
      <c r="J39" s="409" t="s">
        <v>2242</v>
      </c>
      <c r="K39" s="838">
        <v>44348</v>
      </c>
      <c r="L39" s="409">
        <v>0</v>
      </c>
      <c r="M39" s="409">
        <v>0</v>
      </c>
      <c r="N39" s="409">
        <v>11.669</v>
      </c>
      <c r="O39" s="409">
        <v>11.669</v>
      </c>
      <c r="P39" s="409">
        <v>11.669</v>
      </c>
      <c r="Q39" s="409">
        <v>11.669</v>
      </c>
      <c r="R39" s="409"/>
      <c r="S39" s="409">
        <v>1856.88</v>
      </c>
      <c r="T39" s="409">
        <v>273.74</v>
      </c>
      <c r="U39" s="409"/>
      <c r="V39" s="409">
        <v>24862.20478</v>
      </c>
      <c r="W39" s="409">
        <v>24862.20478</v>
      </c>
      <c r="X39" s="409">
        <v>22781.038629999999</v>
      </c>
      <c r="Y39" s="409">
        <v>0</v>
      </c>
      <c r="Z39" s="409">
        <v>612.92284377697354</v>
      </c>
      <c r="AA39" s="409">
        <v>0</v>
      </c>
      <c r="AB39" s="409">
        <v>0</v>
      </c>
      <c r="AC39" s="409">
        <v>0</v>
      </c>
      <c r="AD39" s="409">
        <v>5718.8820359933625</v>
      </c>
      <c r="AE39" s="409">
        <v>15197.489968087959</v>
      </c>
      <c r="AF39" s="409">
        <v>3194.2634213196575</v>
      </c>
      <c r="AG39" s="409">
        <v>0</v>
      </c>
      <c r="AH39" s="409">
        <v>0</v>
      </c>
      <c r="AI39" s="409">
        <v>0</v>
      </c>
      <c r="AJ39" s="409">
        <v>0</v>
      </c>
      <c r="AK39" s="409">
        <v>0</v>
      </c>
      <c r="AL39" s="409">
        <v>108.9481884303259</v>
      </c>
      <c r="AM39" s="409"/>
      <c r="AN39" s="409">
        <v>10.129717823742924</v>
      </c>
      <c r="AO39" s="409">
        <v>0</v>
      </c>
      <c r="AP39" s="409">
        <v>0</v>
      </c>
      <c r="AQ39" s="409">
        <v>0</v>
      </c>
      <c r="AR39" s="409">
        <v>0</v>
      </c>
      <c r="AS39" s="409">
        <v>0</v>
      </c>
      <c r="AT39" s="409">
        <v>0</v>
      </c>
      <c r="AU39" s="409">
        <v>0</v>
      </c>
      <c r="AV39" s="409">
        <v>0</v>
      </c>
      <c r="AW39" s="409">
        <v>0</v>
      </c>
      <c r="AX39" s="409">
        <v>0</v>
      </c>
      <c r="AY39" s="409">
        <v>0</v>
      </c>
      <c r="AZ39" s="409">
        <v>0</v>
      </c>
      <c r="BA39" s="409"/>
      <c r="BB39" s="409">
        <v>0</v>
      </c>
      <c r="BC39" s="409">
        <v>0</v>
      </c>
      <c r="BD39" s="409">
        <v>0</v>
      </c>
      <c r="BE39" s="409">
        <v>0</v>
      </c>
      <c r="BF39" s="409">
        <v>0</v>
      </c>
      <c r="BG39" s="409">
        <v>19.526039612347279</v>
      </c>
      <c r="BH39" s="409">
        <v>0</v>
      </c>
      <c r="BI39" s="409">
        <v>0</v>
      </c>
      <c r="BJ39" s="409">
        <v>0</v>
      </c>
      <c r="BK39" s="409">
        <v>0</v>
      </c>
      <c r="BL39" s="409">
        <v>0</v>
      </c>
      <c r="BM39" s="409"/>
      <c r="BN39" s="409"/>
      <c r="BO39" s="409"/>
      <c r="BP39" s="409"/>
      <c r="BQ39" s="409"/>
      <c r="BR39" s="409"/>
      <c r="BS39" s="409"/>
      <c r="BT39" s="409"/>
      <c r="BU39" s="409"/>
      <c r="BV39" s="409">
        <v>3213.7894609320047</v>
      </c>
      <c r="BW39" s="409"/>
      <c r="BX39" s="409"/>
      <c r="BY39" s="409"/>
      <c r="BZ39" s="409"/>
      <c r="CA39" s="409"/>
      <c r="CB39" s="409"/>
      <c r="CC39" s="409"/>
      <c r="CD39" s="409"/>
      <c r="CE39" s="409"/>
      <c r="CF39" s="409"/>
      <c r="CG39" s="409"/>
      <c r="CH39" s="409"/>
      <c r="CI39" s="409">
        <v>22782.990899999997</v>
      </c>
      <c r="CJ39" s="409">
        <v>-2079.2438799999982</v>
      </c>
      <c r="CK39" s="409"/>
      <c r="CL39" s="409"/>
      <c r="CM39" s="409"/>
      <c r="CN39" s="409"/>
      <c r="CO39" s="409">
        <v>-2232.8631500000015</v>
      </c>
      <c r="CP39" s="409">
        <v>151.697</v>
      </c>
      <c r="CQ39" s="409">
        <v>30</v>
      </c>
      <c r="CR39" s="409">
        <v>334.64562862733692</v>
      </c>
      <c r="CS39" s="409">
        <v>0</v>
      </c>
      <c r="CT39" s="409">
        <v>0</v>
      </c>
      <c r="CU39" s="409">
        <v>0</v>
      </c>
      <c r="CV39" s="409">
        <v>0</v>
      </c>
      <c r="CW39" s="409">
        <v>0</v>
      </c>
      <c r="CX39" s="409">
        <v>0</v>
      </c>
      <c r="CY39" s="409">
        <v>0</v>
      </c>
      <c r="CZ39" s="409">
        <v>196.03436677065747</v>
      </c>
      <c r="DA39" s="409">
        <v>0</v>
      </c>
      <c r="DB39" s="409">
        <v>0</v>
      </c>
      <c r="DC39" s="409">
        <v>172.07407760748492</v>
      </c>
      <c r="DD39" s="409">
        <v>0</v>
      </c>
      <c r="DE39" s="409">
        <v>0</v>
      </c>
      <c r="DF39" s="409">
        <v>0</v>
      </c>
      <c r="DG39" s="409">
        <v>1.0518622957633745</v>
      </c>
      <c r="DH39" s="409">
        <v>0</v>
      </c>
      <c r="DI39" s="409">
        <v>-39.06848361365337</v>
      </c>
      <c r="DJ39" s="409"/>
      <c r="DK39" s="409">
        <v>0</v>
      </c>
      <c r="DL39" s="409">
        <v>0</v>
      </c>
      <c r="DM39" s="409">
        <v>0</v>
      </c>
      <c r="DN39" s="409">
        <v>0</v>
      </c>
      <c r="DO39" s="409">
        <v>-5.7123493704212365</v>
      </c>
      <c r="DP39" s="409">
        <v>-0.66835291144168529</v>
      </c>
      <c r="DQ39" s="409">
        <v>0</v>
      </c>
      <c r="DR39" s="409">
        <v>10.934507848947753</v>
      </c>
      <c r="DS39" s="409"/>
      <c r="DT39" s="409"/>
      <c r="DU39" s="409"/>
      <c r="DV39" s="409">
        <v>15197.489968087959</v>
      </c>
      <c r="DW39" s="409">
        <v>0</v>
      </c>
      <c r="DX39" s="409">
        <v>0</v>
      </c>
      <c r="DY39" s="409">
        <v>-2232.863150000001</v>
      </c>
      <c r="DZ39" s="409">
        <v>151.69700000000012</v>
      </c>
      <c r="EA39" s="409">
        <v>0</v>
      </c>
      <c r="EB39" s="409">
        <v>0</v>
      </c>
      <c r="EC39" s="409">
        <v>-2415.6863450562305</v>
      </c>
      <c r="ED39" s="409">
        <v>0</v>
      </c>
      <c r="EE39" s="409">
        <v>0</v>
      </c>
      <c r="EF39" s="409">
        <v>0</v>
      </c>
      <c r="EG39" s="409">
        <v>0</v>
      </c>
      <c r="EH39" s="409">
        <v>0</v>
      </c>
      <c r="EI39" s="409">
        <v>0</v>
      </c>
      <c r="EJ39" s="409">
        <v>0</v>
      </c>
      <c r="EK39" s="409">
        <v>0</v>
      </c>
      <c r="EL39" s="409">
        <v>0</v>
      </c>
      <c r="EM39" s="409">
        <v>0</v>
      </c>
      <c r="EN39" s="409">
        <v>0</v>
      </c>
      <c r="EO39" s="409">
        <v>0</v>
      </c>
      <c r="EP39" s="409">
        <v>0</v>
      </c>
      <c r="EQ39" s="409">
        <v>0</v>
      </c>
      <c r="ER39" s="409">
        <v>0</v>
      </c>
      <c r="ES39" s="409">
        <v>0</v>
      </c>
      <c r="ET39" s="409">
        <v>0</v>
      </c>
      <c r="EU39" s="409">
        <v>0</v>
      </c>
      <c r="EV39" s="409">
        <v>210</v>
      </c>
      <c r="EW39" s="409">
        <v>0</v>
      </c>
      <c r="EX39" s="409">
        <v>0</v>
      </c>
      <c r="EY39" s="409">
        <v>0</v>
      </c>
      <c r="EZ39" s="409"/>
      <c r="FA39" s="409">
        <v>0</v>
      </c>
      <c r="FB39" s="409"/>
      <c r="FC39" s="409"/>
      <c r="FD39" s="409"/>
      <c r="FE39" s="409"/>
      <c r="FF39" s="409">
        <v>0</v>
      </c>
      <c r="FG39" s="409">
        <v>0</v>
      </c>
      <c r="FH39" s="409">
        <v>0</v>
      </c>
      <c r="FI39" s="409">
        <v>0</v>
      </c>
    </row>
    <row r="40" spans="1:165" customFormat="1">
      <c r="A40" s="409">
        <v>38</v>
      </c>
      <c r="B40" s="409" t="s">
        <v>1035</v>
      </c>
      <c r="C40" s="409" t="s">
        <v>2246</v>
      </c>
      <c r="D40" s="409" t="s">
        <v>595</v>
      </c>
      <c r="E40" s="409" t="s">
        <v>969</v>
      </c>
      <c r="F40" s="409" t="s">
        <v>1323</v>
      </c>
      <c r="G40" s="409" t="s">
        <v>1323</v>
      </c>
      <c r="H40" s="409" t="s">
        <v>1323</v>
      </c>
      <c r="I40" s="409" t="s">
        <v>2234</v>
      </c>
      <c r="J40" s="409" t="s">
        <v>2242</v>
      </c>
      <c r="K40" s="838">
        <v>44348</v>
      </c>
      <c r="L40" s="409">
        <v>0</v>
      </c>
      <c r="M40" s="409">
        <v>0</v>
      </c>
      <c r="N40" s="409">
        <v>105.331</v>
      </c>
      <c r="O40" s="409">
        <v>105.331</v>
      </c>
      <c r="P40" s="409">
        <v>105.331</v>
      </c>
      <c r="Q40" s="409">
        <v>105.331</v>
      </c>
      <c r="R40" s="409"/>
      <c r="S40" s="409">
        <v>64.400000000000006</v>
      </c>
      <c r="T40" s="409">
        <v>273.74</v>
      </c>
      <c r="U40" s="409"/>
      <c r="V40" s="409">
        <v>35616.624340000002</v>
      </c>
      <c r="W40" s="409">
        <v>35616.624340000002</v>
      </c>
      <c r="X40" s="409">
        <v>36595.14933</v>
      </c>
      <c r="Y40" s="409">
        <v>0</v>
      </c>
      <c r="Z40" s="409">
        <v>5532.588572960185</v>
      </c>
      <c r="AA40" s="409">
        <v>0</v>
      </c>
      <c r="AB40" s="409">
        <v>0</v>
      </c>
      <c r="AC40" s="409">
        <v>0</v>
      </c>
      <c r="AD40" s="409">
        <v>0</v>
      </c>
      <c r="AE40" s="409">
        <v>0</v>
      </c>
      <c r="AF40" s="409">
        <v>28833.229962380738</v>
      </c>
      <c r="AG40" s="409">
        <v>0</v>
      </c>
      <c r="AH40" s="409">
        <v>0</v>
      </c>
      <c r="AI40" s="409">
        <v>0</v>
      </c>
      <c r="AJ40" s="409">
        <v>0</v>
      </c>
      <c r="AK40" s="409">
        <v>0</v>
      </c>
      <c r="AL40" s="409">
        <v>983.42802601376786</v>
      </c>
      <c r="AM40" s="409"/>
      <c r="AN40" s="409">
        <v>91.436567665838197</v>
      </c>
      <c r="AO40" s="409">
        <v>0</v>
      </c>
      <c r="AP40" s="409">
        <v>0</v>
      </c>
      <c r="AQ40" s="409">
        <v>0</v>
      </c>
      <c r="AR40" s="409">
        <v>0</v>
      </c>
      <c r="AS40" s="409">
        <v>0</v>
      </c>
      <c r="AT40" s="409">
        <v>0</v>
      </c>
      <c r="AU40" s="409">
        <v>0</v>
      </c>
      <c r="AV40" s="409">
        <v>0</v>
      </c>
      <c r="AW40" s="409">
        <v>0</v>
      </c>
      <c r="AX40" s="409">
        <v>0</v>
      </c>
      <c r="AY40" s="409">
        <v>0</v>
      </c>
      <c r="AZ40" s="409">
        <v>0</v>
      </c>
      <c r="BA40" s="409"/>
      <c r="BB40" s="409">
        <v>0</v>
      </c>
      <c r="BC40" s="409">
        <v>0</v>
      </c>
      <c r="BD40" s="409">
        <v>0</v>
      </c>
      <c r="BE40" s="409">
        <v>0</v>
      </c>
      <c r="BF40" s="409">
        <v>0</v>
      </c>
      <c r="BG40" s="409">
        <v>176.25308753176375</v>
      </c>
      <c r="BH40" s="409">
        <v>0</v>
      </c>
      <c r="BI40" s="409">
        <v>0</v>
      </c>
      <c r="BJ40" s="409">
        <v>0</v>
      </c>
      <c r="BK40" s="409">
        <v>0</v>
      </c>
      <c r="BL40" s="409">
        <v>0</v>
      </c>
      <c r="BM40" s="409"/>
      <c r="BN40" s="409"/>
      <c r="BO40" s="409"/>
      <c r="BP40" s="409"/>
      <c r="BQ40" s="409"/>
      <c r="BR40" s="409"/>
      <c r="BS40" s="409"/>
      <c r="BT40" s="409"/>
      <c r="BU40" s="409"/>
      <c r="BV40" s="409">
        <v>29009.483049912502</v>
      </c>
      <c r="BW40" s="409"/>
      <c r="BX40" s="409"/>
      <c r="BY40" s="409"/>
      <c r="BZ40" s="409"/>
      <c r="CA40" s="409"/>
      <c r="CB40" s="409"/>
      <c r="CC40" s="409"/>
      <c r="CD40" s="409"/>
      <c r="CE40" s="409"/>
      <c r="CF40" s="409"/>
      <c r="CG40" s="409"/>
      <c r="CH40" s="409"/>
      <c r="CI40" s="409">
        <v>36594.801899999999</v>
      </c>
      <c r="CJ40" s="409">
        <v>978.14755999999034</v>
      </c>
      <c r="CK40" s="409"/>
      <c r="CL40" s="409"/>
      <c r="CM40" s="409"/>
      <c r="CN40" s="409"/>
      <c r="CO40" s="409">
        <v>-390.77801000000085</v>
      </c>
      <c r="CP40" s="409">
        <v>1369.3030000000001</v>
      </c>
      <c r="CQ40" s="409">
        <v>30</v>
      </c>
      <c r="CR40" s="409">
        <v>978.68560390455968</v>
      </c>
      <c r="CS40" s="409">
        <v>0</v>
      </c>
      <c r="CT40" s="409">
        <v>0</v>
      </c>
      <c r="CU40" s="409">
        <v>0</v>
      </c>
      <c r="CV40" s="409">
        <v>0</v>
      </c>
      <c r="CW40" s="409">
        <v>0</v>
      </c>
      <c r="CX40" s="409">
        <v>0</v>
      </c>
      <c r="CY40" s="409">
        <v>0</v>
      </c>
      <c r="CZ40" s="409">
        <v>0</v>
      </c>
      <c r="DA40" s="409">
        <v>0</v>
      </c>
      <c r="DB40" s="409">
        <v>0</v>
      </c>
      <c r="DC40" s="409">
        <v>1553.2380382615484</v>
      </c>
      <c r="DD40" s="409">
        <v>0</v>
      </c>
      <c r="DE40" s="409">
        <v>0</v>
      </c>
      <c r="DF40" s="409">
        <v>0</v>
      </c>
      <c r="DG40" s="409">
        <v>9.4947045569502109</v>
      </c>
      <c r="DH40" s="409">
        <v>0</v>
      </c>
      <c r="DI40" s="409">
        <v>-352.65425036504621</v>
      </c>
      <c r="DJ40" s="409"/>
      <c r="DK40" s="409">
        <v>0</v>
      </c>
      <c r="DL40" s="409">
        <v>0</v>
      </c>
      <c r="DM40" s="409">
        <v>0</v>
      </c>
      <c r="DN40" s="409">
        <v>0</v>
      </c>
      <c r="DO40" s="409">
        <v>-51.562899266075874</v>
      </c>
      <c r="DP40" s="409">
        <v>-6.0329317435139416</v>
      </c>
      <c r="DQ40" s="409">
        <v>0</v>
      </c>
      <c r="DR40" s="409">
        <v>-173.79705753929716</v>
      </c>
      <c r="DS40" s="409"/>
      <c r="DT40" s="409"/>
      <c r="DU40" s="409"/>
      <c r="DV40" s="409">
        <v>0</v>
      </c>
      <c r="DW40" s="409">
        <v>0</v>
      </c>
      <c r="DX40" s="409">
        <v>0</v>
      </c>
      <c r="DY40" s="409">
        <v>-390.7780100000009</v>
      </c>
      <c r="DZ40" s="409">
        <v>1369.3029999999999</v>
      </c>
      <c r="EA40" s="409">
        <v>0</v>
      </c>
      <c r="EB40" s="409">
        <v>0</v>
      </c>
      <c r="EC40" s="409">
        <v>0</v>
      </c>
      <c r="ED40" s="409">
        <v>0</v>
      </c>
      <c r="EE40" s="409">
        <v>0</v>
      </c>
      <c r="EF40" s="409">
        <v>0</v>
      </c>
      <c r="EG40" s="409">
        <v>0</v>
      </c>
      <c r="EH40" s="409">
        <v>0</v>
      </c>
      <c r="EI40" s="409">
        <v>0</v>
      </c>
      <c r="EJ40" s="409">
        <v>0</v>
      </c>
      <c r="EK40" s="409">
        <v>0</v>
      </c>
      <c r="EL40" s="409">
        <v>0</v>
      </c>
      <c r="EM40" s="409">
        <v>0</v>
      </c>
      <c r="EN40" s="409">
        <v>0</v>
      </c>
      <c r="EO40" s="409">
        <v>0</v>
      </c>
      <c r="EP40" s="409">
        <v>0</v>
      </c>
      <c r="EQ40" s="409">
        <v>0</v>
      </c>
      <c r="ER40" s="409">
        <v>0</v>
      </c>
      <c r="ES40" s="409">
        <v>0</v>
      </c>
      <c r="ET40" s="409">
        <v>0</v>
      </c>
      <c r="EU40" s="409">
        <v>0</v>
      </c>
      <c r="EV40" s="409">
        <v>210</v>
      </c>
      <c r="EW40" s="409">
        <v>0</v>
      </c>
      <c r="EX40" s="409">
        <v>0</v>
      </c>
      <c r="EY40" s="409">
        <v>0</v>
      </c>
      <c r="EZ40" s="409"/>
      <c r="FA40" s="409">
        <v>0</v>
      </c>
      <c r="FB40" s="409"/>
      <c r="FC40" s="409"/>
      <c r="FD40" s="409"/>
      <c r="FE40" s="409"/>
      <c r="FF40" s="409">
        <v>0</v>
      </c>
      <c r="FG40" s="409">
        <v>0</v>
      </c>
      <c r="FH40" s="409">
        <v>0</v>
      </c>
      <c r="FI40" s="409">
        <v>0</v>
      </c>
    </row>
    <row r="41" spans="1:165" customFormat="1">
      <c r="A41" s="409">
        <v>39</v>
      </c>
      <c r="B41" s="409" t="s">
        <v>1035</v>
      </c>
      <c r="C41" s="409" t="s">
        <v>2246</v>
      </c>
      <c r="D41" s="409" t="s">
        <v>595</v>
      </c>
      <c r="E41" s="409" t="s">
        <v>969</v>
      </c>
      <c r="F41" s="409" t="s">
        <v>1323</v>
      </c>
      <c r="G41" s="409" t="s">
        <v>1323</v>
      </c>
      <c r="H41" s="409" t="s">
        <v>1323</v>
      </c>
      <c r="I41" s="409" t="s">
        <v>1323</v>
      </c>
      <c r="J41" s="409" t="s">
        <v>2242</v>
      </c>
      <c r="K41" s="838">
        <v>44348</v>
      </c>
      <c r="L41" s="409">
        <v>843</v>
      </c>
      <c r="M41" s="409">
        <v>843</v>
      </c>
      <c r="N41" s="409">
        <v>0</v>
      </c>
      <c r="O41" s="409">
        <v>0</v>
      </c>
      <c r="P41" s="409">
        <v>0</v>
      </c>
      <c r="Q41" s="409">
        <v>0</v>
      </c>
      <c r="R41" s="409">
        <v>33.6</v>
      </c>
      <c r="S41" s="409"/>
      <c r="T41" s="409"/>
      <c r="U41" s="409">
        <v>28324.800000000003</v>
      </c>
      <c r="V41" s="409"/>
      <c r="W41" s="409">
        <v>28324.800000000003</v>
      </c>
      <c r="X41" s="409">
        <v>26773.68</v>
      </c>
      <c r="Y41" s="409">
        <v>0</v>
      </c>
      <c r="Z41" s="409">
        <v>0</v>
      </c>
      <c r="AA41" s="409">
        <v>0</v>
      </c>
      <c r="AB41" s="409">
        <v>0</v>
      </c>
      <c r="AC41" s="409">
        <v>0</v>
      </c>
      <c r="AD41" s="409">
        <v>15043.769038745078</v>
      </c>
      <c r="AE41" s="409">
        <v>13281.591460987915</v>
      </c>
      <c r="AF41" s="409"/>
      <c r="AG41" s="409"/>
      <c r="AH41" s="409"/>
      <c r="AI41" s="409">
        <v>0</v>
      </c>
      <c r="AJ41" s="409">
        <v>0</v>
      </c>
      <c r="AK41" s="409">
        <v>0</v>
      </c>
      <c r="AL41" s="409">
        <v>0</v>
      </c>
      <c r="AM41" s="409"/>
      <c r="AN41" s="409">
        <v>0</v>
      </c>
      <c r="AO41" s="409">
        <v>0</v>
      </c>
      <c r="AP41" s="409">
        <v>0</v>
      </c>
      <c r="AQ41" s="409">
        <v>0</v>
      </c>
      <c r="AR41" s="409">
        <v>0</v>
      </c>
      <c r="AS41" s="409"/>
      <c r="AT41" s="409"/>
      <c r="AU41" s="409">
        <v>0</v>
      </c>
      <c r="AV41" s="409">
        <v>0</v>
      </c>
      <c r="AW41" s="409">
        <v>0</v>
      </c>
      <c r="AX41" s="409"/>
      <c r="AY41" s="409"/>
      <c r="AZ41" s="409">
        <v>0</v>
      </c>
      <c r="BA41" s="409"/>
      <c r="BB41" s="409">
        <v>0</v>
      </c>
      <c r="BC41" s="409">
        <v>0</v>
      </c>
      <c r="BD41" s="409">
        <v>0</v>
      </c>
      <c r="BE41" s="409">
        <v>0</v>
      </c>
      <c r="BF41" s="409"/>
      <c r="BG41" s="409">
        <v>0</v>
      </c>
      <c r="BH41" s="409">
        <v>0</v>
      </c>
      <c r="BI41" s="409">
        <v>605.32000000000005</v>
      </c>
      <c r="BJ41" s="409">
        <v>2793.82</v>
      </c>
      <c r="BK41" s="409">
        <v>16259.18</v>
      </c>
      <c r="BL41" s="409">
        <v>3</v>
      </c>
      <c r="BM41" s="409"/>
      <c r="BN41" s="409"/>
      <c r="BO41" s="409"/>
      <c r="BP41" s="409"/>
      <c r="BQ41" s="409"/>
      <c r="BR41" s="409"/>
      <c r="BS41" s="409"/>
      <c r="BT41" s="409"/>
      <c r="BU41" s="409"/>
      <c r="BV41" s="409">
        <v>0</v>
      </c>
      <c r="BW41" s="409"/>
      <c r="BX41" s="409"/>
      <c r="BY41" s="409"/>
      <c r="BZ41" s="409"/>
      <c r="CA41" s="409"/>
      <c r="CB41" s="409"/>
      <c r="CC41" s="409"/>
      <c r="CD41" s="409"/>
      <c r="CE41" s="409"/>
      <c r="CF41" s="409"/>
      <c r="CG41" s="409"/>
      <c r="CH41" s="409"/>
      <c r="CI41" s="409">
        <v>26773.68</v>
      </c>
      <c r="CJ41" s="409">
        <v>-1551.1499999999978</v>
      </c>
      <c r="CK41" s="409"/>
      <c r="CL41" s="409"/>
      <c r="CM41" s="409"/>
      <c r="CN41" s="409"/>
      <c r="CO41" s="409">
        <v>-1551.12</v>
      </c>
      <c r="CP41" s="409">
        <v>0</v>
      </c>
      <c r="CQ41" s="409">
        <v>30</v>
      </c>
      <c r="CR41" s="409">
        <v>556.55876744722991</v>
      </c>
      <c r="CS41" s="409">
        <v>0</v>
      </c>
      <c r="CT41" s="409">
        <v>0</v>
      </c>
      <c r="CU41" s="409">
        <v>0</v>
      </c>
      <c r="CV41" s="409">
        <v>0</v>
      </c>
      <c r="CW41" s="409"/>
      <c r="CX41" s="409"/>
      <c r="CY41" s="409"/>
      <c r="CZ41" s="409">
        <v>515.67696602117758</v>
      </c>
      <c r="DA41" s="409">
        <v>0</v>
      </c>
      <c r="DB41" s="409">
        <v>0</v>
      </c>
      <c r="DC41" s="409"/>
      <c r="DD41" s="409"/>
      <c r="DE41" s="409">
        <v>0</v>
      </c>
      <c r="DF41" s="409">
        <v>0</v>
      </c>
      <c r="DG41" s="409">
        <v>0</v>
      </c>
      <c r="DH41" s="409">
        <v>0</v>
      </c>
      <c r="DI41" s="409">
        <v>0</v>
      </c>
      <c r="DJ41" s="409"/>
      <c r="DK41" s="409">
        <v>0</v>
      </c>
      <c r="DL41" s="409">
        <v>0</v>
      </c>
      <c r="DM41" s="409"/>
      <c r="DN41" s="409">
        <v>0</v>
      </c>
      <c r="DO41" s="409">
        <v>0</v>
      </c>
      <c r="DP41" s="409">
        <v>0</v>
      </c>
      <c r="DQ41" s="409">
        <v>0</v>
      </c>
      <c r="DR41" s="409">
        <v>40.881801426052682</v>
      </c>
      <c r="DS41" s="409"/>
      <c r="DT41" s="409"/>
      <c r="DU41" s="409">
        <v>13281.591460987915</v>
      </c>
      <c r="DV41" s="409"/>
      <c r="DW41" s="409">
        <v>0</v>
      </c>
      <c r="DX41" s="409">
        <v>0</v>
      </c>
      <c r="DY41" s="409">
        <v>-1551.1200000000026</v>
      </c>
      <c r="DZ41" s="409"/>
      <c r="EA41" s="409">
        <v>0</v>
      </c>
      <c r="EB41" s="409"/>
      <c r="EC41" s="409">
        <v>-2111.1485646837755</v>
      </c>
      <c r="ED41" s="409"/>
      <c r="EE41" s="409">
        <v>0</v>
      </c>
      <c r="EF41" s="409">
        <v>0</v>
      </c>
      <c r="EG41" s="409"/>
      <c r="EH41" s="409">
        <v>0</v>
      </c>
      <c r="EI41" s="409">
        <v>0</v>
      </c>
      <c r="EJ41" s="409">
        <v>0</v>
      </c>
      <c r="EK41" s="409">
        <v>0</v>
      </c>
      <c r="EL41" s="409">
        <v>0</v>
      </c>
      <c r="EM41" s="409"/>
      <c r="EN41" s="409"/>
      <c r="EO41" s="409">
        <v>0</v>
      </c>
      <c r="EP41" s="409">
        <v>0</v>
      </c>
      <c r="EQ41" s="409"/>
      <c r="ER41" s="409">
        <v>0</v>
      </c>
      <c r="ES41" s="409"/>
      <c r="ET41" s="409">
        <v>0</v>
      </c>
      <c r="EU41" s="409"/>
      <c r="EV41" s="409">
        <v>210</v>
      </c>
      <c r="EW41" s="409"/>
      <c r="EX41" s="409"/>
      <c r="EY41" s="409"/>
      <c r="EZ41" s="409"/>
      <c r="FA41" s="409">
        <v>0</v>
      </c>
      <c r="FB41" s="409"/>
      <c r="FC41" s="409"/>
      <c r="FD41" s="409"/>
      <c r="FE41" s="409"/>
      <c r="FF41" s="409">
        <v>0</v>
      </c>
      <c r="FG41" s="409">
        <v>0</v>
      </c>
      <c r="FH41" s="409">
        <v>0</v>
      </c>
      <c r="FI41" s="409">
        <v>0</v>
      </c>
    </row>
    <row r="42" spans="1:165" customFormat="1">
      <c r="A42" s="409">
        <v>40</v>
      </c>
      <c r="B42" s="409" t="s">
        <v>1035</v>
      </c>
      <c r="C42" s="409" t="s">
        <v>2241</v>
      </c>
      <c r="D42" s="409" t="s">
        <v>1992</v>
      </c>
      <c r="E42" s="409" t="s">
        <v>997</v>
      </c>
      <c r="F42" s="409" t="s">
        <v>1323</v>
      </c>
      <c r="G42" s="409" t="s">
        <v>1323</v>
      </c>
      <c r="H42" s="409" t="s">
        <v>1323</v>
      </c>
      <c r="I42" s="409" t="s">
        <v>1323</v>
      </c>
      <c r="J42" s="409" t="s">
        <v>2242</v>
      </c>
      <c r="K42" s="838">
        <v>44348</v>
      </c>
      <c r="L42" s="409">
        <v>0</v>
      </c>
      <c r="M42" s="409">
        <v>0</v>
      </c>
      <c r="N42" s="409">
        <v>51.268000000000001</v>
      </c>
      <c r="O42" s="409">
        <v>51.268000000000001</v>
      </c>
      <c r="P42" s="409">
        <v>51.268000000000001</v>
      </c>
      <c r="Q42" s="409">
        <v>51.268000000000001</v>
      </c>
      <c r="R42" s="409"/>
      <c r="S42" s="409">
        <v>358.62</v>
      </c>
      <c r="T42" s="409">
        <v>273.74</v>
      </c>
      <c r="U42" s="409"/>
      <c r="V42" s="409">
        <v>32419.832479999997</v>
      </c>
      <c r="W42" s="409">
        <v>32419.832479999997</v>
      </c>
      <c r="X42" s="409">
        <v>31434.461519999997</v>
      </c>
      <c r="Y42" s="409">
        <v>0</v>
      </c>
      <c r="Z42" s="409">
        <v>3095.2753641151471</v>
      </c>
      <c r="AA42" s="409">
        <v>0</v>
      </c>
      <c r="AB42" s="409">
        <v>0</v>
      </c>
      <c r="AC42" s="409">
        <v>0</v>
      </c>
      <c r="AD42" s="409">
        <v>4413.5861253714602</v>
      </c>
      <c r="AE42" s="409">
        <v>10155.124017693746</v>
      </c>
      <c r="AF42" s="409">
        <v>14034.064365773947</v>
      </c>
      <c r="AG42" s="409">
        <v>0</v>
      </c>
      <c r="AH42" s="409">
        <v>0</v>
      </c>
      <c r="AI42" s="409">
        <v>0</v>
      </c>
      <c r="AJ42" s="409">
        <v>0</v>
      </c>
      <c r="AK42" s="409">
        <v>0</v>
      </c>
      <c r="AL42" s="409">
        <v>478.66618600102396</v>
      </c>
      <c r="AM42" s="409"/>
      <c r="AN42" s="409">
        <v>54.605104416666769</v>
      </c>
      <c r="AO42" s="409">
        <v>0</v>
      </c>
      <c r="AP42" s="409">
        <v>0</v>
      </c>
      <c r="AQ42" s="409">
        <v>0</v>
      </c>
      <c r="AR42" s="409">
        <v>0</v>
      </c>
      <c r="AS42" s="409">
        <v>0</v>
      </c>
      <c r="AT42" s="409">
        <v>0</v>
      </c>
      <c r="AU42" s="409">
        <v>0</v>
      </c>
      <c r="AV42" s="409">
        <v>0</v>
      </c>
      <c r="AW42" s="409">
        <v>0</v>
      </c>
      <c r="AX42" s="409">
        <v>0</v>
      </c>
      <c r="AY42" s="409">
        <v>0</v>
      </c>
      <c r="AZ42" s="409">
        <v>0</v>
      </c>
      <c r="BA42" s="409"/>
      <c r="BB42" s="409">
        <v>0</v>
      </c>
      <c r="BC42" s="409">
        <v>0</v>
      </c>
      <c r="BD42" s="409">
        <v>0</v>
      </c>
      <c r="BE42" s="409">
        <v>0</v>
      </c>
      <c r="BF42" s="409">
        <v>0</v>
      </c>
      <c r="BG42" s="409">
        <v>188.58555637562037</v>
      </c>
      <c r="BH42" s="409">
        <v>0</v>
      </c>
      <c r="BI42" s="409">
        <v>227.74</v>
      </c>
      <c r="BJ42" s="409">
        <v>1052.5999999999999</v>
      </c>
      <c r="BK42" s="409">
        <v>7334.83</v>
      </c>
      <c r="BL42" s="409">
        <v>69</v>
      </c>
      <c r="BM42" s="409"/>
      <c r="BN42" s="409"/>
      <c r="BO42" s="409"/>
      <c r="BP42" s="409"/>
      <c r="BQ42" s="409"/>
      <c r="BR42" s="409"/>
      <c r="BS42" s="409"/>
      <c r="BT42" s="409"/>
      <c r="BU42" s="409"/>
      <c r="BV42" s="409">
        <v>14222.649922149567</v>
      </c>
      <c r="BW42" s="409"/>
      <c r="BX42" s="409"/>
      <c r="BY42" s="409"/>
      <c r="BZ42" s="409"/>
      <c r="CA42" s="409"/>
      <c r="CB42" s="409"/>
      <c r="CC42" s="409"/>
      <c r="CD42" s="409"/>
      <c r="CE42" s="409"/>
      <c r="CF42" s="409"/>
      <c r="CG42" s="409"/>
      <c r="CH42" s="409"/>
      <c r="CI42" s="409">
        <v>31435.6878</v>
      </c>
      <c r="CJ42" s="409">
        <v>-984.1746799999928</v>
      </c>
      <c r="CK42" s="409"/>
      <c r="CL42" s="409"/>
      <c r="CM42" s="409"/>
      <c r="CN42" s="409"/>
      <c r="CO42" s="409">
        <v>-1651.8549600000015</v>
      </c>
      <c r="CP42" s="409">
        <v>666.48400000000004</v>
      </c>
      <c r="CQ42" s="409">
        <v>30</v>
      </c>
      <c r="CR42" s="409">
        <v>628.64207580429866</v>
      </c>
      <c r="CS42" s="409">
        <v>0</v>
      </c>
      <c r="CT42" s="409">
        <v>0</v>
      </c>
      <c r="CU42" s="409">
        <v>0</v>
      </c>
      <c r="CV42" s="409">
        <v>0</v>
      </c>
      <c r="CW42" s="409">
        <v>0</v>
      </c>
      <c r="CX42" s="409">
        <v>0</v>
      </c>
      <c r="CY42" s="409">
        <v>0</v>
      </c>
      <c r="CZ42" s="409">
        <v>151.29085646976455</v>
      </c>
      <c r="DA42" s="409">
        <v>0</v>
      </c>
      <c r="DB42" s="409">
        <v>0</v>
      </c>
      <c r="DC42" s="409">
        <v>756.01112441344958</v>
      </c>
      <c r="DD42" s="409">
        <v>0</v>
      </c>
      <c r="DE42" s="409">
        <v>0</v>
      </c>
      <c r="DF42" s="409">
        <v>0</v>
      </c>
      <c r="DG42" s="409">
        <v>10.15905120624771</v>
      </c>
      <c r="DH42" s="409">
        <v>0</v>
      </c>
      <c r="DI42" s="409">
        <v>-197.29679856194161</v>
      </c>
      <c r="DJ42" s="409"/>
      <c r="DK42" s="409">
        <v>0</v>
      </c>
      <c r="DL42" s="409">
        <v>0</v>
      </c>
      <c r="DM42" s="409">
        <v>0</v>
      </c>
      <c r="DN42" s="409">
        <v>0</v>
      </c>
      <c r="DO42" s="409">
        <v>-25.097328607657573</v>
      </c>
      <c r="DP42" s="409">
        <v>-3.6028131436115629</v>
      </c>
      <c r="DQ42" s="409">
        <v>0</v>
      </c>
      <c r="DR42" s="409">
        <v>-62.822015971953306</v>
      </c>
      <c r="DS42" s="409"/>
      <c r="DT42" s="409"/>
      <c r="DU42" s="409"/>
      <c r="DV42" s="409">
        <v>10155.124017693746</v>
      </c>
      <c r="DW42" s="409">
        <v>0</v>
      </c>
      <c r="DX42" s="409">
        <v>0</v>
      </c>
      <c r="DY42" s="409">
        <v>-1651.8549600000006</v>
      </c>
      <c r="DZ42" s="409">
        <v>666.48400000000038</v>
      </c>
      <c r="EA42" s="409">
        <v>0</v>
      </c>
      <c r="EB42" s="409">
        <v>0</v>
      </c>
      <c r="EC42" s="409">
        <v>-1614.1872423280784</v>
      </c>
      <c r="ED42" s="409">
        <v>0</v>
      </c>
      <c r="EE42" s="409">
        <v>0</v>
      </c>
      <c r="EF42" s="409">
        <v>0</v>
      </c>
      <c r="EG42" s="409">
        <v>0</v>
      </c>
      <c r="EH42" s="409">
        <v>0</v>
      </c>
      <c r="EI42" s="409">
        <v>0</v>
      </c>
      <c r="EJ42" s="409">
        <v>0</v>
      </c>
      <c r="EK42" s="409">
        <v>0</v>
      </c>
      <c r="EL42" s="409">
        <v>0</v>
      </c>
      <c r="EM42" s="409">
        <v>0</v>
      </c>
      <c r="EN42" s="409">
        <v>0</v>
      </c>
      <c r="EO42" s="409">
        <v>0</v>
      </c>
      <c r="EP42" s="409">
        <v>0</v>
      </c>
      <c r="EQ42" s="409">
        <v>0</v>
      </c>
      <c r="ER42" s="409">
        <v>0</v>
      </c>
      <c r="ES42" s="409">
        <v>0</v>
      </c>
      <c r="ET42" s="409">
        <v>0</v>
      </c>
      <c r="EU42" s="409">
        <v>0</v>
      </c>
      <c r="EV42" s="409">
        <v>210</v>
      </c>
      <c r="EW42" s="409">
        <v>0</v>
      </c>
      <c r="EX42" s="409">
        <v>0</v>
      </c>
      <c r="EY42" s="409">
        <v>0</v>
      </c>
      <c r="EZ42" s="409"/>
      <c r="FA42" s="409">
        <v>0</v>
      </c>
      <c r="FB42" s="409"/>
      <c r="FC42" s="409"/>
      <c r="FD42" s="409"/>
      <c r="FE42" s="409"/>
      <c r="FF42" s="409">
        <v>0</v>
      </c>
      <c r="FG42" s="409">
        <v>0</v>
      </c>
      <c r="FH42" s="409">
        <v>0</v>
      </c>
      <c r="FI42" s="409">
        <v>0</v>
      </c>
    </row>
    <row r="43" spans="1:165" customFormat="1">
      <c r="A43" s="409">
        <v>41</v>
      </c>
      <c r="B43" s="409" t="s">
        <v>2240</v>
      </c>
      <c r="C43" s="409" t="s">
        <v>2241</v>
      </c>
      <c r="D43" s="409" t="s">
        <v>1992</v>
      </c>
      <c r="E43" s="409" t="s">
        <v>997</v>
      </c>
      <c r="F43" s="409" t="s">
        <v>1323</v>
      </c>
      <c r="G43" s="409" t="s">
        <v>1323</v>
      </c>
      <c r="H43" s="409" t="s">
        <v>1323</v>
      </c>
      <c r="I43" s="409" t="s">
        <v>1323</v>
      </c>
      <c r="J43" s="409" t="s">
        <v>2242</v>
      </c>
      <c r="K43" s="838">
        <v>44348</v>
      </c>
      <c r="L43" s="409">
        <v>0</v>
      </c>
      <c r="M43" s="409">
        <v>0</v>
      </c>
      <c r="N43" s="409">
        <v>0.1</v>
      </c>
      <c r="O43" s="409">
        <v>0.1</v>
      </c>
      <c r="P43" s="409">
        <v>0.1</v>
      </c>
      <c r="Q43" s="409">
        <v>0.1</v>
      </c>
      <c r="R43" s="409"/>
      <c r="S43" s="409">
        <v>358.62</v>
      </c>
      <c r="T43" s="409">
        <v>273.74</v>
      </c>
      <c r="U43" s="409"/>
      <c r="V43" s="409">
        <v>63.236000000000004</v>
      </c>
      <c r="W43" s="409">
        <v>63.236000000000004</v>
      </c>
      <c r="X43" s="409">
        <v>61.314000000000007</v>
      </c>
      <c r="Y43" s="409">
        <v>0</v>
      </c>
      <c r="Z43" s="409">
        <v>6.03744121891852</v>
      </c>
      <c r="AA43" s="409">
        <v>0</v>
      </c>
      <c r="AB43" s="409">
        <v>0</v>
      </c>
      <c r="AC43" s="409">
        <v>0</v>
      </c>
      <c r="AD43" s="409">
        <v>8.6088517698592906</v>
      </c>
      <c r="AE43" s="409">
        <v>19.807919204364801</v>
      </c>
      <c r="AF43" s="409">
        <v>27.373925968974699</v>
      </c>
      <c r="AG43" s="409">
        <v>0</v>
      </c>
      <c r="AH43" s="409">
        <v>0</v>
      </c>
      <c r="AI43" s="409">
        <v>0</v>
      </c>
      <c r="AJ43" s="409">
        <v>0</v>
      </c>
      <c r="AK43" s="409">
        <v>0</v>
      </c>
      <c r="AL43" s="409">
        <v>0.93365488414025111</v>
      </c>
      <c r="AM43" s="409"/>
      <c r="AN43" s="409">
        <v>0.10650913711607</v>
      </c>
      <c r="AO43" s="409">
        <v>0</v>
      </c>
      <c r="AP43" s="409">
        <v>0</v>
      </c>
      <c r="AQ43" s="409">
        <v>0</v>
      </c>
      <c r="AR43" s="409">
        <v>0</v>
      </c>
      <c r="AS43" s="409">
        <v>0</v>
      </c>
      <c r="AT43" s="409">
        <v>0</v>
      </c>
      <c r="AU43" s="409">
        <v>0</v>
      </c>
      <c r="AV43" s="409">
        <v>0</v>
      </c>
      <c r="AW43" s="409">
        <v>0</v>
      </c>
      <c r="AX43" s="409">
        <v>0</v>
      </c>
      <c r="AY43" s="409">
        <v>0</v>
      </c>
      <c r="AZ43" s="409">
        <v>0</v>
      </c>
      <c r="BA43" s="409"/>
      <c r="BB43" s="409">
        <v>0</v>
      </c>
      <c r="BC43" s="409">
        <v>0</v>
      </c>
      <c r="BD43" s="409">
        <v>0</v>
      </c>
      <c r="BE43" s="409">
        <v>0</v>
      </c>
      <c r="BF43" s="409">
        <v>0</v>
      </c>
      <c r="BG43" s="409">
        <v>0.36784262381138405</v>
      </c>
      <c r="BH43" s="409">
        <v>0</v>
      </c>
      <c r="BI43" s="409">
        <v>0.51</v>
      </c>
      <c r="BJ43" s="409">
        <v>2.4</v>
      </c>
      <c r="BK43" s="409">
        <v>132.52000000000001</v>
      </c>
      <c r="BL43" s="409">
        <v>1</v>
      </c>
      <c r="BM43" s="409"/>
      <c r="BN43" s="409"/>
      <c r="BO43" s="409"/>
      <c r="BP43" s="409"/>
      <c r="BQ43" s="409"/>
      <c r="BR43" s="409"/>
      <c r="BS43" s="409"/>
      <c r="BT43" s="409"/>
      <c r="BU43" s="409"/>
      <c r="BV43" s="409">
        <v>27.741768592786084</v>
      </c>
      <c r="BW43" s="409"/>
      <c r="BX43" s="409"/>
      <c r="BY43" s="409"/>
      <c r="BZ43" s="409"/>
      <c r="CA43" s="409"/>
      <c r="CB43" s="409"/>
      <c r="CC43" s="409"/>
      <c r="CD43" s="409"/>
      <c r="CE43" s="409"/>
      <c r="CF43" s="409"/>
      <c r="CG43" s="409"/>
      <c r="CH43" s="409"/>
      <c r="CI43" s="409">
        <v>61.314000000000007</v>
      </c>
      <c r="CJ43" s="409">
        <v>-1.9519999999999911</v>
      </c>
      <c r="CK43" s="409"/>
      <c r="CL43" s="409"/>
      <c r="CM43" s="409"/>
      <c r="CN43" s="409"/>
      <c r="CO43" s="409">
        <v>-3.2220000000000031</v>
      </c>
      <c r="CP43" s="409">
        <v>1.3</v>
      </c>
      <c r="CQ43" s="409">
        <v>30</v>
      </c>
      <c r="CR43" s="409">
        <v>1.2261880233367748</v>
      </c>
      <c r="CS43" s="409">
        <v>0</v>
      </c>
      <c r="CT43" s="409">
        <v>0</v>
      </c>
      <c r="CU43" s="409">
        <v>0</v>
      </c>
      <c r="CV43" s="409">
        <v>0</v>
      </c>
      <c r="CW43" s="409">
        <v>0</v>
      </c>
      <c r="CX43" s="409">
        <v>0</v>
      </c>
      <c r="CY43" s="409">
        <v>0</v>
      </c>
      <c r="CZ43" s="409">
        <v>0.29509802697543108</v>
      </c>
      <c r="DA43" s="409">
        <v>0</v>
      </c>
      <c r="DB43" s="409">
        <v>0</v>
      </c>
      <c r="DC43" s="409">
        <v>1.4746257400590004</v>
      </c>
      <c r="DD43" s="409">
        <v>0</v>
      </c>
      <c r="DE43" s="409">
        <v>0</v>
      </c>
      <c r="DF43" s="409">
        <v>0</v>
      </c>
      <c r="DG43" s="409">
        <v>1.9815579320916987E-2</v>
      </c>
      <c r="DH43" s="409">
        <v>0</v>
      </c>
      <c r="DI43" s="409">
        <v>-0.38483420176707028</v>
      </c>
      <c r="DJ43" s="409"/>
      <c r="DK43" s="409">
        <v>0</v>
      </c>
      <c r="DL43" s="409">
        <v>0</v>
      </c>
      <c r="DM43" s="409">
        <v>0</v>
      </c>
      <c r="DN43" s="409">
        <v>0</v>
      </c>
      <c r="DO43" s="409">
        <v>-4.8953203962817993E-2</v>
      </c>
      <c r="DP43" s="409">
        <v>-7.0274111406950918E-3</v>
      </c>
      <c r="DQ43" s="409">
        <v>0</v>
      </c>
      <c r="DR43" s="409">
        <v>-0.12253650614799351</v>
      </c>
      <c r="DS43" s="409"/>
      <c r="DT43" s="409"/>
      <c r="DU43" s="409"/>
      <c r="DV43" s="409">
        <v>19.807919204364801</v>
      </c>
      <c r="DW43" s="409">
        <v>0</v>
      </c>
      <c r="DX43" s="409">
        <v>0</v>
      </c>
      <c r="DY43" s="409">
        <v>-3.2220000000000013</v>
      </c>
      <c r="DZ43" s="409">
        <v>1.3000000000000007</v>
      </c>
      <c r="EA43" s="409">
        <v>0</v>
      </c>
      <c r="EB43" s="409">
        <v>0</v>
      </c>
      <c r="EC43" s="409">
        <v>-3.1485278191622008</v>
      </c>
      <c r="ED43" s="409">
        <v>0</v>
      </c>
      <c r="EE43" s="409">
        <v>0</v>
      </c>
      <c r="EF43" s="409">
        <v>0</v>
      </c>
      <c r="EG43" s="409">
        <v>0</v>
      </c>
      <c r="EH43" s="409">
        <v>0</v>
      </c>
      <c r="EI43" s="409">
        <v>0</v>
      </c>
      <c r="EJ43" s="409">
        <v>0</v>
      </c>
      <c r="EK43" s="409">
        <v>0</v>
      </c>
      <c r="EL43" s="409">
        <v>0</v>
      </c>
      <c r="EM43" s="409">
        <v>0</v>
      </c>
      <c r="EN43" s="409">
        <v>0</v>
      </c>
      <c r="EO43" s="409">
        <v>0</v>
      </c>
      <c r="EP43" s="409">
        <v>0</v>
      </c>
      <c r="EQ43" s="409">
        <v>0</v>
      </c>
      <c r="ER43" s="409">
        <v>0</v>
      </c>
      <c r="ES43" s="409">
        <v>0</v>
      </c>
      <c r="ET43" s="409">
        <v>0</v>
      </c>
      <c r="EU43" s="409">
        <v>0</v>
      </c>
      <c r="EV43" s="409">
        <v>210</v>
      </c>
      <c r="EW43" s="409">
        <v>0</v>
      </c>
      <c r="EX43" s="409">
        <v>0</v>
      </c>
      <c r="EY43" s="409">
        <v>0</v>
      </c>
      <c r="EZ43" s="409"/>
      <c r="FA43" s="409">
        <v>0</v>
      </c>
      <c r="FB43" s="409"/>
      <c r="FC43" s="409"/>
      <c r="FD43" s="409"/>
      <c r="FE43" s="409"/>
      <c r="FF43" s="409">
        <v>0</v>
      </c>
      <c r="FG43" s="409">
        <v>0</v>
      </c>
      <c r="FH43" s="409">
        <v>0</v>
      </c>
      <c r="FI43" s="409">
        <v>0</v>
      </c>
    </row>
    <row r="44" spans="1:165" customFormat="1">
      <c r="A44" s="409">
        <v>42</v>
      </c>
      <c r="B44" s="409" t="s">
        <v>1035</v>
      </c>
      <c r="C44" s="409" t="s">
        <v>2246</v>
      </c>
      <c r="D44" s="409" t="s">
        <v>595</v>
      </c>
      <c r="E44" s="409" t="s">
        <v>997</v>
      </c>
      <c r="F44" s="409" t="s">
        <v>1323</v>
      </c>
      <c r="G44" s="409" t="s">
        <v>1323</v>
      </c>
      <c r="H44" s="409" t="s">
        <v>1323</v>
      </c>
      <c r="I44" s="409" t="s">
        <v>972</v>
      </c>
      <c r="J44" s="409" t="s">
        <v>2242</v>
      </c>
      <c r="K44" s="838">
        <v>44348</v>
      </c>
      <c r="L44" s="409">
        <v>0</v>
      </c>
      <c r="M44" s="409">
        <v>0</v>
      </c>
      <c r="N44" s="409">
        <v>0.35799999999999998</v>
      </c>
      <c r="O44" s="409">
        <v>0.35799999999999998</v>
      </c>
      <c r="P44" s="409">
        <v>0.35799999999999998</v>
      </c>
      <c r="Q44" s="409">
        <v>0.35799999999999998</v>
      </c>
      <c r="R44" s="409"/>
      <c r="S44" s="409">
        <v>1856.88</v>
      </c>
      <c r="T44" s="409">
        <v>273.74</v>
      </c>
      <c r="U44" s="409"/>
      <c r="V44" s="409">
        <v>762.76196000000004</v>
      </c>
      <c r="W44" s="409">
        <v>762.76196000000004</v>
      </c>
      <c r="X44" s="409">
        <v>698.91265999999996</v>
      </c>
      <c r="Y44" s="409">
        <v>0</v>
      </c>
      <c r="Z44" s="409">
        <v>18.804214420443611</v>
      </c>
      <c r="AA44" s="409">
        <v>0</v>
      </c>
      <c r="AB44" s="409">
        <v>0</v>
      </c>
      <c r="AC44" s="409">
        <v>0</v>
      </c>
      <c r="AD44" s="409">
        <v>175.45288961227385</v>
      </c>
      <c r="AE44" s="409">
        <v>466.25258450385542</v>
      </c>
      <c r="AF44" s="409">
        <v>97.998654968929415</v>
      </c>
      <c r="AG44" s="409">
        <v>0</v>
      </c>
      <c r="AH44" s="409">
        <v>0</v>
      </c>
      <c r="AI44" s="409">
        <v>0</v>
      </c>
      <c r="AJ44" s="409">
        <v>0</v>
      </c>
      <c r="AK44" s="409">
        <v>0</v>
      </c>
      <c r="AL44" s="409">
        <v>3.3424844852220987</v>
      </c>
      <c r="AM44" s="409"/>
      <c r="AN44" s="409">
        <v>0.31077547183991489</v>
      </c>
      <c r="AO44" s="409">
        <v>0</v>
      </c>
      <c r="AP44" s="409">
        <v>0</v>
      </c>
      <c r="AQ44" s="409">
        <v>0</v>
      </c>
      <c r="AR44" s="409">
        <v>0</v>
      </c>
      <c r="AS44" s="409">
        <v>0</v>
      </c>
      <c r="AT44" s="409">
        <v>0</v>
      </c>
      <c r="AU44" s="409">
        <v>0</v>
      </c>
      <c r="AV44" s="409">
        <v>0</v>
      </c>
      <c r="AW44" s="409">
        <v>0</v>
      </c>
      <c r="AX44" s="409">
        <v>0</v>
      </c>
      <c r="AY44" s="409">
        <v>0</v>
      </c>
      <c r="AZ44" s="409">
        <v>0</v>
      </c>
      <c r="BA44" s="409"/>
      <c r="BB44" s="409">
        <v>0</v>
      </c>
      <c r="BC44" s="409">
        <v>0</v>
      </c>
      <c r="BD44" s="409">
        <v>0</v>
      </c>
      <c r="BE44" s="409">
        <v>0</v>
      </c>
      <c r="BF44" s="409">
        <v>0</v>
      </c>
      <c r="BG44" s="409">
        <v>0.59905066254351924</v>
      </c>
      <c r="BH44" s="409">
        <v>0</v>
      </c>
      <c r="BI44" s="409">
        <v>0</v>
      </c>
      <c r="BJ44" s="409">
        <v>0</v>
      </c>
      <c r="BK44" s="409">
        <v>0</v>
      </c>
      <c r="BL44" s="409">
        <v>0</v>
      </c>
      <c r="BM44" s="409"/>
      <c r="BN44" s="409"/>
      <c r="BO44" s="409"/>
      <c r="BP44" s="409"/>
      <c r="BQ44" s="409"/>
      <c r="BR44" s="409"/>
      <c r="BS44" s="409"/>
      <c r="BT44" s="409"/>
      <c r="BU44" s="409"/>
      <c r="BV44" s="409">
        <v>98.597705631472934</v>
      </c>
      <c r="BW44" s="409"/>
      <c r="BX44" s="409"/>
      <c r="BY44" s="409"/>
      <c r="BZ44" s="409"/>
      <c r="CA44" s="409"/>
      <c r="CB44" s="409"/>
      <c r="CC44" s="409"/>
      <c r="CD44" s="409"/>
      <c r="CE44" s="409"/>
      <c r="CF44" s="409"/>
      <c r="CG44" s="409"/>
      <c r="CH44" s="409"/>
      <c r="CI44" s="409">
        <v>702.81719999999996</v>
      </c>
      <c r="CJ44" s="409">
        <v>-59.97476000000006</v>
      </c>
      <c r="CK44" s="409"/>
      <c r="CL44" s="409"/>
      <c r="CM44" s="409"/>
      <c r="CN44" s="409"/>
      <c r="CO44" s="409">
        <v>-68.503300000000053</v>
      </c>
      <c r="CP44" s="409">
        <v>4.6539999999999999</v>
      </c>
      <c r="CQ44" s="409">
        <v>30</v>
      </c>
      <c r="CR44" s="409">
        <v>10.266786789663797</v>
      </c>
      <c r="CS44" s="409">
        <v>0</v>
      </c>
      <c r="CT44" s="409">
        <v>0</v>
      </c>
      <c r="CU44" s="409">
        <v>0</v>
      </c>
      <c r="CV44" s="409">
        <v>0</v>
      </c>
      <c r="CW44" s="409">
        <v>0</v>
      </c>
      <c r="CX44" s="409">
        <v>0</v>
      </c>
      <c r="CY44" s="409">
        <v>0</v>
      </c>
      <c r="CZ44" s="409">
        <v>6.01425171856161</v>
      </c>
      <c r="DA44" s="409">
        <v>0</v>
      </c>
      <c r="DB44" s="409">
        <v>0</v>
      </c>
      <c r="DC44" s="409">
        <v>5.2791601494112257</v>
      </c>
      <c r="DD44" s="409">
        <v>0</v>
      </c>
      <c r="DE44" s="409">
        <v>0</v>
      </c>
      <c r="DF44" s="409">
        <v>0</v>
      </c>
      <c r="DG44" s="409">
        <v>3.2270691737362855E-2</v>
      </c>
      <c r="DH44" s="409">
        <v>0</v>
      </c>
      <c r="DI44" s="409">
        <v>-1.1986046048237107</v>
      </c>
      <c r="DJ44" s="409"/>
      <c r="DK44" s="409">
        <v>0</v>
      </c>
      <c r="DL44" s="409">
        <v>0</v>
      </c>
      <c r="DM44" s="409">
        <v>0</v>
      </c>
      <c r="DN44" s="409">
        <v>0</v>
      </c>
      <c r="DO44" s="409">
        <v>-0.1752524701868885</v>
      </c>
      <c r="DP44" s="409">
        <v>-2.0504785525419789E-2</v>
      </c>
      <c r="DQ44" s="409">
        <v>0</v>
      </c>
      <c r="DR44" s="409">
        <v>0.33546609048961318</v>
      </c>
      <c r="DS44" s="409"/>
      <c r="DT44" s="409"/>
      <c r="DU44" s="409"/>
      <c r="DV44" s="409">
        <v>466.25258450385542</v>
      </c>
      <c r="DW44" s="409">
        <v>0</v>
      </c>
      <c r="DX44" s="409">
        <v>0</v>
      </c>
      <c r="DY44" s="409">
        <v>-68.503300000000081</v>
      </c>
      <c r="DZ44" s="409">
        <v>4.6539999999999964</v>
      </c>
      <c r="EA44" s="409">
        <v>0</v>
      </c>
      <c r="EB44" s="409">
        <v>0</v>
      </c>
      <c r="EC44" s="409">
        <v>-74.112238540588805</v>
      </c>
      <c r="ED44" s="409">
        <v>0</v>
      </c>
      <c r="EE44" s="409">
        <v>0</v>
      </c>
      <c r="EF44" s="409">
        <v>0</v>
      </c>
      <c r="EG44" s="409">
        <v>0</v>
      </c>
      <c r="EH44" s="409">
        <v>0</v>
      </c>
      <c r="EI44" s="409">
        <v>0</v>
      </c>
      <c r="EJ44" s="409">
        <v>0</v>
      </c>
      <c r="EK44" s="409">
        <v>0</v>
      </c>
      <c r="EL44" s="409">
        <v>0</v>
      </c>
      <c r="EM44" s="409">
        <v>0</v>
      </c>
      <c r="EN44" s="409">
        <v>0</v>
      </c>
      <c r="EO44" s="409">
        <v>0</v>
      </c>
      <c r="EP44" s="409">
        <v>0</v>
      </c>
      <c r="EQ44" s="409">
        <v>0</v>
      </c>
      <c r="ER44" s="409">
        <v>0</v>
      </c>
      <c r="ES44" s="409">
        <v>0</v>
      </c>
      <c r="ET44" s="409">
        <v>0</v>
      </c>
      <c r="EU44" s="409">
        <v>0</v>
      </c>
      <c r="EV44" s="409">
        <v>210</v>
      </c>
      <c r="EW44" s="409">
        <v>0</v>
      </c>
      <c r="EX44" s="409">
        <v>0</v>
      </c>
      <c r="EY44" s="409">
        <v>0</v>
      </c>
      <c r="EZ44" s="409"/>
      <c r="FA44" s="409">
        <v>0</v>
      </c>
      <c r="FB44" s="409"/>
      <c r="FC44" s="409"/>
      <c r="FD44" s="409"/>
      <c r="FE44" s="409"/>
      <c r="FF44" s="409">
        <v>0</v>
      </c>
      <c r="FG44" s="409">
        <v>0</v>
      </c>
      <c r="FH44" s="409">
        <v>0</v>
      </c>
      <c r="FI44" s="409">
        <v>0</v>
      </c>
    </row>
    <row r="45" spans="1:165" customFormat="1">
      <c r="A45" s="409">
        <v>43</v>
      </c>
      <c r="B45" s="409" t="s">
        <v>1035</v>
      </c>
      <c r="C45" s="409" t="s">
        <v>2246</v>
      </c>
      <c r="D45" s="409" t="s">
        <v>595</v>
      </c>
      <c r="E45" s="409" t="s">
        <v>997</v>
      </c>
      <c r="F45" s="409" t="s">
        <v>1323</v>
      </c>
      <c r="G45" s="409" t="s">
        <v>1323</v>
      </c>
      <c r="H45" s="409" t="s">
        <v>1323</v>
      </c>
      <c r="I45" s="409" t="s">
        <v>2234</v>
      </c>
      <c r="J45" s="409" t="s">
        <v>2242</v>
      </c>
      <c r="K45" s="838">
        <v>44348</v>
      </c>
      <c r="L45" s="409">
        <v>0</v>
      </c>
      <c r="M45" s="409">
        <v>0</v>
      </c>
      <c r="N45" s="409">
        <v>24.747</v>
      </c>
      <c r="O45" s="409">
        <v>24.747</v>
      </c>
      <c r="P45" s="409">
        <v>24.747</v>
      </c>
      <c r="Q45" s="409">
        <v>24.747</v>
      </c>
      <c r="R45" s="409"/>
      <c r="S45" s="409">
        <v>64.400000000000006</v>
      </c>
      <c r="T45" s="409">
        <v>273.74</v>
      </c>
      <c r="U45" s="409"/>
      <c r="V45" s="409">
        <v>8367.9505800000006</v>
      </c>
      <c r="W45" s="409">
        <v>8367.9505800000006</v>
      </c>
      <c r="X45" s="409">
        <v>8597.8502100000005</v>
      </c>
      <c r="Y45" s="409">
        <v>0</v>
      </c>
      <c r="Z45" s="409">
        <v>1299.8544532478159</v>
      </c>
      <c r="AA45" s="409">
        <v>0</v>
      </c>
      <c r="AB45" s="409">
        <v>0</v>
      </c>
      <c r="AC45" s="409">
        <v>0</v>
      </c>
      <c r="AD45" s="409">
        <v>0</v>
      </c>
      <c r="AE45" s="409">
        <v>0</v>
      </c>
      <c r="AF45" s="409">
        <v>6774.2254595421682</v>
      </c>
      <c r="AG45" s="409">
        <v>0</v>
      </c>
      <c r="AH45" s="409">
        <v>0</v>
      </c>
      <c r="AI45" s="409">
        <v>0</v>
      </c>
      <c r="AJ45" s="409">
        <v>0</v>
      </c>
      <c r="AK45" s="409">
        <v>0</v>
      </c>
      <c r="AL45" s="409">
        <v>231.05157417818793</v>
      </c>
      <c r="AM45" s="409"/>
      <c r="AN45" s="409">
        <v>21.482571512911658</v>
      </c>
      <c r="AO45" s="409">
        <v>0</v>
      </c>
      <c r="AP45" s="409">
        <v>0</v>
      </c>
      <c r="AQ45" s="409">
        <v>0</v>
      </c>
      <c r="AR45" s="409">
        <v>0</v>
      </c>
      <c r="AS45" s="409">
        <v>0</v>
      </c>
      <c r="AT45" s="409">
        <v>0</v>
      </c>
      <c r="AU45" s="409">
        <v>0</v>
      </c>
      <c r="AV45" s="409">
        <v>0</v>
      </c>
      <c r="AW45" s="409">
        <v>0</v>
      </c>
      <c r="AX45" s="409">
        <v>0</v>
      </c>
      <c r="AY45" s="409">
        <v>0</v>
      </c>
      <c r="AZ45" s="409">
        <v>0</v>
      </c>
      <c r="BA45" s="409"/>
      <c r="BB45" s="409">
        <v>0</v>
      </c>
      <c r="BC45" s="409">
        <v>0</v>
      </c>
      <c r="BD45" s="409">
        <v>0</v>
      </c>
      <c r="BE45" s="409">
        <v>0</v>
      </c>
      <c r="BF45" s="409">
        <v>0</v>
      </c>
      <c r="BG45" s="409">
        <v>41.409795379789024</v>
      </c>
      <c r="BH45" s="409">
        <v>0</v>
      </c>
      <c r="BI45" s="409">
        <v>0</v>
      </c>
      <c r="BJ45" s="409">
        <v>0</v>
      </c>
      <c r="BK45" s="409">
        <v>0</v>
      </c>
      <c r="BL45" s="409">
        <v>0</v>
      </c>
      <c r="BM45" s="409"/>
      <c r="BN45" s="409"/>
      <c r="BO45" s="409"/>
      <c r="BP45" s="409"/>
      <c r="BQ45" s="409"/>
      <c r="BR45" s="409"/>
      <c r="BS45" s="409"/>
      <c r="BT45" s="409"/>
      <c r="BU45" s="409"/>
      <c r="BV45" s="409">
        <v>6815.6352549219573</v>
      </c>
      <c r="BW45" s="409"/>
      <c r="BX45" s="409"/>
      <c r="BY45" s="409"/>
      <c r="BZ45" s="409"/>
      <c r="CA45" s="409"/>
      <c r="CB45" s="409"/>
      <c r="CC45" s="409"/>
      <c r="CD45" s="409"/>
      <c r="CE45" s="409"/>
      <c r="CF45" s="409"/>
      <c r="CG45" s="409"/>
      <c r="CH45" s="409"/>
      <c r="CI45" s="409">
        <v>8598.8924999999999</v>
      </c>
      <c r="CJ45" s="409">
        <v>230.91192000000046</v>
      </c>
      <c r="CK45" s="409"/>
      <c r="CL45" s="409"/>
      <c r="CM45" s="409"/>
      <c r="CN45" s="409"/>
      <c r="CO45" s="409">
        <v>-91.811370000000196</v>
      </c>
      <c r="CP45" s="409">
        <v>321.71100000000001</v>
      </c>
      <c r="CQ45" s="409">
        <v>30</v>
      </c>
      <c r="CR45" s="409">
        <v>229.93736544631793</v>
      </c>
      <c r="CS45" s="409">
        <v>0</v>
      </c>
      <c r="CT45" s="409">
        <v>0</v>
      </c>
      <c r="CU45" s="409">
        <v>0</v>
      </c>
      <c r="CV45" s="409">
        <v>0</v>
      </c>
      <c r="CW45" s="409">
        <v>0</v>
      </c>
      <c r="CX45" s="409">
        <v>0</v>
      </c>
      <c r="CY45" s="409">
        <v>0</v>
      </c>
      <c r="CZ45" s="409">
        <v>0</v>
      </c>
      <c r="DA45" s="409">
        <v>0</v>
      </c>
      <c r="DB45" s="409">
        <v>0</v>
      </c>
      <c r="DC45" s="409">
        <v>364.92563189240173</v>
      </c>
      <c r="DD45" s="409">
        <v>0</v>
      </c>
      <c r="DE45" s="409">
        <v>0</v>
      </c>
      <c r="DF45" s="409">
        <v>0</v>
      </c>
      <c r="DG45" s="409">
        <v>2.2307341017444671</v>
      </c>
      <c r="DH45" s="409">
        <v>0</v>
      </c>
      <c r="DI45" s="409">
        <v>-82.854380322828092</v>
      </c>
      <c r="DJ45" s="409"/>
      <c r="DK45" s="409">
        <v>0</v>
      </c>
      <c r="DL45" s="409">
        <v>0</v>
      </c>
      <c r="DM45" s="409">
        <v>0</v>
      </c>
      <c r="DN45" s="409">
        <v>0</v>
      </c>
      <c r="DO45" s="409">
        <v>-12.114449384678579</v>
      </c>
      <c r="DP45" s="409">
        <v>-1.4174076184289497</v>
      </c>
      <c r="DQ45" s="409">
        <v>0</v>
      </c>
      <c r="DR45" s="409">
        <v>-40.832763221890865</v>
      </c>
      <c r="DS45" s="409"/>
      <c r="DT45" s="409"/>
      <c r="DU45" s="409"/>
      <c r="DV45" s="409">
        <v>0</v>
      </c>
      <c r="DW45" s="409">
        <v>0</v>
      </c>
      <c r="DX45" s="409">
        <v>0</v>
      </c>
      <c r="DY45" s="409">
        <v>-91.811370000000124</v>
      </c>
      <c r="DZ45" s="409">
        <v>321.71100000000024</v>
      </c>
      <c r="EA45" s="409">
        <v>0</v>
      </c>
      <c r="EB45" s="409">
        <v>0</v>
      </c>
      <c r="EC45" s="409">
        <v>0</v>
      </c>
      <c r="ED45" s="409">
        <v>0</v>
      </c>
      <c r="EE45" s="409">
        <v>0</v>
      </c>
      <c r="EF45" s="409">
        <v>0</v>
      </c>
      <c r="EG45" s="409">
        <v>0</v>
      </c>
      <c r="EH45" s="409">
        <v>0</v>
      </c>
      <c r="EI45" s="409">
        <v>0</v>
      </c>
      <c r="EJ45" s="409">
        <v>0</v>
      </c>
      <c r="EK45" s="409">
        <v>0</v>
      </c>
      <c r="EL45" s="409">
        <v>0</v>
      </c>
      <c r="EM45" s="409">
        <v>0</v>
      </c>
      <c r="EN45" s="409">
        <v>0</v>
      </c>
      <c r="EO45" s="409">
        <v>0</v>
      </c>
      <c r="EP45" s="409">
        <v>0</v>
      </c>
      <c r="EQ45" s="409">
        <v>0</v>
      </c>
      <c r="ER45" s="409">
        <v>0</v>
      </c>
      <c r="ES45" s="409">
        <v>0</v>
      </c>
      <c r="ET45" s="409">
        <v>0</v>
      </c>
      <c r="EU45" s="409">
        <v>0</v>
      </c>
      <c r="EV45" s="409">
        <v>210</v>
      </c>
      <c r="EW45" s="409">
        <v>0</v>
      </c>
      <c r="EX45" s="409">
        <v>0</v>
      </c>
      <c r="EY45" s="409">
        <v>0</v>
      </c>
      <c r="EZ45" s="409"/>
      <c r="FA45" s="409">
        <v>0</v>
      </c>
      <c r="FB45" s="409"/>
      <c r="FC45" s="409"/>
      <c r="FD45" s="409"/>
      <c r="FE45" s="409"/>
      <c r="FF45" s="409">
        <v>0</v>
      </c>
      <c r="FG45" s="409">
        <v>0</v>
      </c>
      <c r="FH45" s="409">
        <v>0</v>
      </c>
      <c r="FI45" s="409">
        <v>0</v>
      </c>
    </row>
    <row r="46" spans="1:165" customFormat="1">
      <c r="A46" s="409">
        <v>44</v>
      </c>
      <c r="B46" s="409" t="s">
        <v>1035</v>
      </c>
      <c r="C46" s="409" t="s">
        <v>2246</v>
      </c>
      <c r="D46" s="409" t="s">
        <v>595</v>
      </c>
      <c r="E46" s="409" t="s">
        <v>997</v>
      </c>
      <c r="F46" s="409" t="s">
        <v>1323</v>
      </c>
      <c r="G46" s="409" t="s">
        <v>1323</v>
      </c>
      <c r="H46" s="409" t="s">
        <v>1323</v>
      </c>
      <c r="I46" s="409" t="s">
        <v>1323</v>
      </c>
      <c r="J46" s="409" t="s">
        <v>2242</v>
      </c>
      <c r="K46" s="838">
        <v>44348</v>
      </c>
      <c r="L46" s="409">
        <v>215</v>
      </c>
      <c r="M46" s="409">
        <v>215</v>
      </c>
      <c r="N46" s="409">
        <v>0</v>
      </c>
      <c r="O46" s="409">
        <v>0</v>
      </c>
      <c r="P46" s="409">
        <v>0</v>
      </c>
      <c r="Q46" s="409">
        <v>0</v>
      </c>
      <c r="R46" s="409">
        <v>33.6</v>
      </c>
      <c r="S46" s="409"/>
      <c r="T46" s="409"/>
      <c r="U46" s="409">
        <v>7224</v>
      </c>
      <c r="V46" s="409"/>
      <c r="W46" s="409">
        <v>7224</v>
      </c>
      <c r="X46" s="409">
        <v>6828.4000000000005</v>
      </c>
      <c r="Y46" s="409">
        <v>0</v>
      </c>
      <c r="Z46" s="409">
        <v>0</v>
      </c>
      <c r="AA46" s="409">
        <v>0</v>
      </c>
      <c r="AB46" s="409">
        <v>0</v>
      </c>
      <c r="AC46" s="409">
        <v>0</v>
      </c>
      <c r="AD46" s="409">
        <v>3836.7856979005833</v>
      </c>
      <c r="AE46" s="409">
        <v>3387.3572528023742</v>
      </c>
      <c r="AF46" s="409"/>
      <c r="AG46" s="409"/>
      <c r="AH46" s="409"/>
      <c r="AI46" s="409">
        <v>0</v>
      </c>
      <c r="AJ46" s="409">
        <v>0</v>
      </c>
      <c r="AK46" s="409">
        <v>0</v>
      </c>
      <c r="AL46" s="409">
        <v>0</v>
      </c>
      <c r="AM46" s="409"/>
      <c r="AN46" s="409">
        <v>0</v>
      </c>
      <c r="AO46" s="409">
        <v>0</v>
      </c>
      <c r="AP46" s="409">
        <v>0</v>
      </c>
      <c r="AQ46" s="409">
        <v>0</v>
      </c>
      <c r="AR46" s="409">
        <v>0</v>
      </c>
      <c r="AS46" s="409"/>
      <c r="AT46" s="409"/>
      <c r="AU46" s="409">
        <v>0</v>
      </c>
      <c r="AV46" s="409">
        <v>0</v>
      </c>
      <c r="AW46" s="409">
        <v>0</v>
      </c>
      <c r="AX46" s="409"/>
      <c r="AY46" s="409"/>
      <c r="AZ46" s="409">
        <v>0</v>
      </c>
      <c r="BA46" s="409"/>
      <c r="BB46" s="409">
        <v>0</v>
      </c>
      <c r="BC46" s="409">
        <v>0</v>
      </c>
      <c r="BD46" s="409">
        <v>0</v>
      </c>
      <c r="BE46" s="409">
        <v>0</v>
      </c>
      <c r="BF46" s="409"/>
      <c r="BG46" s="409">
        <v>0</v>
      </c>
      <c r="BH46" s="409">
        <v>0</v>
      </c>
      <c r="BI46" s="409">
        <v>133.58000000000001</v>
      </c>
      <c r="BJ46" s="409">
        <v>616.58000000000004</v>
      </c>
      <c r="BK46" s="409">
        <v>3559.4</v>
      </c>
      <c r="BL46" s="409">
        <v>2</v>
      </c>
      <c r="BM46" s="409"/>
      <c r="BN46" s="409"/>
      <c r="BO46" s="409"/>
      <c r="BP46" s="409"/>
      <c r="BQ46" s="409"/>
      <c r="BR46" s="409"/>
      <c r="BS46" s="409"/>
      <c r="BT46" s="409"/>
      <c r="BU46" s="409"/>
      <c r="BV46" s="409">
        <v>0</v>
      </c>
      <c r="BW46" s="409"/>
      <c r="BX46" s="409"/>
      <c r="BY46" s="409"/>
      <c r="BZ46" s="409"/>
      <c r="CA46" s="409"/>
      <c r="CB46" s="409"/>
      <c r="CC46" s="409"/>
      <c r="CD46" s="409"/>
      <c r="CE46" s="409"/>
      <c r="CF46" s="409"/>
      <c r="CG46" s="409"/>
      <c r="CH46" s="409"/>
      <c r="CI46" s="409">
        <v>6828.4000000000005</v>
      </c>
      <c r="CJ46" s="409">
        <v>-395.63000000000011</v>
      </c>
      <c r="CK46" s="409"/>
      <c r="CL46" s="409"/>
      <c r="CM46" s="409"/>
      <c r="CN46" s="409"/>
      <c r="CO46" s="409">
        <v>-395.59999999999997</v>
      </c>
      <c r="CP46" s="409">
        <v>0</v>
      </c>
      <c r="CQ46" s="409">
        <v>30</v>
      </c>
      <c r="CR46" s="409">
        <v>141.94559312118008</v>
      </c>
      <c r="CS46" s="409">
        <v>0</v>
      </c>
      <c r="CT46" s="409">
        <v>0</v>
      </c>
      <c r="CU46" s="409">
        <v>0</v>
      </c>
      <c r="CV46" s="409">
        <v>0</v>
      </c>
      <c r="CW46" s="409"/>
      <c r="CX46" s="409"/>
      <c r="CY46" s="409"/>
      <c r="CZ46" s="409">
        <v>131.51903641109539</v>
      </c>
      <c r="DA46" s="409">
        <v>0</v>
      </c>
      <c r="DB46" s="409">
        <v>0</v>
      </c>
      <c r="DC46" s="409"/>
      <c r="DD46" s="409"/>
      <c r="DE46" s="409">
        <v>0</v>
      </c>
      <c r="DF46" s="409">
        <v>0</v>
      </c>
      <c r="DG46" s="409">
        <v>0</v>
      </c>
      <c r="DH46" s="409">
        <v>0</v>
      </c>
      <c r="DI46" s="409">
        <v>0</v>
      </c>
      <c r="DJ46" s="409"/>
      <c r="DK46" s="409">
        <v>0</v>
      </c>
      <c r="DL46" s="409">
        <v>0</v>
      </c>
      <c r="DM46" s="409"/>
      <c r="DN46" s="409">
        <v>0</v>
      </c>
      <c r="DO46" s="409">
        <v>0</v>
      </c>
      <c r="DP46" s="409">
        <v>0</v>
      </c>
      <c r="DQ46" s="409">
        <v>0</v>
      </c>
      <c r="DR46" s="409">
        <v>10.426556710084611</v>
      </c>
      <c r="DS46" s="409"/>
      <c r="DT46" s="409"/>
      <c r="DU46" s="409">
        <v>3387.3572528023742</v>
      </c>
      <c r="DV46" s="409"/>
      <c r="DW46" s="409">
        <v>0</v>
      </c>
      <c r="DX46" s="409">
        <v>0</v>
      </c>
      <c r="DY46" s="409">
        <v>-395.59999999999945</v>
      </c>
      <c r="DZ46" s="409"/>
      <c r="EA46" s="409">
        <v>0</v>
      </c>
      <c r="EB46" s="409"/>
      <c r="EC46" s="409">
        <v>-538.43053547688214</v>
      </c>
      <c r="ED46" s="409"/>
      <c r="EE46" s="409">
        <v>0</v>
      </c>
      <c r="EF46" s="409">
        <v>0</v>
      </c>
      <c r="EG46" s="409"/>
      <c r="EH46" s="409">
        <v>0</v>
      </c>
      <c r="EI46" s="409">
        <v>0</v>
      </c>
      <c r="EJ46" s="409">
        <v>0</v>
      </c>
      <c r="EK46" s="409">
        <v>0</v>
      </c>
      <c r="EL46" s="409">
        <v>0</v>
      </c>
      <c r="EM46" s="409"/>
      <c r="EN46" s="409"/>
      <c r="EO46" s="409">
        <v>0</v>
      </c>
      <c r="EP46" s="409">
        <v>0</v>
      </c>
      <c r="EQ46" s="409"/>
      <c r="ER46" s="409">
        <v>0</v>
      </c>
      <c r="ES46" s="409"/>
      <c r="ET46" s="409">
        <v>0</v>
      </c>
      <c r="EU46" s="409"/>
      <c r="EV46" s="409">
        <v>210</v>
      </c>
      <c r="EW46" s="409"/>
      <c r="EX46" s="409"/>
      <c r="EY46" s="409"/>
      <c r="EZ46" s="409"/>
      <c r="FA46" s="409">
        <v>0</v>
      </c>
      <c r="FB46" s="409"/>
      <c r="FC46" s="409"/>
      <c r="FD46" s="409"/>
      <c r="FE46" s="409"/>
      <c r="FF46" s="409">
        <v>0</v>
      </c>
      <c r="FG46" s="409">
        <v>0</v>
      </c>
      <c r="FH46" s="409">
        <v>0</v>
      </c>
      <c r="FI46" s="409">
        <v>0</v>
      </c>
    </row>
    <row r="47" spans="1:165" customFormat="1">
      <c r="A47" s="409">
        <v>45</v>
      </c>
      <c r="B47" s="409" t="s">
        <v>1035</v>
      </c>
      <c r="C47" s="409" t="s">
        <v>2241</v>
      </c>
      <c r="D47" s="409" t="s">
        <v>2247</v>
      </c>
      <c r="E47" s="409" t="s">
        <v>973</v>
      </c>
      <c r="F47" s="409" t="s">
        <v>1323</v>
      </c>
      <c r="G47" s="409" t="s">
        <v>1323</v>
      </c>
      <c r="H47" s="409" t="s">
        <v>1323</v>
      </c>
      <c r="I47" s="409" t="s">
        <v>1323</v>
      </c>
      <c r="J47" s="409" t="s">
        <v>2242</v>
      </c>
      <c r="K47" s="838">
        <v>44348</v>
      </c>
      <c r="L47" s="409">
        <v>0</v>
      </c>
      <c r="M47" s="409">
        <v>0</v>
      </c>
      <c r="N47" s="409">
        <v>396.56900000000002</v>
      </c>
      <c r="O47" s="409">
        <v>396.56900000000002</v>
      </c>
      <c r="P47" s="409">
        <v>396.56900000000002</v>
      </c>
      <c r="Q47" s="409">
        <v>396.56900000000002</v>
      </c>
      <c r="R47" s="409"/>
      <c r="S47" s="409">
        <v>358.62</v>
      </c>
      <c r="T47" s="409">
        <v>273.74</v>
      </c>
      <c r="U47" s="409"/>
      <c r="V47" s="409">
        <v>250774.37284</v>
      </c>
      <c r="W47" s="409">
        <v>250774.37284</v>
      </c>
      <c r="X47" s="409">
        <v>243152.31666000001</v>
      </c>
      <c r="Y47" s="409">
        <v>0</v>
      </c>
      <c r="Z47" s="409">
        <v>23942.620267452985</v>
      </c>
      <c r="AA47" s="409">
        <v>0</v>
      </c>
      <c r="AB47" s="409">
        <v>0</v>
      </c>
      <c r="AC47" s="409">
        <v>0</v>
      </c>
      <c r="AD47" s="409">
        <v>34140.037375213287</v>
      </c>
      <c r="AE47" s="409">
        <v>78552.067109557451</v>
      </c>
      <c r="AF47" s="409">
        <v>108556.50447590328</v>
      </c>
      <c r="AG47" s="409">
        <v>0</v>
      </c>
      <c r="AH47" s="409">
        <v>0</v>
      </c>
      <c r="AI47" s="409">
        <v>0</v>
      </c>
      <c r="AJ47" s="409">
        <v>0</v>
      </c>
      <c r="AK47" s="409">
        <v>0</v>
      </c>
      <c r="AL47" s="409">
        <v>3702.5858374861523</v>
      </c>
      <c r="AM47" s="409"/>
      <c r="AN47" s="409">
        <v>422.38221996982764</v>
      </c>
      <c r="AO47" s="409">
        <v>0</v>
      </c>
      <c r="AP47" s="409">
        <v>0</v>
      </c>
      <c r="AQ47" s="409">
        <v>0</v>
      </c>
      <c r="AR47" s="409">
        <v>0</v>
      </c>
      <c r="AS47" s="409">
        <v>0</v>
      </c>
      <c r="AT47" s="409">
        <v>0</v>
      </c>
      <c r="AU47" s="409">
        <v>0</v>
      </c>
      <c r="AV47" s="409">
        <v>0</v>
      </c>
      <c r="AW47" s="409">
        <v>0</v>
      </c>
      <c r="AX47" s="409">
        <v>0</v>
      </c>
      <c r="AY47" s="409">
        <v>0</v>
      </c>
      <c r="AZ47" s="409">
        <v>0</v>
      </c>
      <c r="BA47" s="409"/>
      <c r="BB47" s="409">
        <v>0</v>
      </c>
      <c r="BC47" s="409">
        <v>0</v>
      </c>
      <c r="BD47" s="409">
        <v>0</v>
      </c>
      <c r="BE47" s="409">
        <v>0</v>
      </c>
      <c r="BF47" s="409">
        <v>0</v>
      </c>
      <c r="BG47" s="409">
        <v>1458.7498148225675</v>
      </c>
      <c r="BH47" s="409">
        <v>0</v>
      </c>
      <c r="BI47" s="409">
        <v>568.84</v>
      </c>
      <c r="BJ47" s="409">
        <v>2635.51</v>
      </c>
      <c r="BK47" s="409">
        <v>10821.33</v>
      </c>
      <c r="BL47" s="409">
        <v>1022</v>
      </c>
      <c r="BM47" s="409"/>
      <c r="BN47" s="409"/>
      <c r="BO47" s="409"/>
      <c r="BP47" s="409"/>
      <c r="BQ47" s="409"/>
      <c r="BR47" s="409">
        <v>34041.482960000008</v>
      </c>
      <c r="BS47" s="409"/>
      <c r="BT47" s="409"/>
      <c r="BU47" s="409"/>
      <c r="BV47" s="409">
        <v>110015.25429072585</v>
      </c>
      <c r="BW47" s="409"/>
      <c r="BX47" s="409"/>
      <c r="BY47" s="409"/>
      <c r="BZ47" s="409"/>
      <c r="CA47" s="409"/>
      <c r="CB47" s="409"/>
      <c r="CC47" s="409"/>
      <c r="CD47" s="409"/>
      <c r="CE47" s="409"/>
      <c r="CF47" s="409"/>
      <c r="CG47" s="409"/>
      <c r="CH47" s="409"/>
      <c r="CI47" s="409">
        <v>209111.36099999998</v>
      </c>
      <c r="CJ47" s="409">
        <v>-6558.7539600000309</v>
      </c>
      <c r="CK47" s="409"/>
      <c r="CL47" s="409"/>
      <c r="CM47" s="409"/>
      <c r="CN47" s="409"/>
      <c r="CO47" s="409">
        <v>-12777.453180000011</v>
      </c>
      <c r="CP47" s="409">
        <v>5155.3969999999999</v>
      </c>
      <c r="CQ47" s="409">
        <v>30</v>
      </c>
      <c r="CR47" s="409">
        <v>4862.6815822664357</v>
      </c>
      <c r="CS47" s="409">
        <v>0</v>
      </c>
      <c r="CT47" s="409">
        <v>0</v>
      </c>
      <c r="CU47" s="409">
        <v>0</v>
      </c>
      <c r="CV47" s="409">
        <v>0</v>
      </c>
      <c r="CW47" s="409">
        <v>0</v>
      </c>
      <c r="CX47" s="409">
        <v>0</v>
      </c>
      <c r="CY47" s="409">
        <v>0</v>
      </c>
      <c r="CZ47" s="409">
        <v>1170.2672945961967</v>
      </c>
      <c r="DA47" s="409">
        <v>0</v>
      </c>
      <c r="DB47" s="409">
        <v>0</v>
      </c>
      <c r="DC47" s="409">
        <v>5847.9085510945879</v>
      </c>
      <c r="DD47" s="409">
        <v>0</v>
      </c>
      <c r="DE47" s="409">
        <v>0</v>
      </c>
      <c r="DF47" s="409">
        <v>0</v>
      </c>
      <c r="DG47" s="409">
        <v>78.582444757167195</v>
      </c>
      <c r="DH47" s="409">
        <v>0</v>
      </c>
      <c r="DI47" s="409">
        <v>-1526.1331456056505</v>
      </c>
      <c r="DJ47" s="409"/>
      <c r="DK47" s="409">
        <v>0</v>
      </c>
      <c r="DL47" s="409">
        <v>0</v>
      </c>
      <c r="DM47" s="409">
        <v>0</v>
      </c>
      <c r="DN47" s="409">
        <v>0</v>
      </c>
      <c r="DO47" s="409">
        <v>-194.13323142330773</v>
      </c>
      <c r="DP47" s="409">
        <v>-27.86853408654315</v>
      </c>
      <c r="DQ47" s="409">
        <v>0</v>
      </c>
      <c r="DR47" s="409">
        <v>-485.94179706603632</v>
      </c>
      <c r="DS47" s="409"/>
      <c r="DT47" s="409"/>
      <c r="DU47" s="409"/>
      <c r="DV47" s="409">
        <v>78552.067109557451</v>
      </c>
      <c r="DW47" s="409">
        <v>0</v>
      </c>
      <c r="DX47" s="409">
        <v>0</v>
      </c>
      <c r="DY47" s="409">
        <v>-12777.453179999997</v>
      </c>
      <c r="DZ47" s="409">
        <v>5155.3970000000118</v>
      </c>
      <c r="EA47" s="409">
        <v>0</v>
      </c>
      <c r="EB47" s="409">
        <v>0</v>
      </c>
      <c r="EC47" s="409">
        <v>-12486.085287173351</v>
      </c>
      <c r="ED47" s="409">
        <v>0</v>
      </c>
      <c r="EE47" s="409">
        <v>0</v>
      </c>
      <c r="EF47" s="409">
        <v>0</v>
      </c>
      <c r="EG47" s="409">
        <v>0</v>
      </c>
      <c r="EH47" s="409">
        <v>0</v>
      </c>
      <c r="EI47" s="409">
        <v>0</v>
      </c>
      <c r="EJ47" s="409">
        <v>0</v>
      </c>
      <c r="EK47" s="409">
        <v>0</v>
      </c>
      <c r="EL47" s="409">
        <v>0</v>
      </c>
      <c r="EM47" s="409">
        <v>0</v>
      </c>
      <c r="EN47" s="409">
        <v>0</v>
      </c>
      <c r="EO47" s="409">
        <v>0</v>
      </c>
      <c r="EP47" s="409">
        <v>0</v>
      </c>
      <c r="EQ47" s="409">
        <v>0</v>
      </c>
      <c r="ER47" s="409">
        <v>0</v>
      </c>
      <c r="ES47" s="409">
        <v>0</v>
      </c>
      <c r="ET47" s="409">
        <v>0</v>
      </c>
      <c r="EU47" s="409">
        <v>0</v>
      </c>
      <c r="EV47" s="409">
        <v>210</v>
      </c>
      <c r="EW47" s="409">
        <v>0</v>
      </c>
      <c r="EX47" s="409">
        <v>0</v>
      </c>
      <c r="EY47" s="409">
        <v>0</v>
      </c>
      <c r="EZ47" s="409"/>
      <c r="FA47" s="409">
        <v>0</v>
      </c>
      <c r="FB47" s="409"/>
      <c r="FC47" s="409"/>
      <c r="FD47" s="409"/>
      <c r="FE47" s="409"/>
      <c r="FF47" s="409">
        <v>0</v>
      </c>
      <c r="FG47" s="409">
        <v>0</v>
      </c>
      <c r="FH47" s="409">
        <v>0</v>
      </c>
      <c r="FI47" s="409">
        <v>0</v>
      </c>
    </row>
    <row r="48" spans="1:165" customFormat="1">
      <c r="A48" s="409">
        <v>46</v>
      </c>
      <c r="B48" s="409" t="s">
        <v>2257</v>
      </c>
      <c r="C48" s="409" t="s">
        <v>2241</v>
      </c>
      <c r="D48" s="409" t="s">
        <v>2247</v>
      </c>
      <c r="E48" s="409" t="s">
        <v>973</v>
      </c>
      <c r="F48" s="409" t="s">
        <v>1323</v>
      </c>
      <c r="G48" s="409" t="s">
        <v>1323</v>
      </c>
      <c r="H48" s="409" t="s">
        <v>1323</v>
      </c>
      <c r="I48" s="409" t="s">
        <v>1323</v>
      </c>
      <c r="J48" s="409" t="s">
        <v>2242</v>
      </c>
      <c r="K48" s="838">
        <v>44348</v>
      </c>
      <c r="L48" s="409">
        <v>0</v>
      </c>
      <c r="M48" s="409">
        <v>0</v>
      </c>
      <c r="N48" s="409">
        <v>-4.0709999999999997</v>
      </c>
      <c r="O48" s="409">
        <v>-4.0709999999999997</v>
      </c>
      <c r="P48" s="409">
        <v>-4.0709999999999997</v>
      </c>
      <c r="Q48" s="409">
        <v>-4.0709999999999997</v>
      </c>
      <c r="R48" s="409"/>
      <c r="S48" s="409">
        <v>358.62</v>
      </c>
      <c r="T48" s="409">
        <v>273.74</v>
      </c>
      <c r="U48" s="409"/>
      <c r="V48" s="409">
        <v>-2574.3375599999999</v>
      </c>
      <c r="W48" s="409">
        <v>-2574.3375599999999</v>
      </c>
      <c r="X48" s="409">
        <v>-2496.0929399999995</v>
      </c>
      <c r="Y48" s="409">
        <v>0</v>
      </c>
      <c r="Z48" s="409">
        <v>-245.78423202217294</v>
      </c>
      <c r="AA48" s="409">
        <v>0</v>
      </c>
      <c r="AB48" s="409">
        <v>0</v>
      </c>
      <c r="AC48" s="409">
        <v>0</v>
      </c>
      <c r="AD48" s="409">
        <v>-350.46635555097163</v>
      </c>
      <c r="AE48" s="409">
        <v>-806.38039080969088</v>
      </c>
      <c r="AF48" s="409">
        <v>-1114.3925261969598</v>
      </c>
      <c r="AG48" s="409">
        <v>0</v>
      </c>
      <c r="AH48" s="409">
        <v>0</v>
      </c>
      <c r="AI48" s="409">
        <v>0</v>
      </c>
      <c r="AJ48" s="409">
        <v>0</v>
      </c>
      <c r="AK48" s="409">
        <v>0</v>
      </c>
      <c r="AL48" s="409">
        <v>-38.009090333349619</v>
      </c>
      <c r="AM48" s="409"/>
      <c r="AN48" s="409">
        <v>-4.3359869719952089</v>
      </c>
      <c r="AO48" s="409">
        <v>0</v>
      </c>
      <c r="AP48" s="409">
        <v>0</v>
      </c>
      <c r="AQ48" s="409">
        <v>0</v>
      </c>
      <c r="AR48" s="409">
        <v>0</v>
      </c>
      <c r="AS48" s="409">
        <v>0</v>
      </c>
      <c r="AT48" s="409">
        <v>0</v>
      </c>
      <c r="AU48" s="409">
        <v>0</v>
      </c>
      <c r="AV48" s="409">
        <v>0</v>
      </c>
      <c r="AW48" s="409">
        <v>0</v>
      </c>
      <c r="AX48" s="409">
        <v>0</v>
      </c>
      <c r="AY48" s="409">
        <v>0</v>
      </c>
      <c r="AZ48" s="409">
        <v>0</v>
      </c>
      <c r="BA48" s="409"/>
      <c r="BB48" s="409">
        <v>0</v>
      </c>
      <c r="BC48" s="409">
        <v>0</v>
      </c>
      <c r="BD48" s="409">
        <v>0</v>
      </c>
      <c r="BE48" s="409">
        <v>0</v>
      </c>
      <c r="BF48" s="409">
        <v>0</v>
      </c>
      <c r="BG48" s="409">
        <v>-14.974873215361443</v>
      </c>
      <c r="BH48" s="409">
        <v>0</v>
      </c>
      <c r="BI48" s="409">
        <v>0</v>
      </c>
      <c r="BJ48" s="409">
        <v>0</v>
      </c>
      <c r="BK48" s="409">
        <v>-146.99</v>
      </c>
      <c r="BL48" s="409">
        <v>0</v>
      </c>
      <c r="BM48" s="409"/>
      <c r="BN48" s="409"/>
      <c r="BO48" s="409"/>
      <c r="BP48" s="409"/>
      <c r="BQ48" s="409"/>
      <c r="BR48" s="409">
        <v>-349.45464000000004</v>
      </c>
      <c r="BS48" s="409"/>
      <c r="BT48" s="409"/>
      <c r="BU48" s="409"/>
      <c r="BV48" s="409">
        <v>-1129.3673994123212</v>
      </c>
      <c r="BW48" s="409"/>
      <c r="BX48" s="409"/>
      <c r="BY48" s="409"/>
      <c r="BZ48" s="409"/>
      <c r="CA48" s="409"/>
      <c r="CB48" s="409"/>
      <c r="CC48" s="409"/>
      <c r="CD48" s="409"/>
      <c r="CE48" s="409"/>
      <c r="CF48" s="409"/>
      <c r="CG48" s="409"/>
      <c r="CH48" s="409"/>
      <c r="CI48" s="409">
        <v>-2146.1109999999999</v>
      </c>
      <c r="CJ48" s="409">
        <v>67.831639999999879</v>
      </c>
      <c r="CK48" s="409"/>
      <c r="CL48" s="409"/>
      <c r="CM48" s="409"/>
      <c r="CN48" s="409"/>
      <c r="CO48" s="409">
        <v>131.16762000000011</v>
      </c>
      <c r="CP48" s="409">
        <v>-52.922999999999995</v>
      </c>
      <c r="CQ48" s="409">
        <v>30</v>
      </c>
      <c r="CR48" s="409">
        <v>-49.918114430040077</v>
      </c>
      <c r="CS48" s="409">
        <v>0</v>
      </c>
      <c r="CT48" s="409">
        <v>0</v>
      </c>
      <c r="CU48" s="409">
        <v>0</v>
      </c>
      <c r="CV48" s="409">
        <v>0</v>
      </c>
      <c r="CW48" s="409">
        <v>0</v>
      </c>
      <c r="CX48" s="409">
        <v>0</v>
      </c>
      <c r="CY48" s="409">
        <v>0</v>
      </c>
      <c r="CZ48" s="409">
        <v>-12.013440678169843</v>
      </c>
      <c r="DA48" s="409">
        <v>0</v>
      </c>
      <c r="DB48" s="409">
        <v>0</v>
      </c>
      <c r="DC48" s="409">
        <v>-60.032013877802001</v>
      </c>
      <c r="DD48" s="409">
        <v>0</v>
      </c>
      <c r="DE48" s="409">
        <v>0</v>
      </c>
      <c r="DF48" s="409">
        <v>0</v>
      </c>
      <c r="DG48" s="409">
        <v>-0.80669223415452862</v>
      </c>
      <c r="DH48" s="409">
        <v>0</v>
      </c>
      <c r="DI48" s="409">
        <v>15.66660035393744</v>
      </c>
      <c r="DJ48" s="409"/>
      <c r="DK48" s="409">
        <v>0</v>
      </c>
      <c r="DL48" s="409">
        <v>0</v>
      </c>
      <c r="DM48" s="409">
        <v>0</v>
      </c>
      <c r="DN48" s="409">
        <v>0</v>
      </c>
      <c r="DO48" s="409">
        <v>1.992884933326323</v>
      </c>
      <c r="DP48" s="409">
        <v>0.28608590753769647</v>
      </c>
      <c r="DQ48" s="409">
        <v>0</v>
      </c>
      <c r="DR48" s="409">
        <v>4.9884611652848143</v>
      </c>
      <c r="DS48" s="409"/>
      <c r="DT48" s="409"/>
      <c r="DU48" s="409"/>
      <c r="DV48" s="409">
        <v>-806.38039080969088</v>
      </c>
      <c r="DW48" s="409">
        <v>0</v>
      </c>
      <c r="DX48" s="409">
        <v>0</v>
      </c>
      <c r="DY48" s="409">
        <v>131.16762000000017</v>
      </c>
      <c r="DZ48" s="409">
        <v>-52.923000000000002</v>
      </c>
      <c r="EA48" s="409">
        <v>0</v>
      </c>
      <c r="EB48" s="409">
        <v>0</v>
      </c>
      <c r="EC48" s="409">
        <v>128.17656751809307</v>
      </c>
      <c r="ED48" s="409">
        <v>0</v>
      </c>
      <c r="EE48" s="409">
        <v>0</v>
      </c>
      <c r="EF48" s="409">
        <v>0</v>
      </c>
      <c r="EG48" s="409">
        <v>0</v>
      </c>
      <c r="EH48" s="409">
        <v>0</v>
      </c>
      <c r="EI48" s="409">
        <v>0</v>
      </c>
      <c r="EJ48" s="409">
        <v>0</v>
      </c>
      <c r="EK48" s="409">
        <v>0</v>
      </c>
      <c r="EL48" s="409">
        <v>0</v>
      </c>
      <c r="EM48" s="409">
        <v>0</v>
      </c>
      <c r="EN48" s="409">
        <v>0</v>
      </c>
      <c r="EO48" s="409">
        <v>0</v>
      </c>
      <c r="EP48" s="409">
        <v>0</v>
      </c>
      <c r="EQ48" s="409">
        <v>0</v>
      </c>
      <c r="ER48" s="409">
        <v>0</v>
      </c>
      <c r="ES48" s="409">
        <v>0</v>
      </c>
      <c r="ET48" s="409">
        <v>0</v>
      </c>
      <c r="EU48" s="409">
        <v>0</v>
      </c>
      <c r="EV48" s="409">
        <v>210</v>
      </c>
      <c r="EW48" s="409">
        <v>0</v>
      </c>
      <c r="EX48" s="409">
        <v>0</v>
      </c>
      <c r="EY48" s="409">
        <v>0</v>
      </c>
      <c r="EZ48" s="409"/>
      <c r="FA48" s="409">
        <v>0</v>
      </c>
      <c r="FB48" s="409"/>
      <c r="FC48" s="409"/>
      <c r="FD48" s="409"/>
      <c r="FE48" s="409"/>
      <c r="FF48" s="409">
        <v>0</v>
      </c>
      <c r="FG48" s="409">
        <v>0</v>
      </c>
      <c r="FH48" s="409">
        <v>0</v>
      </c>
      <c r="FI48" s="409">
        <v>0</v>
      </c>
    </row>
    <row r="49" spans="1:165" customFormat="1">
      <c r="A49" s="409">
        <v>47</v>
      </c>
      <c r="B49" s="409" t="s">
        <v>2240</v>
      </c>
      <c r="C49" s="409" t="s">
        <v>2241</v>
      </c>
      <c r="D49" s="409" t="s">
        <v>2247</v>
      </c>
      <c r="E49" s="409" t="s">
        <v>973</v>
      </c>
      <c r="F49" s="409" t="s">
        <v>1323</v>
      </c>
      <c r="G49" s="409" t="s">
        <v>1323</v>
      </c>
      <c r="H49" s="409" t="s">
        <v>1323</v>
      </c>
      <c r="I49" s="409" t="s">
        <v>1323</v>
      </c>
      <c r="J49" s="409" t="s">
        <v>2242</v>
      </c>
      <c r="K49" s="838">
        <v>44348</v>
      </c>
      <c r="L49" s="409">
        <v>0</v>
      </c>
      <c r="M49" s="409">
        <v>0</v>
      </c>
      <c r="N49" s="409">
        <v>2.714</v>
      </c>
      <c r="O49" s="409">
        <v>2.714</v>
      </c>
      <c r="P49" s="409">
        <v>2.714</v>
      </c>
      <c r="Q49" s="409">
        <v>2.714</v>
      </c>
      <c r="R49" s="409"/>
      <c r="S49" s="409">
        <v>358.62</v>
      </c>
      <c r="T49" s="409">
        <v>273.74</v>
      </c>
      <c r="U49" s="409"/>
      <c r="V49" s="409">
        <v>1716.22504</v>
      </c>
      <c r="W49" s="409">
        <v>1716.22504</v>
      </c>
      <c r="X49" s="409">
        <v>1664.06196</v>
      </c>
      <c r="Y49" s="409">
        <v>0</v>
      </c>
      <c r="Z49" s="409">
        <v>163.85615468144863</v>
      </c>
      <c r="AA49" s="409">
        <v>0</v>
      </c>
      <c r="AB49" s="409">
        <v>0</v>
      </c>
      <c r="AC49" s="409">
        <v>0</v>
      </c>
      <c r="AD49" s="409">
        <v>233.64423703398111</v>
      </c>
      <c r="AE49" s="409">
        <v>537.5869272064607</v>
      </c>
      <c r="AF49" s="409">
        <v>742.92835079797328</v>
      </c>
      <c r="AG49" s="409">
        <v>0</v>
      </c>
      <c r="AH49" s="409">
        <v>0</v>
      </c>
      <c r="AI49" s="409">
        <v>0</v>
      </c>
      <c r="AJ49" s="409">
        <v>0</v>
      </c>
      <c r="AK49" s="409">
        <v>0</v>
      </c>
      <c r="AL49" s="409">
        <v>25.339393555566414</v>
      </c>
      <c r="AM49" s="409"/>
      <c r="AN49" s="409">
        <v>2.8906579813301398</v>
      </c>
      <c r="AO49" s="409">
        <v>0</v>
      </c>
      <c r="AP49" s="409">
        <v>0</v>
      </c>
      <c r="AQ49" s="409">
        <v>0</v>
      </c>
      <c r="AR49" s="409">
        <v>0</v>
      </c>
      <c r="AS49" s="409">
        <v>0</v>
      </c>
      <c r="AT49" s="409">
        <v>0</v>
      </c>
      <c r="AU49" s="409">
        <v>0</v>
      </c>
      <c r="AV49" s="409">
        <v>0</v>
      </c>
      <c r="AW49" s="409">
        <v>0</v>
      </c>
      <c r="AX49" s="409">
        <v>0</v>
      </c>
      <c r="AY49" s="409">
        <v>0</v>
      </c>
      <c r="AZ49" s="409">
        <v>0</v>
      </c>
      <c r="BA49" s="409"/>
      <c r="BB49" s="409">
        <v>0</v>
      </c>
      <c r="BC49" s="409">
        <v>0</v>
      </c>
      <c r="BD49" s="409">
        <v>0</v>
      </c>
      <c r="BE49" s="409">
        <v>0</v>
      </c>
      <c r="BF49" s="409">
        <v>0</v>
      </c>
      <c r="BG49" s="409">
        <v>9.983248810240962</v>
      </c>
      <c r="BH49" s="409">
        <v>0</v>
      </c>
      <c r="BI49" s="409">
        <v>1.02</v>
      </c>
      <c r="BJ49" s="409">
        <v>4.75</v>
      </c>
      <c r="BK49" s="409">
        <v>340</v>
      </c>
      <c r="BL49" s="409">
        <v>3</v>
      </c>
      <c r="BM49" s="409"/>
      <c r="BN49" s="409"/>
      <c r="BO49" s="409"/>
      <c r="BP49" s="409"/>
      <c r="BQ49" s="409"/>
      <c r="BR49" s="409">
        <v>232.96976000000001</v>
      </c>
      <c r="BS49" s="409"/>
      <c r="BT49" s="409"/>
      <c r="BU49" s="409"/>
      <c r="BV49" s="409">
        <v>752.91159960821426</v>
      </c>
      <c r="BW49" s="409"/>
      <c r="BX49" s="409"/>
      <c r="BY49" s="409"/>
      <c r="BZ49" s="409"/>
      <c r="CA49" s="409"/>
      <c r="CB49" s="409"/>
      <c r="CC49" s="409"/>
      <c r="CD49" s="409"/>
      <c r="CE49" s="409"/>
      <c r="CF49" s="409"/>
      <c r="CG49" s="409"/>
      <c r="CH49" s="409"/>
      <c r="CI49" s="409">
        <v>1428.9829999999999</v>
      </c>
      <c r="CJ49" s="409">
        <v>-47.02875999999992</v>
      </c>
      <c r="CK49" s="409"/>
      <c r="CL49" s="409"/>
      <c r="CM49" s="409"/>
      <c r="CN49" s="409"/>
      <c r="CO49" s="409">
        <v>-87.445080000000075</v>
      </c>
      <c r="CP49" s="409">
        <v>35.281999999999996</v>
      </c>
      <c r="CQ49" s="409">
        <v>30</v>
      </c>
      <c r="CR49" s="409">
        <v>33.278742953359824</v>
      </c>
      <c r="CS49" s="409">
        <v>0</v>
      </c>
      <c r="CT49" s="409">
        <v>0</v>
      </c>
      <c r="CU49" s="409">
        <v>0</v>
      </c>
      <c r="CV49" s="409">
        <v>0</v>
      </c>
      <c r="CW49" s="409">
        <v>0</v>
      </c>
      <c r="CX49" s="409">
        <v>0</v>
      </c>
      <c r="CY49" s="409">
        <v>0</v>
      </c>
      <c r="CZ49" s="409">
        <v>8.0089604521132003</v>
      </c>
      <c r="DA49" s="409">
        <v>0</v>
      </c>
      <c r="DB49" s="409">
        <v>0</v>
      </c>
      <c r="DC49" s="409">
        <v>40.021342585201296</v>
      </c>
      <c r="DD49" s="409">
        <v>0</v>
      </c>
      <c r="DE49" s="409">
        <v>0</v>
      </c>
      <c r="DF49" s="409">
        <v>0</v>
      </c>
      <c r="DG49" s="409">
        <v>0.53779482276968693</v>
      </c>
      <c r="DH49" s="409">
        <v>0</v>
      </c>
      <c r="DI49" s="409">
        <v>-10.444400235958284</v>
      </c>
      <c r="DJ49" s="409"/>
      <c r="DK49" s="409">
        <v>0</v>
      </c>
      <c r="DL49" s="409">
        <v>0</v>
      </c>
      <c r="DM49" s="409">
        <v>0</v>
      </c>
      <c r="DN49" s="409">
        <v>0</v>
      </c>
      <c r="DO49" s="409">
        <v>-1.328589955550882</v>
      </c>
      <c r="DP49" s="409">
        <v>-0.19072393835846491</v>
      </c>
      <c r="DQ49" s="409">
        <v>0</v>
      </c>
      <c r="DR49" s="409">
        <v>-3.3256407768565435</v>
      </c>
      <c r="DS49" s="409"/>
      <c r="DT49" s="409"/>
      <c r="DU49" s="409"/>
      <c r="DV49" s="409">
        <v>537.5869272064607</v>
      </c>
      <c r="DW49" s="409">
        <v>0</v>
      </c>
      <c r="DX49" s="409">
        <v>0</v>
      </c>
      <c r="DY49" s="409">
        <v>-87.445080000000075</v>
      </c>
      <c r="DZ49" s="409">
        <v>35.281999999999925</v>
      </c>
      <c r="EA49" s="409">
        <v>0</v>
      </c>
      <c r="EB49" s="409">
        <v>0</v>
      </c>
      <c r="EC49" s="409">
        <v>-85.451045012062139</v>
      </c>
      <c r="ED49" s="409">
        <v>0</v>
      </c>
      <c r="EE49" s="409">
        <v>0</v>
      </c>
      <c r="EF49" s="409">
        <v>0</v>
      </c>
      <c r="EG49" s="409">
        <v>0</v>
      </c>
      <c r="EH49" s="409">
        <v>0</v>
      </c>
      <c r="EI49" s="409">
        <v>0</v>
      </c>
      <c r="EJ49" s="409">
        <v>0</v>
      </c>
      <c r="EK49" s="409">
        <v>0</v>
      </c>
      <c r="EL49" s="409">
        <v>0</v>
      </c>
      <c r="EM49" s="409">
        <v>0</v>
      </c>
      <c r="EN49" s="409">
        <v>0</v>
      </c>
      <c r="EO49" s="409">
        <v>0</v>
      </c>
      <c r="EP49" s="409">
        <v>0</v>
      </c>
      <c r="EQ49" s="409">
        <v>0</v>
      </c>
      <c r="ER49" s="409">
        <v>0</v>
      </c>
      <c r="ES49" s="409">
        <v>0</v>
      </c>
      <c r="ET49" s="409">
        <v>0</v>
      </c>
      <c r="EU49" s="409">
        <v>0</v>
      </c>
      <c r="EV49" s="409">
        <v>210</v>
      </c>
      <c r="EW49" s="409">
        <v>0</v>
      </c>
      <c r="EX49" s="409">
        <v>0</v>
      </c>
      <c r="EY49" s="409">
        <v>0</v>
      </c>
      <c r="EZ49" s="409"/>
      <c r="FA49" s="409">
        <v>0</v>
      </c>
      <c r="FB49" s="409"/>
      <c r="FC49" s="409"/>
      <c r="FD49" s="409"/>
      <c r="FE49" s="409"/>
      <c r="FF49" s="409">
        <v>0</v>
      </c>
      <c r="FG49" s="409">
        <v>0</v>
      </c>
      <c r="FH49" s="409">
        <v>0</v>
      </c>
      <c r="FI49" s="409">
        <v>0</v>
      </c>
    </row>
    <row r="50" spans="1:165" customFormat="1">
      <c r="A50" s="409">
        <v>48</v>
      </c>
      <c r="B50" s="409" t="s">
        <v>1035</v>
      </c>
      <c r="C50" s="409" t="s">
        <v>2248</v>
      </c>
      <c r="D50" s="409" t="s">
        <v>2247</v>
      </c>
      <c r="E50" s="409" t="s">
        <v>973</v>
      </c>
      <c r="F50" s="409" t="s">
        <v>1323</v>
      </c>
      <c r="G50" s="409" t="s">
        <v>1323</v>
      </c>
      <c r="H50" s="409" t="s">
        <v>1323</v>
      </c>
      <c r="I50" s="409" t="s">
        <v>2234</v>
      </c>
      <c r="J50" s="409" t="s">
        <v>2242</v>
      </c>
      <c r="K50" s="838">
        <v>44348</v>
      </c>
      <c r="L50" s="409">
        <v>0</v>
      </c>
      <c r="M50" s="409">
        <v>0</v>
      </c>
      <c r="N50" s="409">
        <v>5.8000000000000003E-2</v>
      </c>
      <c r="O50" s="409">
        <v>5.8000000000000003E-2</v>
      </c>
      <c r="P50" s="409">
        <v>5.8000000000000003E-2</v>
      </c>
      <c r="Q50" s="409">
        <v>5.8000000000000003E-2</v>
      </c>
      <c r="R50" s="409"/>
      <c r="S50" s="409">
        <v>203.33</v>
      </c>
      <c r="T50" s="409">
        <v>235.42</v>
      </c>
      <c r="U50" s="409"/>
      <c r="V50" s="409">
        <v>25.447500000000002</v>
      </c>
      <c r="W50" s="409">
        <v>25.447500000000002</v>
      </c>
      <c r="X50" s="409">
        <v>25.09196</v>
      </c>
      <c r="Y50" s="409">
        <v>0</v>
      </c>
      <c r="Z50" s="409">
        <v>3.0114756799965536</v>
      </c>
      <c r="AA50" s="409">
        <v>0</v>
      </c>
      <c r="AB50" s="409">
        <v>0</v>
      </c>
      <c r="AC50" s="409">
        <v>0</v>
      </c>
      <c r="AD50" s="409">
        <v>2.4476924304123306</v>
      </c>
      <c r="AE50" s="409">
        <v>5.631711771899405</v>
      </c>
      <c r="AF50" s="409">
        <v>13.654114273324558</v>
      </c>
      <c r="AG50" s="409">
        <v>0</v>
      </c>
      <c r="AH50" s="409">
        <v>0</v>
      </c>
      <c r="AI50" s="409">
        <v>0</v>
      </c>
      <c r="AJ50" s="409">
        <v>0</v>
      </c>
      <c r="AK50" s="409">
        <v>0</v>
      </c>
      <c r="AL50" s="409">
        <v>0.46570705620915737</v>
      </c>
      <c r="AM50" s="409"/>
      <c r="AN50" s="409">
        <v>5.3126757593495659E-2</v>
      </c>
      <c r="AO50" s="409">
        <v>0</v>
      </c>
      <c r="AP50" s="409">
        <v>0</v>
      </c>
      <c r="AQ50" s="409">
        <v>0</v>
      </c>
      <c r="AR50" s="409">
        <v>0</v>
      </c>
      <c r="AS50" s="409">
        <v>0</v>
      </c>
      <c r="AT50" s="409">
        <v>0</v>
      </c>
      <c r="AU50" s="409">
        <v>0</v>
      </c>
      <c r="AV50" s="409">
        <v>0</v>
      </c>
      <c r="AW50" s="409">
        <v>0</v>
      </c>
      <c r="AX50" s="409">
        <v>0</v>
      </c>
      <c r="AY50" s="409">
        <v>0</v>
      </c>
      <c r="AZ50" s="409">
        <v>0</v>
      </c>
      <c r="BA50" s="409"/>
      <c r="BB50" s="409">
        <v>0</v>
      </c>
      <c r="BC50" s="409">
        <v>0</v>
      </c>
      <c r="BD50" s="409">
        <v>0</v>
      </c>
      <c r="BE50" s="409">
        <v>0</v>
      </c>
      <c r="BF50" s="409">
        <v>0</v>
      </c>
      <c r="BG50" s="409">
        <v>0.18347990075711881</v>
      </c>
      <c r="BH50" s="409">
        <v>0</v>
      </c>
      <c r="BI50" s="409">
        <v>0</v>
      </c>
      <c r="BJ50" s="409">
        <v>0</v>
      </c>
      <c r="BK50" s="409">
        <v>0</v>
      </c>
      <c r="BL50" s="409">
        <v>0</v>
      </c>
      <c r="BM50" s="409"/>
      <c r="BN50" s="409"/>
      <c r="BO50" s="409"/>
      <c r="BP50" s="409"/>
      <c r="BQ50" s="409"/>
      <c r="BR50" s="409"/>
      <c r="BS50" s="409"/>
      <c r="BT50" s="409"/>
      <c r="BU50" s="409"/>
      <c r="BV50" s="409">
        <v>13.837594174081676</v>
      </c>
      <c r="BW50" s="409"/>
      <c r="BX50" s="409"/>
      <c r="BY50" s="409"/>
      <c r="BZ50" s="409"/>
      <c r="CA50" s="409"/>
      <c r="CB50" s="409"/>
      <c r="CC50" s="409"/>
      <c r="CD50" s="409"/>
      <c r="CE50" s="409"/>
      <c r="CF50" s="409"/>
      <c r="CG50" s="409"/>
      <c r="CH50" s="409"/>
      <c r="CI50" s="409">
        <v>25.9572</v>
      </c>
      <c r="CJ50" s="409">
        <v>0.47969999999999757</v>
      </c>
      <c r="CK50" s="409"/>
      <c r="CL50" s="409"/>
      <c r="CM50" s="409"/>
      <c r="CN50" s="409"/>
      <c r="CO50" s="409">
        <v>-1.0039800000000001</v>
      </c>
      <c r="CP50" s="409">
        <v>0.64844000000000046</v>
      </c>
      <c r="CQ50" s="409">
        <v>30</v>
      </c>
      <c r="CR50" s="409">
        <v>0.53953407265247577</v>
      </c>
      <c r="CS50" s="409">
        <v>0</v>
      </c>
      <c r="CT50" s="409">
        <v>0</v>
      </c>
      <c r="CU50" s="409">
        <v>0</v>
      </c>
      <c r="CV50" s="409">
        <v>0</v>
      </c>
      <c r="CW50" s="409">
        <v>0</v>
      </c>
      <c r="CX50" s="409">
        <v>0</v>
      </c>
      <c r="CY50" s="409">
        <v>0</v>
      </c>
      <c r="CZ50" s="409">
        <v>8.3903083264401879E-2</v>
      </c>
      <c r="DA50" s="409">
        <v>0</v>
      </c>
      <c r="DB50" s="409">
        <v>0</v>
      </c>
      <c r="DC50" s="409">
        <v>0.73554331914146331</v>
      </c>
      <c r="DD50" s="409">
        <v>0</v>
      </c>
      <c r="DE50" s="409">
        <v>0</v>
      </c>
      <c r="DF50" s="409">
        <v>0</v>
      </c>
      <c r="DG50" s="409">
        <v>9.8840109652730268E-3</v>
      </c>
      <c r="DH50" s="409">
        <v>0</v>
      </c>
      <c r="DI50" s="409">
        <v>-0.19195529984140869</v>
      </c>
      <c r="DJ50" s="409"/>
      <c r="DK50" s="409">
        <v>0</v>
      </c>
      <c r="DL50" s="409">
        <v>0</v>
      </c>
      <c r="DM50" s="409">
        <v>0</v>
      </c>
      <c r="DN50" s="409">
        <v>0</v>
      </c>
      <c r="DO50" s="409">
        <v>-2.441785813665337E-2</v>
      </c>
      <c r="DP50" s="409">
        <v>-3.5052726769786088E-3</v>
      </c>
      <c r="DQ50" s="409">
        <v>0</v>
      </c>
      <c r="DR50" s="409">
        <v>-6.991791006362387E-2</v>
      </c>
      <c r="DS50" s="409"/>
      <c r="DT50" s="409"/>
      <c r="DU50" s="409"/>
      <c r="DV50" s="409">
        <v>5.631711771899405</v>
      </c>
      <c r="DW50" s="409">
        <v>0</v>
      </c>
      <c r="DX50" s="409">
        <v>0</v>
      </c>
      <c r="DY50" s="409">
        <v>-1.0039800000000003</v>
      </c>
      <c r="DZ50" s="409">
        <v>0.64843999999999902</v>
      </c>
      <c r="EA50" s="409">
        <v>0</v>
      </c>
      <c r="EB50" s="409">
        <v>0</v>
      </c>
      <c r="EC50" s="409">
        <v>-0.89517737831952626</v>
      </c>
      <c r="ED50" s="409">
        <v>0</v>
      </c>
      <c r="EE50" s="409">
        <v>0</v>
      </c>
      <c r="EF50" s="409">
        <v>0</v>
      </c>
      <c r="EG50" s="409">
        <v>0</v>
      </c>
      <c r="EH50" s="409">
        <v>0</v>
      </c>
      <c r="EI50" s="409">
        <v>0</v>
      </c>
      <c r="EJ50" s="409">
        <v>0</v>
      </c>
      <c r="EK50" s="409">
        <v>0</v>
      </c>
      <c r="EL50" s="409">
        <v>0</v>
      </c>
      <c r="EM50" s="409">
        <v>0</v>
      </c>
      <c r="EN50" s="409">
        <v>0</v>
      </c>
      <c r="EO50" s="409">
        <v>0</v>
      </c>
      <c r="EP50" s="409">
        <v>0</v>
      </c>
      <c r="EQ50" s="409">
        <v>0</v>
      </c>
      <c r="ER50" s="409">
        <v>0</v>
      </c>
      <c r="ES50" s="409">
        <v>0</v>
      </c>
      <c r="ET50" s="409">
        <v>0</v>
      </c>
      <c r="EU50" s="409">
        <v>0</v>
      </c>
      <c r="EV50" s="409">
        <v>210</v>
      </c>
      <c r="EW50" s="409">
        <v>0</v>
      </c>
      <c r="EX50" s="409">
        <v>0</v>
      </c>
      <c r="EY50" s="409">
        <v>0</v>
      </c>
      <c r="EZ50" s="409"/>
      <c r="FA50" s="409">
        <v>0</v>
      </c>
      <c r="FB50" s="409"/>
      <c r="FC50" s="409"/>
      <c r="FD50" s="409"/>
      <c r="FE50" s="409"/>
      <c r="FF50" s="409">
        <v>0</v>
      </c>
      <c r="FG50" s="409">
        <v>0</v>
      </c>
      <c r="FH50" s="409">
        <v>0</v>
      </c>
      <c r="FI50" s="409">
        <v>0</v>
      </c>
    </row>
    <row r="51" spans="1:165" customFormat="1">
      <c r="A51" s="409">
        <v>49</v>
      </c>
      <c r="B51" s="409" t="s">
        <v>1035</v>
      </c>
      <c r="C51" s="409" t="s">
        <v>2248</v>
      </c>
      <c r="D51" s="409" t="s">
        <v>2247</v>
      </c>
      <c r="E51" s="409" t="s">
        <v>973</v>
      </c>
      <c r="F51" s="409" t="s">
        <v>1323</v>
      </c>
      <c r="G51" s="409" t="s">
        <v>1323</v>
      </c>
      <c r="H51" s="409" t="s">
        <v>1323</v>
      </c>
      <c r="I51" s="409" t="s">
        <v>1323</v>
      </c>
      <c r="J51" s="409" t="s">
        <v>2242</v>
      </c>
      <c r="K51" s="838">
        <v>44348</v>
      </c>
      <c r="L51" s="409">
        <v>0</v>
      </c>
      <c r="M51" s="409">
        <v>0</v>
      </c>
      <c r="N51" s="409">
        <v>0</v>
      </c>
      <c r="O51" s="409">
        <v>0</v>
      </c>
      <c r="P51" s="409">
        <v>0</v>
      </c>
      <c r="Q51" s="409">
        <v>0</v>
      </c>
      <c r="R51" s="409"/>
      <c r="S51" s="409"/>
      <c r="T51" s="409"/>
      <c r="U51" s="409"/>
      <c r="V51" s="409"/>
      <c r="W51" s="409"/>
      <c r="X51" s="409"/>
      <c r="Y51" s="409"/>
      <c r="Z51" s="409"/>
      <c r="AA51" s="409">
        <v>0</v>
      </c>
      <c r="AB51" s="409"/>
      <c r="AC51" s="409"/>
      <c r="AD51" s="409"/>
      <c r="AE51" s="409"/>
      <c r="AF51" s="409"/>
      <c r="AG51" s="409"/>
      <c r="AH51" s="409"/>
      <c r="AI51" s="409"/>
      <c r="AJ51" s="409"/>
      <c r="AK51" s="409"/>
      <c r="AL51" s="409"/>
      <c r="AM51" s="409"/>
      <c r="AN51" s="409"/>
      <c r="AO51" s="409"/>
      <c r="AP51" s="409"/>
      <c r="AQ51" s="409"/>
      <c r="AR51" s="409"/>
      <c r="AS51" s="409"/>
      <c r="AT51" s="409"/>
      <c r="AU51" s="409"/>
      <c r="AV51" s="409"/>
      <c r="AW51" s="409"/>
      <c r="AX51" s="409"/>
      <c r="AY51" s="409"/>
      <c r="AZ51" s="409">
        <v>0</v>
      </c>
      <c r="BA51" s="409"/>
      <c r="BB51" s="409"/>
      <c r="BC51" s="409"/>
      <c r="BD51" s="409"/>
      <c r="BE51" s="409"/>
      <c r="BF51" s="409"/>
      <c r="BG51" s="409"/>
      <c r="BH51" s="409"/>
      <c r="BI51" s="409">
        <v>0.16</v>
      </c>
      <c r="BJ51" s="409">
        <v>0.76</v>
      </c>
      <c r="BK51" s="409">
        <v>0</v>
      </c>
      <c r="BL51" s="409">
        <v>1</v>
      </c>
      <c r="BM51" s="409"/>
      <c r="BN51" s="409"/>
      <c r="BO51" s="409"/>
      <c r="BP51" s="409"/>
      <c r="BQ51" s="409"/>
      <c r="BR51" s="409"/>
      <c r="BS51" s="409"/>
      <c r="BT51" s="409"/>
      <c r="BU51" s="409"/>
      <c r="BV51" s="409"/>
      <c r="BW51" s="409"/>
      <c r="BX51" s="409"/>
      <c r="BY51" s="409"/>
      <c r="BZ51" s="409"/>
      <c r="CA51" s="409"/>
      <c r="CB51" s="409"/>
      <c r="CC51" s="409"/>
      <c r="CD51" s="409"/>
      <c r="CE51" s="409"/>
      <c r="CF51" s="409"/>
      <c r="CG51" s="409"/>
      <c r="CH51" s="409"/>
      <c r="CI51" s="409"/>
      <c r="CJ51" s="409">
        <v>-0.03</v>
      </c>
      <c r="CK51" s="409"/>
      <c r="CL51" s="409"/>
      <c r="CM51" s="409"/>
      <c r="CN51" s="409"/>
      <c r="CO51" s="409">
        <v>0</v>
      </c>
      <c r="CP51" s="409">
        <v>0</v>
      </c>
      <c r="CQ51" s="409">
        <v>30</v>
      </c>
      <c r="CR51" s="409"/>
      <c r="CS51" s="409"/>
      <c r="CT51" s="409"/>
      <c r="CU51" s="409"/>
      <c r="CV51" s="409"/>
      <c r="CW51" s="409"/>
      <c r="CX51" s="409"/>
      <c r="CY51" s="409"/>
      <c r="CZ51" s="409"/>
      <c r="DA51" s="409"/>
      <c r="DB51" s="409"/>
      <c r="DC51" s="409"/>
      <c r="DD51" s="409"/>
      <c r="DE51" s="409"/>
      <c r="DF51" s="409"/>
      <c r="DG51" s="409"/>
      <c r="DH51" s="409"/>
      <c r="DI51" s="409"/>
      <c r="DJ51" s="409"/>
      <c r="DK51" s="409">
        <v>0</v>
      </c>
      <c r="DL51" s="409"/>
      <c r="DM51" s="409"/>
      <c r="DN51" s="409"/>
      <c r="DO51" s="409"/>
      <c r="DP51" s="409"/>
      <c r="DQ51" s="409"/>
      <c r="DR51" s="409"/>
      <c r="DS51" s="409"/>
      <c r="DT51" s="409"/>
      <c r="DU51" s="409"/>
      <c r="DV51" s="409"/>
      <c r="DW51" s="409"/>
      <c r="DX51" s="409"/>
      <c r="DY51" s="409"/>
      <c r="DZ51" s="409"/>
      <c r="EA51" s="409"/>
      <c r="EB51" s="409"/>
      <c r="EC51" s="409"/>
      <c r="ED51" s="409"/>
      <c r="EE51" s="409"/>
      <c r="EF51" s="409"/>
      <c r="EG51" s="409"/>
      <c r="EH51" s="409"/>
      <c r="EI51" s="409"/>
      <c r="EJ51" s="409"/>
      <c r="EK51" s="409"/>
      <c r="EL51" s="409"/>
      <c r="EM51" s="409"/>
      <c r="EN51" s="409"/>
      <c r="EO51" s="409"/>
      <c r="EP51" s="409"/>
      <c r="EQ51" s="409"/>
      <c r="ER51" s="409"/>
      <c r="ES51" s="409"/>
      <c r="ET51" s="409"/>
      <c r="EU51" s="409"/>
      <c r="EV51" s="409">
        <v>210</v>
      </c>
      <c r="EW51" s="409"/>
      <c r="EX51" s="409"/>
      <c r="EY51" s="409"/>
      <c r="EZ51" s="409"/>
      <c r="FA51" s="409">
        <v>0</v>
      </c>
      <c r="FB51" s="409"/>
      <c r="FC51" s="409"/>
      <c r="FD51" s="409"/>
      <c r="FE51" s="409"/>
      <c r="FF51" s="409">
        <v>0</v>
      </c>
      <c r="FG51" s="409">
        <v>0</v>
      </c>
      <c r="FH51" s="409">
        <v>0</v>
      </c>
      <c r="FI51" s="409">
        <v>0</v>
      </c>
    </row>
    <row r="52" spans="1:165" customFormat="1">
      <c r="A52" s="409">
        <v>50</v>
      </c>
      <c r="B52" s="409" t="s">
        <v>1035</v>
      </c>
      <c r="C52" s="409" t="s">
        <v>2241</v>
      </c>
      <c r="D52" s="409" t="s">
        <v>1992</v>
      </c>
      <c r="E52" s="409" t="s">
        <v>2249</v>
      </c>
      <c r="F52" s="409" t="s">
        <v>1323</v>
      </c>
      <c r="G52" s="409" t="s">
        <v>1323</v>
      </c>
      <c r="H52" s="409" t="s">
        <v>1323</v>
      </c>
      <c r="I52" s="409" t="s">
        <v>1323</v>
      </c>
      <c r="J52" s="409" t="s">
        <v>2242</v>
      </c>
      <c r="K52" s="838">
        <v>44348</v>
      </c>
      <c r="L52" s="409">
        <v>0</v>
      </c>
      <c r="M52" s="409">
        <v>0</v>
      </c>
      <c r="N52" s="409">
        <v>11.551</v>
      </c>
      <c r="O52" s="409">
        <v>11.551</v>
      </c>
      <c r="P52" s="409">
        <v>11.551</v>
      </c>
      <c r="Q52" s="409">
        <v>11.551</v>
      </c>
      <c r="R52" s="409"/>
      <c r="S52" s="409">
        <v>358.62</v>
      </c>
      <c r="T52" s="409">
        <v>273.74</v>
      </c>
      <c r="U52" s="409"/>
      <c r="V52" s="409">
        <v>7304.3903599999994</v>
      </c>
      <c r="W52" s="409">
        <v>7304.3903599999994</v>
      </c>
      <c r="X52" s="409">
        <v>7082.3801400000002</v>
      </c>
      <c r="Y52" s="409">
        <v>0</v>
      </c>
      <c r="Z52" s="409">
        <v>697.38483519727822</v>
      </c>
      <c r="AA52" s="409">
        <v>0</v>
      </c>
      <c r="AB52" s="409">
        <v>0</v>
      </c>
      <c r="AC52" s="409">
        <v>0</v>
      </c>
      <c r="AD52" s="409">
        <v>994.40846793644653</v>
      </c>
      <c r="AE52" s="409">
        <v>2288.0127472961781</v>
      </c>
      <c r="AF52" s="409">
        <v>3161.9621886762675</v>
      </c>
      <c r="AG52" s="409">
        <v>0</v>
      </c>
      <c r="AH52" s="409">
        <v>0</v>
      </c>
      <c r="AI52" s="409">
        <v>0</v>
      </c>
      <c r="AJ52" s="409">
        <v>0</v>
      </c>
      <c r="AK52" s="409">
        <v>0</v>
      </c>
      <c r="AL52" s="409">
        <v>107.84647566704041</v>
      </c>
      <c r="AM52" s="409"/>
      <c r="AN52" s="409">
        <v>12.302870428277245</v>
      </c>
      <c r="AO52" s="409">
        <v>0</v>
      </c>
      <c r="AP52" s="409">
        <v>0</v>
      </c>
      <c r="AQ52" s="409">
        <v>0</v>
      </c>
      <c r="AR52" s="409">
        <v>0</v>
      </c>
      <c r="AS52" s="409">
        <v>0</v>
      </c>
      <c r="AT52" s="409">
        <v>0</v>
      </c>
      <c r="AU52" s="409">
        <v>0</v>
      </c>
      <c r="AV52" s="409">
        <v>0</v>
      </c>
      <c r="AW52" s="409">
        <v>0</v>
      </c>
      <c r="AX52" s="409">
        <v>0</v>
      </c>
      <c r="AY52" s="409">
        <v>0</v>
      </c>
      <c r="AZ52" s="409">
        <v>0</v>
      </c>
      <c r="BA52" s="409"/>
      <c r="BB52" s="409">
        <v>0</v>
      </c>
      <c r="BC52" s="409">
        <v>0</v>
      </c>
      <c r="BD52" s="409">
        <v>0</v>
      </c>
      <c r="BE52" s="409">
        <v>0</v>
      </c>
      <c r="BF52" s="409">
        <v>0</v>
      </c>
      <c r="BG52" s="409">
        <v>42.489501476452972</v>
      </c>
      <c r="BH52" s="409">
        <v>0</v>
      </c>
      <c r="BI52" s="409">
        <v>4.5599999999999996</v>
      </c>
      <c r="BJ52" s="409">
        <v>21.08</v>
      </c>
      <c r="BK52" s="409">
        <v>1440.53</v>
      </c>
      <c r="BL52" s="409">
        <v>15</v>
      </c>
      <c r="BM52" s="409"/>
      <c r="BN52" s="409"/>
      <c r="BO52" s="409"/>
      <c r="BP52" s="409"/>
      <c r="BQ52" s="409"/>
      <c r="BR52" s="409"/>
      <c r="BS52" s="409"/>
      <c r="BT52" s="409"/>
      <c r="BU52" s="409"/>
      <c r="BV52" s="409">
        <v>3204.4516901527204</v>
      </c>
      <c r="BW52" s="409"/>
      <c r="BX52" s="409"/>
      <c r="BY52" s="409"/>
      <c r="BZ52" s="409"/>
      <c r="CA52" s="409"/>
      <c r="CB52" s="409"/>
      <c r="CC52" s="409"/>
      <c r="CD52" s="409"/>
      <c r="CE52" s="409"/>
      <c r="CF52" s="409"/>
      <c r="CG52" s="409"/>
      <c r="CH52" s="409"/>
      <c r="CI52" s="409">
        <v>7081.7669999999998</v>
      </c>
      <c r="CJ52" s="409">
        <v>-222.65336000000025</v>
      </c>
      <c r="CK52" s="409"/>
      <c r="CL52" s="409"/>
      <c r="CM52" s="409"/>
      <c r="CN52" s="409"/>
      <c r="CO52" s="409">
        <v>-372.1732200000003</v>
      </c>
      <c r="CP52" s="409">
        <v>150.16300000000001</v>
      </c>
      <c r="CQ52" s="409">
        <v>30</v>
      </c>
      <c r="CR52" s="409">
        <v>141.63697857563056</v>
      </c>
      <c r="CS52" s="409">
        <v>0</v>
      </c>
      <c r="CT52" s="409">
        <v>0</v>
      </c>
      <c r="CU52" s="409">
        <v>0</v>
      </c>
      <c r="CV52" s="409">
        <v>0</v>
      </c>
      <c r="CW52" s="409">
        <v>0</v>
      </c>
      <c r="CX52" s="409">
        <v>0</v>
      </c>
      <c r="CY52" s="409">
        <v>0</v>
      </c>
      <c r="CZ52" s="409">
        <v>34.086773095932017</v>
      </c>
      <c r="DA52" s="409">
        <v>0</v>
      </c>
      <c r="DB52" s="409">
        <v>0</v>
      </c>
      <c r="DC52" s="409">
        <v>170.33401923421525</v>
      </c>
      <c r="DD52" s="409">
        <v>0</v>
      </c>
      <c r="DE52" s="409">
        <v>0</v>
      </c>
      <c r="DF52" s="409">
        <v>0</v>
      </c>
      <c r="DG52" s="409">
        <v>2.2888975673591148</v>
      </c>
      <c r="DH52" s="409">
        <v>0</v>
      </c>
      <c r="DI52" s="409">
        <v>-44.452198646114198</v>
      </c>
      <c r="DJ52" s="409"/>
      <c r="DK52" s="409">
        <v>0</v>
      </c>
      <c r="DL52" s="409">
        <v>0</v>
      </c>
      <c r="DM52" s="409">
        <v>0</v>
      </c>
      <c r="DN52" s="409">
        <v>0</v>
      </c>
      <c r="DO52" s="409">
        <v>-5.654584589745113</v>
      </c>
      <c r="DP52" s="409">
        <v>-0.81173626086168937</v>
      </c>
      <c r="DQ52" s="409">
        <v>0</v>
      </c>
      <c r="DR52" s="409">
        <v>-14.154191825154728</v>
      </c>
      <c r="DS52" s="409"/>
      <c r="DT52" s="409"/>
      <c r="DU52" s="409"/>
      <c r="DV52" s="409">
        <v>2288.0127472961781</v>
      </c>
      <c r="DW52" s="409">
        <v>0</v>
      </c>
      <c r="DX52" s="409">
        <v>0</v>
      </c>
      <c r="DY52" s="409">
        <v>-372.17321999999967</v>
      </c>
      <c r="DZ52" s="409">
        <v>150.16300000000001</v>
      </c>
      <c r="EA52" s="409">
        <v>0</v>
      </c>
      <c r="EB52" s="409">
        <v>0</v>
      </c>
      <c r="EC52" s="409">
        <v>-363.68644839142576</v>
      </c>
      <c r="ED52" s="409">
        <v>0</v>
      </c>
      <c r="EE52" s="409">
        <v>0</v>
      </c>
      <c r="EF52" s="409">
        <v>0</v>
      </c>
      <c r="EG52" s="409">
        <v>0</v>
      </c>
      <c r="EH52" s="409">
        <v>0</v>
      </c>
      <c r="EI52" s="409">
        <v>0</v>
      </c>
      <c r="EJ52" s="409">
        <v>0</v>
      </c>
      <c r="EK52" s="409">
        <v>0</v>
      </c>
      <c r="EL52" s="409">
        <v>0</v>
      </c>
      <c r="EM52" s="409">
        <v>0</v>
      </c>
      <c r="EN52" s="409">
        <v>0</v>
      </c>
      <c r="EO52" s="409">
        <v>0</v>
      </c>
      <c r="EP52" s="409">
        <v>0</v>
      </c>
      <c r="EQ52" s="409">
        <v>0</v>
      </c>
      <c r="ER52" s="409">
        <v>0</v>
      </c>
      <c r="ES52" s="409">
        <v>0</v>
      </c>
      <c r="ET52" s="409">
        <v>0</v>
      </c>
      <c r="EU52" s="409">
        <v>0</v>
      </c>
      <c r="EV52" s="409">
        <v>210</v>
      </c>
      <c r="EW52" s="409">
        <v>0</v>
      </c>
      <c r="EX52" s="409">
        <v>0</v>
      </c>
      <c r="EY52" s="409">
        <v>0</v>
      </c>
      <c r="EZ52" s="409"/>
      <c r="FA52" s="409">
        <v>0</v>
      </c>
      <c r="FB52" s="409"/>
      <c r="FC52" s="409"/>
      <c r="FD52" s="409"/>
      <c r="FE52" s="409"/>
      <c r="FF52" s="409">
        <v>0</v>
      </c>
      <c r="FG52" s="409">
        <v>0</v>
      </c>
      <c r="FH52" s="409">
        <v>0</v>
      </c>
      <c r="FI52" s="409">
        <v>0</v>
      </c>
    </row>
    <row r="53" spans="1:165" customFormat="1">
      <c r="A53" s="409">
        <v>51</v>
      </c>
      <c r="B53" s="409" t="s">
        <v>1035</v>
      </c>
      <c r="C53" s="409" t="s">
        <v>2241</v>
      </c>
      <c r="D53" s="409" t="s">
        <v>2250</v>
      </c>
      <c r="E53" s="409" t="s">
        <v>2251</v>
      </c>
      <c r="F53" s="409" t="s">
        <v>2252</v>
      </c>
      <c r="G53" s="409" t="s">
        <v>1323</v>
      </c>
      <c r="H53" s="409" t="s">
        <v>1323</v>
      </c>
      <c r="I53" s="409" t="s">
        <v>1323</v>
      </c>
      <c r="J53" s="409" t="s">
        <v>2242</v>
      </c>
      <c r="K53" s="838">
        <v>44348</v>
      </c>
      <c r="L53" s="409">
        <v>0</v>
      </c>
      <c r="M53" s="409">
        <v>0</v>
      </c>
      <c r="N53" s="409">
        <v>20.052</v>
      </c>
      <c r="O53" s="409">
        <v>20.052</v>
      </c>
      <c r="P53" s="409">
        <v>20.052</v>
      </c>
      <c r="Q53" s="409">
        <v>20.052</v>
      </c>
      <c r="R53" s="409"/>
      <c r="S53" s="409">
        <v>215.17</v>
      </c>
      <c r="T53" s="409">
        <v>164.24</v>
      </c>
      <c r="U53" s="409"/>
      <c r="V53" s="409">
        <v>7607.9293199999993</v>
      </c>
      <c r="W53" s="409">
        <v>7607.9293199999993</v>
      </c>
      <c r="X53" s="409">
        <v>7376.9302800000005</v>
      </c>
      <c r="Y53" s="409">
        <v>0</v>
      </c>
      <c r="Z53" s="409">
        <v>726.37662793052459</v>
      </c>
      <c r="AA53" s="409">
        <v>0</v>
      </c>
      <c r="AB53" s="409">
        <v>0</v>
      </c>
      <c r="AC53" s="409">
        <v>0</v>
      </c>
      <c r="AD53" s="409">
        <v>1035.748174135312</v>
      </c>
      <c r="AE53" s="409">
        <v>2383.1303753155416</v>
      </c>
      <c r="AF53" s="409">
        <v>3293.4117811792798</v>
      </c>
      <c r="AG53" s="409">
        <v>0</v>
      </c>
      <c r="AH53" s="409">
        <v>0</v>
      </c>
      <c r="AI53" s="409">
        <v>0</v>
      </c>
      <c r="AJ53" s="409">
        <v>0</v>
      </c>
      <c r="AK53" s="409">
        <v>0</v>
      </c>
      <c r="AL53" s="409">
        <v>112.32988642068175</v>
      </c>
      <c r="AM53" s="409"/>
      <c r="AN53" s="409">
        <v>12.814327304708593</v>
      </c>
      <c r="AO53" s="409">
        <v>0</v>
      </c>
      <c r="AP53" s="409">
        <v>0</v>
      </c>
      <c r="AQ53" s="409">
        <v>0</v>
      </c>
      <c r="AR53" s="409">
        <v>0</v>
      </c>
      <c r="AS53" s="409">
        <v>0</v>
      </c>
      <c r="AT53" s="409">
        <v>0</v>
      </c>
      <c r="AU53" s="409">
        <v>0</v>
      </c>
      <c r="AV53" s="409">
        <v>0</v>
      </c>
      <c r="AW53" s="409">
        <v>0</v>
      </c>
      <c r="AX53" s="409">
        <v>0</v>
      </c>
      <c r="AY53" s="409">
        <v>0</v>
      </c>
      <c r="AZ53" s="409">
        <v>0</v>
      </c>
      <c r="BA53" s="409"/>
      <c r="BB53" s="409">
        <v>0</v>
      </c>
      <c r="BC53" s="409">
        <v>0</v>
      </c>
      <c r="BD53" s="409">
        <v>0</v>
      </c>
      <c r="BE53" s="409">
        <v>0</v>
      </c>
      <c r="BF53" s="409">
        <v>0</v>
      </c>
      <c r="BG53" s="409">
        <v>44.255881755995354</v>
      </c>
      <c r="BH53" s="409">
        <v>0</v>
      </c>
      <c r="BI53" s="409">
        <v>0</v>
      </c>
      <c r="BJ53" s="409">
        <v>0</v>
      </c>
      <c r="BK53" s="409">
        <v>1728.65</v>
      </c>
      <c r="BL53" s="409">
        <v>6</v>
      </c>
      <c r="BM53" s="409"/>
      <c r="BN53" s="409"/>
      <c r="BO53" s="409"/>
      <c r="BP53" s="409"/>
      <c r="BQ53" s="409"/>
      <c r="BR53" s="409"/>
      <c r="BS53" s="409"/>
      <c r="BT53" s="409"/>
      <c r="BU53" s="409"/>
      <c r="BV53" s="409">
        <v>3337.6676629352751</v>
      </c>
      <c r="BW53" s="409"/>
      <c r="BX53" s="409"/>
      <c r="BY53" s="409"/>
      <c r="BZ53" s="409"/>
      <c r="CA53" s="409"/>
      <c r="CB53" s="409"/>
      <c r="CC53" s="409"/>
      <c r="CD53" s="409"/>
      <c r="CE53" s="409"/>
      <c r="CF53" s="409"/>
      <c r="CG53" s="409"/>
      <c r="CH53" s="409"/>
      <c r="CI53" s="409">
        <v>7376.1945000000005</v>
      </c>
      <c r="CJ53" s="409">
        <v>-231.76481999999942</v>
      </c>
      <c r="CK53" s="409"/>
      <c r="CL53" s="409"/>
      <c r="CM53" s="409"/>
      <c r="CN53" s="409"/>
      <c r="CO53" s="409">
        <v>-387.60515999999967</v>
      </c>
      <c r="CP53" s="409">
        <v>156.60612000000003</v>
      </c>
      <c r="CQ53" s="409">
        <v>30</v>
      </c>
      <c r="CR53" s="409">
        <v>147.52513346369142</v>
      </c>
      <c r="CS53" s="409">
        <v>0</v>
      </c>
      <c r="CT53" s="409">
        <v>0</v>
      </c>
      <c r="CU53" s="409">
        <v>0</v>
      </c>
      <c r="CV53" s="409">
        <v>0</v>
      </c>
      <c r="CW53" s="409">
        <v>0</v>
      </c>
      <c r="CX53" s="409">
        <v>0</v>
      </c>
      <c r="CY53" s="409">
        <v>0</v>
      </c>
      <c r="CZ53" s="409">
        <v>35.503833821466515</v>
      </c>
      <c r="DA53" s="409">
        <v>0</v>
      </c>
      <c r="DB53" s="409">
        <v>0</v>
      </c>
      <c r="DC53" s="409">
        <v>177.41517203797866</v>
      </c>
      <c r="DD53" s="409">
        <v>0</v>
      </c>
      <c r="DE53" s="409">
        <v>0</v>
      </c>
      <c r="DF53" s="409">
        <v>0</v>
      </c>
      <c r="DG53" s="409">
        <v>2.3840519792581176</v>
      </c>
      <c r="DH53" s="409">
        <v>0</v>
      </c>
      <c r="DI53" s="409">
        <v>-46.300172482999415</v>
      </c>
      <c r="DJ53" s="409"/>
      <c r="DK53" s="409">
        <v>0</v>
      </c>
      <c r="DL53" s="409">
        <v>0</v>
      </c>
      <c r="DM53" s="409">
        <v>0</v>
      </c>
      <c r="DN53" s="409">
        <v>0</v>
      </c>
      <c r="DO53" s="409">
        <v>-5.8896578751743789</v>
      </c>
      <c r="DP53" s="409">
        <v>-0.84548188915927547</v>
      </c>
      <c r="DQ53" s="409">
        <v>0</v>
      </c>
      <c r="DR53" s="409">
        <v>-14.742612127677354</v>
      </c>
      <c r="DS53" s="409"/>
      <c r="DT53" s="409"/>
      <c r="DU53" s="409"/>
      <c r="DV53" s="409">
        <v>2383.1303753155416</v>
      </c>
      <c r="DW53" s="409">
        <v>0</v>
      </c>
      <c r="DX53" s="409">
        <v>0</v>
      </c>
      <c r="DY53" s="409">
        <v>-387.60515999999961</v>
      </c>
      <c r="DZ53" s="409">
        <v>156.60611999999992</v>
      </c>
      <c r="EA53" s="409">
        <v>0</v>
      </c>
      <c r="EB53" s="409">
        <v>0</v>
      </c>
      <c r="EC53" s="409">
        <v>-378.80567897904029</v>
      </c>
      <c r="ED53" s="409">
        <v>0</v>
      </c>
      <c r="EE53" s="409">
        <v>0</v>
      </c>
      <c r="EF53" s="409">
        <v>0</v>
      </c>
      <c r="EG53" s="409">
        <v>0</v>
      </c>
      <c r="EH53" s="409">
        <v>0</v>
      </c>
      <c r="EI53" s="409">
        <v>0</v>
      </c>
      <c r="EJ53" s="409">
        <v>0</v>
      </c>
      <c r="EK53" s="409">
        <v>0</v>
      </c>
      <c r="EL53" s="409">
        <v>0</v>
      </c>
      <c r="EM53" s="409">
        <v>0</v>
      </c>
      <c r="EN53" s="409">
        <v>0</v>
      </c>
      <c r="EO53" s="409">
        <v>0</v>
      </c>
      <c r="EP53" s="409">
        <v>0</v>
      </c>
      <c r="EQ53" s="409">
        <v>0</v>
      </c>
      <c r="ER53" s="409">
        <v>0</v>
      </c>
      <c r="ES53" s="409">
        <v>0</v>
      </c>
      <c r="ET53" s="409">
        <v>0</v>
      </c>
      <c r="EU53" s="409">
        <v>0</v>
      </c>
      <c r="EV53" s="409">
        <v>210</v>
      </c>
      <c r="EW53" s="409">
        <v>0</v>
      </c>
      <c r="EX53" s="409">
        <v>0</v>
      </c>
      <c r="EY53" s="409">
        <v>0</v>
      </c>
      <c r="EZ53" s="409"/>
      <c r="FA53" s="409">
        <v>0</v>
      </c>
      <c r="FB53" s="409"/>
      <c r="FC53" s="409"/>
      <c r="FD53" s="409"/>
      <c r="FE53" s="409"/>
      <c r="FF53" s="409">
        <v>0</v>
      </c>
      <c r="FG53" s="409">
        <v>0</v>
      </c>
      <c r="FH53" s="409">
        <v>0</v>
      </c>
      <c r="FI53" s="409">
        <v>0</v>
      </c>
    </row>
    <row r="54" spans="1:165" customFormat="1">
      <c r="A54" s="409">
        <v>52</v>
      </c>
      <c r="B54" s="409" t="s">
        <v>1035</v>
      </c>
      <c r="C54" s="409" t="s">
        <v>2241</v>
      </c>
      <c r="D54" s="409" t="s">
        <v>1992</v>
      </c>
      <c r="E54" s="409" t="s">
        <v>1000</v>
      </c>
      <c r="F54" s="409" t="s">
        <v>2253</v>
      </c>
      <c r="G54" s="409" t="s">
        <v>1323</v>
      </c>
      <c r="H54" s="409" t="s">
        <v>1323</v>
      </c>
      <c r="I54" s="409" t="s">
        <v>1323</v>
      </c>
      <c r="J54" s="409" t="s">
        <v>2242</v>
      </c>
      <c r="K54" s="838">
        <v>44348</v>
      </c>
      <c r="L54" s="409">
        <v>0</v>
      </c>
      <c r="M54" s="409">
        <v>0</v>
      </c>
      <c r="N54" s="409">
        <v>3.2919999999999998</v>
      </c>
      <c r="O54" s="409">
        <v>3.0944799999999995</v>
      </c>
      <c r="P54" s="409">
        <v>3.2919999999999998</v>
      </c>
      <c r="Q54" s="409">
        <v>3.0944799999999995</v>
      </c>
      <c r="R54" s="409"/>
      <c r="S54" s="409">
        <v>358.62</v>
      </c>
      <c r="T54" s="409">
        <v>273.74</v>
      </c>
      <c r="U54" s="409"/>
      <c r="V54" s="409">
        <v>2081.72912</v>
      </c>
      <c r="W54" s="409">
        <v>2081.72912</v>
      </c>
      <c r="X54" s="409">
        <v>2018.4568799999997</v>
      </c>
      <c r="Y54" s="409">
        <v>0</v>
      </c>
      <c r="Z54" s="409">
        <v>198.75256492679767</v>
      </c>
      <c r="AA54" s="409">
        <v>0</v>
      </c>
      <c r="AB54" s="409">
        <v>0</v>
      </c>
      <c r="AC54" s="409">
        <v>0</v>
      </c>
      <c r="AD54" s="409">
        <v>283.40340026376782</v>
      </c>
      <c r="AE54" s="409">
        <v>652.0767002076891</v>
      </c>
      <c r="AF54" s="409">
        <v>901.14964289864702</v>
      </c>
      <c r="AG54" s="409">
        <v>0</v>
      </c>
      <c r="AH54" s="409">
        <v>0</v>
      </c>
      <c r="AI54" s="409">
        <v>0</v>
      </c>
      <c r="AJ54" s="409">
        <v>0</v>
      </c>
      <c r="AK54" s="409">
        <v>0</v>
      </c>
      <c r="AL54" s="409">
        <v>30.735918785897063</v>
      </c>
      <c r="AM54" s="409"/>
      <c r="AN54" s="409">
        <v>3.5062807938610239</v>
      </c>
      <c r="AO54" s="409">
        <v>0</v>
      </c>
      <c r="AP54" s="409">
        <v>0</v>
      </c>
      <c r="AQ54" s="409">
        <v>0</v>
      </c>
      <c r="AR54" s="409">
        <v>0</v>
      </c>
      <c r="AS54" s="409">
        <v>0</v>
      </c>
      <c r="AT54" s="409">
        <v>0</v>
      </c>
      <c r="AU54" s="409">
        <v>0</v>
      </c>
      <c r="AV54" s="409">
        <v>0</v>
      </c>
      <c r="AW54" s="409">
        <v>0</v>
      </c>
      <c r="AX54" s="409">
        <v>0</v>
      </c>
      <c r="AY54" s="409">
        <v>0</v>
      </c>
      <c r="AZ54" s="409">
        <v>0</v>
      </c>
      <c r="BA54" s="409"/>
      <c r="BB54" s="409">
        <v>0</v>
      </c>
      <c r="BC54" s="409">
        <v>0</v>
      </c>
      <c r="BD54" s="409">
        <v>0</v>
      </c>
      <c r="BE54" s="409">
        <v>0</v>
      </c>
      <c r="BF54" s="409">
        <v>0</v>
      </c>
      <c r="BG54" s="409">
        <v>12.10937917587076</v>
      </c>
      <c r="BH54" s="409">
        <v>0</v>
      </c>
      <c r="BI54" s="409">
        <v>0</v>
      </c>
      <c r="BJ54" s="409">
        <v>0</v>
      </c>
      <c r="BK54" s="409">
        <v>384.96</v>
      </c>
      <c r="BL54" s="409">
        <v>3</v>
      </c>
      <c r="BM54" s="409"/>
      <c r="BN54" s="409"/>
      <c r="BO54" s="409"/>
      <c r="BP54" s="409"/>
      <c r="BQ54" s="409">
        <v>121.10741280000022</v>
      </c>
      <c r="BR54" s="409"/>
      <c r="BS54" s="409"/>
      <c r="BT54" s="409"/>
      <c r="BU54" s="409"/>
      <c r="BV54" s="409">
        <v>913.25902207451782</v>
      </c>
      <c r="BW54" s="409"/>
      <c r="BX54" s="409"/>
      <c r="BY54" s="409"/>
      <c r="BZ54" s="409"/>
      <c r="CA54" s="409"/>
      <c r="CB54" s="409"/>
      <c r="CC54" s="409"/>
      <c r="CD54" s="409"/>
      <c r="CE54" s="409"/>
      <c r="CF54" s="409"/>
      <c r="CG54" s="409"/>
      <c r="CH54" s="409"/>
      <c r="CI54" s="409">
        <v>1894.6025999999999</v>
      </c>
      <c r="CJ54" s="409">
        <v>-62.252772799999548</v>
      </c>
      <c r="CK54" s="409"/>
      <c r="CL54" s="409"/>
      <c r="CM54" s="409"/>
      <c r="CN54" s="409"/>
      <c r="CO54" s="409">
        <v>-106.06824000000009</v>
      </c>
      <c r="CP54" s="409">
        <v>42.795999999999999</v>
      </c>
      <c r="CQ54" s="409">
        <v>30</v>
      </c>
      <c r="CR54" s="409">
        <v>40.366109728246329</v>
      </c>
      <c r="CS54" s="409">
        <v>0</v>
      </c>
      <c r="CT54" s="409">
        <v>0</v>
      </c>
      <c r="CU54" s="409">
        <v>0</v>
      </c>
      <c r="CV54" s="409">
        <v>0</v>
      </c>
      <c r="CW54" s="409">
        <v>0</v>
      </c>
      <c r="CX54" s="409">
        <v>0</v>
      </c>
      <c r="CY54" s="409">
        <v>0</v>
      </c>
      <c r="CZ54" s="409">
        <v>9.7146270480311614</v>
      </c>
      <c r="DA54" s="409">
        <v>0</v>
      </c>
      <c r="DB54" s="409">
        <v>0</v>
      </c>
      <c r="DC54" s="409">
        <v>48.544679362742272</v>
      </c>
      <c r="DD54" s="409">
        <v>0</v>
      </c>
      <c r="DE54" s="409">
        <v>0</v>
      </c>
      <c r="DF54" s="409">
        <v>0</v>
      </c>
      <c r="DG54" s="409">
        <v>0.65232887124458827</v>
      </c>
      <c r="DH54" s="409">
        <v>0</v>
      </c>
      <c r="DI54" s="409">
        <v>-12.668741922171961</v>
      </c>
      <c r="DJ54" s="409"/>
      <c r="DK54" s="409">
        <v>0</v>
      </c>
      <c r="DL54" s="409">
        <v>0</v>
      </c>
      <c r="DM54" s="409">
        <v>0</v>
      </c>
      <c r="DN54" s="409">
        <v>0</v>
      </c>
      <c r="DO54" s="409">
        <v>-1.6115394744559701</v>
      </c>
      <c r="DP54" s="409">
        <v>-0.23134237475168229</v>
      </c>
      <c r="DQ54" s="409">
        <v>0</v>
      </c>
      <c r="DR54" s="409">
        <v>-4.0339017823919452</v>
      </c>
      <c r="DS54" s="409"/>
      <c r="DT54" s="409"/>
      <c r="DU54" s="409"/>
      <c r="DV54" s="409">
        <v>652.0767002076891</v>
      </c>
      <c r="DW54" s="409">
        <v>0</v>
      </c>
      <c r="DX54" s="409">
        <v>0</v>
      </c>
      <c r="DY54" s="409">
        <v>-106.06824000000006</v>
      </c>
      <c r="DZ54" s="409">
        <v>42.796000000000049</v>
      </c>
      <c r="EA54" s="409">
        <v>0</v>
      </c>
      <c r="EB54" s="409">
        <v>0</v>
      </c>
      <c r="EC54" s="409">
        <v>-103.64953580681959</v>
      </c>
      <c r="ED54" s="409">
        <v>0</v>
      </c>
      <c r="EE54" s="409">
        <v>0</v>
      </c>
      <c r="EF54" s="409">
        <v>0</v>
      </c>
      <c r="EG54" s="409">
        <v>0</v>
      </c>
      <c r="EH54" s="409">
        <v>0</v>
      </c>
      <c r="EI54" s="409">
        <v>0</v>
      </c>
      <c r="EJ54" s="409">
        <v>0</v>
      </c>
      <c r="EK54" s="409">
        <v>0</v>
      </c>
      <c r="EL54" s="409">
        <v>0</v>
      </c>
      <c r="EM54" s="409">
        <v>0</v>
      </c>
      <c r="EN54" s="409">
        <v>0</v>
      </c>
      <c r="EO54" s="409">
        <v>0</v>
      </c>
      <c r="EP54" s="409">
        <v>0</v>
      </c>
      <c r="EQ54" s="409">
        <v>0</v>
      </c>
      <c r="ER54" s="409">
        <v>0</v>
      </c>
      <c r="ES54" s="409">
        <v>0</v>
      </c>
      <c r="ET54" s="409">
        <v>0</v>
      </c>
      <c r="EU54" s="409">
        <v>0</v>
      </c>
      <c r="EV54" s="409">
        <v>210</v>
      </c>
      <c r="EW54" s="409">
        <v>0</v>
      </c>
      <c r="EX54" s="409">
        <v>0</v>
      </c>
      <c r="EY54" s="409">
        <v>0</v>
      </c>
      <c r="EZ54" s="409"/>
      <c r="FA54" s="409">
        <v>0</v>
      </c>
      <c r="FB54" s="409"/>
      <c r="FC54" s="409"/>
      <c r="FD54" s="409"/>
      <c r="FE54" s="409"/>
      <c r="FF54" s="409">
        <v>0</v>
      </c>
      <c r="FG54" s="409">
        <v>0</v>
      </c>
      <c r="FH54" s="409">
        <v>0</v>
      </c>
      <c r="FI54" s="409">
        <v>0</v>
      </c>
    </row>
    <row r="55" spans="1:165" customFormat="1">
      <c r="A55" s="409">
        <v>53</v>
      </c>
      <c r="B55" s="409" t="s">
        <v>1035</v>
      </c>
      <c r="C55" s="409" t="s">
        <v>2246</v>
      </c>
      <c r="D55" s="409" t="s">
        <v>595</v>
      </c>
      <c r="E55" s="409" t="s">
        <v>1000</v>
      </c>
      <c r="F55" s="409" t="s">
        <v>2253</v>
      </c>
      <c r="G55" s="409" t="s">
        <v>1323</v>
      </c>
      <c r="H55" s="409" t="s">
        <v>1323</v>
      </c>
      <c r="I55" s="409" t="s">
        <v>972</v>
      </c>
      <c r="J55" s="409" t="s">
        <v>2242</v>
      </c>
      <c r="K55" s="838">
        <v>44348</v>
      </c>
      <c r="L55" s="409">
        <v>0</v>
      </c>
      <c r="M55" s="409">
        <v>0</v>
      </c>
      <c r="N55" s="409">
        <v>6.8010000000000002</v>
      </c>
      <c r="O55" s="409">
        <v>6.3929399999999994</v>
      </c>
      <c r="P55" s="409">
        <v>6.8010000000000002</v>
      </c>
      <c r="Q55" s="409">
        <v>6.3929399999999994</v>
      </c>
      <c r="R55" s="409"/>
      <c r="S55" s="409">
        <v>1856.88</v>
      </c>
      <c r="T55" s="409">
        <v>273.74</v>
      </c>
      <c r="U55" s="409"/>
      <c r="V55" s="409">
        <v>14490.34662</v>
      </c>
      <c r="W55" s="409">
        <v>14490.34662</v>
      </c>
      <c r="X55" s="409">
        <v>13277.388269999999</v>
      </c>
      <c r="Y55" s="409">
        <v>0</v>
      </c>
      <c r="Z55" s="409">
        <v>357.22754824982405</v>
      </c>
      <c r="AA55" s="409">
        <v>0</v>
      </c>
      <c r="AB55" s="409">
        <v>0</v>
      </c>
      <c r="AC55" s="409">
        <v>0</v>
      </c>
      <c r="AD55" s="409">
        <v>3333.1148107627782</v>
      </c>
      <c r="AE55" s="409">
        <v>8857.4967240522928</v>
      </c>
      <c r="AF55" s="409">
        <v>1861.7007051499693</v>
      </c>
      <c r="AG55" s="409">
        <v>0</v>
      </c>
      <c r="AH55" s="409">
        <v>0</v>
      </c>
      <c r="AI55" s="409">
        <v>0</v>
      </c>
      <c r="AJ55" s="409">
        <v>0</v>
      </c>
      <c r="AK55" s="409">
        <v>0</v>
      </c>
      <c r="AL55" s="409">
        <v>63.49786867037848</v>
      </c>
      <c r="AM55" s="409"/>
      <c r="AN55" s="409">
        <v>5.9038658770482151</v>
      </c>
      <c r="AO55" s="409">
        <v>0</v>
      </c>
      <c r="AP55" s="409">
        <v>0</v>
      </c>
      <c r="AQ55" s="409">
        <v>0</v>
      </c>
      <c r="AR55" s="409">
        <v>0</v>
      </c>
      <c r="AS55" s="409">
        <v>0</v>
      </c>
      <c r="AT55" s="409">
        <v>0</v>
      </c>
      <c r="AU55" s="409">
        <v>0</v>
      </c>
      <c r="AV55" s="409">
        <v>0</v>
      </c>
      <c r="AW55" s="409">
        <v>0</v>
      </c>
      <c r="AX55" s="409">
        <v>0</v>
      </c>
      <c r="AY55" s="409">
        <v>0</v>
      </c>
      <c r="AZ55" s="409">
        <v>0</v>
      </c>
      <c r="BA55" s="409"/>
      <c r="BB55" s="409">
        <v>0</v>
      </c>
      <c r="BC55" s="409">
        <v>0</v>
      </c>
      <c r="BD55" s="409">
        <v>0</v>
      </c>
      <c r="BE55" s="409">
        <v>0</v>
      </c>
      <c r="BF55" s="409">
        <v>0</v>
      </c>
      <c r="BG55" s="409">
        <v>11.380289262453839</v>
      </c>
      <c r="BH55" s="409">
        <v>0</v>
      </c>
      <c r="BI55" s="409">
        <v>0</v>
      </c>
      <c r="BJ55" s="409">
        <v>0</v>
      </c>
      <c r="BK55" s="409">
        <v>0</v>
      </c>
      <c r="BL55" s="409">
        <v>0</v>
      </c>
      <c r="BM55" s="409"/>
      <c r="BN55" s="409"/>
      <c r="BO55" s="409"/>
      <c r="BP55" s="409"/>
      <c r="BQ55" s="409">
        <v>796.64329620000137</v>
      </c>
      <c r="BR55" s="409"/>
      <c r="BS55" s="409"/>
      <c r="BT55" s="409"/>
      <c r="BU55" s="409"/>
      <c r="BV55" s="409">
        <v>1873.080994412423</v>
      </c>
      <c r="BW55" s="409"/>
      <c r="BX55" s="409"/>
      <c r="BY55" s="409"/>
      <c r="BZ55" s="409"/>
      <c r="CA55" s="409"/>
      <c r="CB55" s="409"/>
      <c r="CC55" s="409"/>
      <c r="CD55" s="409"/>
      <c r="CE55" s="409"/>
      <c r="CF55" s="409"/>
      <c r="CG55" s="409"/>
      <c r="CH55" s="409"/>
      <c r="CI55" s="409">
        <v>12475.005299999999</v>
      </c>
      <c r="CJ55" s="409">
        <v>-1145.9505228000016</v>
      </c>
      <c r="CK55" s="409"/>
      <c r="CL55" s="409"/>
      <c r="CM55" s="409"/>
      <c r="CN55" s="409"/>
      <c r="CO55" s="409">
        <v>-1301.371350000001</v>
      </c>
      <c r="CP55" s="409">
        <v>88.412999999999997</v>
      </c>
      <c r="CQ55" s="409">
        <v>30</v>
      </c>
      <c r="CR55" s="409">
        <v>195.04027082822176</v>
      </c>
      <c r="CS55" s="409">
        <v>0</v>
      </c>
      <c r="CT55" s="409">
        <v>0</v>
      </c>
      <c r="CU55" s="409">
        <v>0</v>
      </c>
      <c r="CV55" s="409">
        <v>0</v>
      </c>
      <c r="CW55" s="409">
        <v>0</v>
      </c>
      <c r="CX55" s="409">
        <v>0</v>
      </c>
      <c r="CY55" s="409">
        <v>0</v>
      </c>
      <c r="CZ55" s="409">
        <v>114.25398306686429</v>
      </c>
      <c r="DA55" s="409">
        <v>0</v>
      </c>
      <c r="DB55" s="409">
        <v>0</v>
      </c>
      <c r="DC55" s="409">
        <v>100.2892965814126</v>
      </c>
      <c r="DD55" s="409">
        <v>0</v>
      </c>
      <c r="DE55" s="409">
        <v>0</v>
      </c>
      <c r="DF55" s="409">
        <v>0</v>
      </c>
      <c r="DG55" s="409">
        <v>0.61305300141286345</v>
      </c>
      <c r="DH55" s="409">
        <v>0</v>
      </c>
      <c r="DI55" s="409">
        <v>-22.770139434095142</v>
      </c>
      <c r="DJ55" s="409"/>
      <c r="DK55" s="409">
        <v>0</v>
      </c>
      <c r="DL55" s="409">
        <v>0</v>
      </c>
      <c r="DM55" s="409">
        <v>0</v>
      </c>
      <c r="DN55" s="409">
        <v>0</v>
      </c>
      <c r="DO55" s="409">
        <v>-3.329307401511258</v>
      </c>
      <c r="DP55" s="409">
        <v>-0.38953364904575416</v>
      </c>
      <c r="DQ55" s="409">
        <v>0</v>
      </c>
      <c r="DR55" s="409">
        <v>6.3729186631839632</v>
      </c>
      <c r="DS55" s="409"/>
      <c r="DT55" s="409"/>
      <c r="DU55" s="409"/>
      <c r="DV55" s="409">
        <v>8857.4967240522928</v>
      </c>
      <c r="DW55" s="409">
        <v>0</v>
      </c>
      <c r="DX55" s="409">
        <v>0</v>
      </c>
      <c r="DY55" s="409">
        <v>-1301.3713500000013</v>
      </c>
      <c r="DZ55" s="409">
        <v>88.413000000000011</v>
      </c>
      <c r="EA55" s="409">
        <v>0</v>
      </c>
      <c r="EB55" s="409">
        <v>0</v>
      </c>
      <c r="EC55" s="409">
        <v>-1407.9255148450957</v>
      </c>
      <c r="ED55" s="409">
        <v>0</v>
      </c>
      <c r="EE55" s="409">
        <v>0</v>
      </c>
      <c r="EF55" s="409">
        <v>0</v>
      </c>
      <c r="EG55" s="409">
        <v>0</v>
      </c>
      <c r="EH55" s="409">
        <v>0</v>
      </c>
      <c r="EI55" s="409">
        <v>0</v>
      </c>
      <c r="EJ55" s="409">
        <v>0</v>
      </c>
      <c r="EK55" s="409">
        <v>0</v>
      </c>
      <c r="EL55" s="409">
        <v>0</v>
      </c>
      <c r="EM55" s="409">
        <v>0</v>
      </c>
      <c r="EN55" s="409">
        <v>0</v>
      </c>
      <c r="EO55" s="409">
        <v>0</v>
      </c>
      <c r="EP55" s="409">
        <v>0</v>
      </c>
      <c r="EQ55" s="409">
        <v>0</v>
      </c>
      <c r="ER55" s="409">
        <v>0</v>
      </c>
      <c r="ES55" s="409">
        <v>0</v>
      </c>
      <c r="ET55" s="409">
        <v>0</v>
      </c>
      <c r="EU55" s="409">
        <v>0</v>
      </c>
      <c r="EV55" s="409">
        <v>210</v>
      </c>
      <c r="EW55" s="409">
        <v>0</v>
      </c>
      <c r="EX55" s="409">
        <v>0</v>
      </c>
      <c r="EY55" s="409">
        <v>0</v>
      </c>
      <c r="EZ55" s="409"/>
      <c r="FA55" s="409">
        <v>0</v>
      </c>
      <c r="FB55" s="409"/>
      <c r="FC55" s="409"/>
      <c r="FD55" s="409"/>
      <c r="FE55" s="409"/>
      <c r="FF55" s="409">
        <v>0</v>
      </c>
      <c r="FG55" s="409">
        <v>0</v>
      </c>
      <c r="FH55" s="409">
        <v>0</v>
      </c>
      <c r="FI55" s="409">
        <v>0</v>
      </c>
    </row>
    <row r="56" spans="1:165" customFormat="1">
      <c r="A56" s="409">
        <v>54</v>
      </c>
      <c r="B56" s="409" t="s">
        <v>1035</v>
      </c>
      <c r="C56" s="409" t="s">
        <v>2246</v>
      </c>
      <c r="D56" s="409" t="s">
        <v>595</v>
      </c>
      <c r="E56" s="409" t="s">
        <v>1000</v>
      </c>
      <c r="F56" s="409" t="s">
        <v>2253</v>
      </c>
      <c r="G56" s="409" t="s">
        <v>1323</v>
      </c>
      <c r="H56" s="409" t="s">
        <v>1323</v>
      </c>
      <c r="I56" s="409" t="s">
        <v>2234</v>
      </c>
      <c r="J56" s="409" t="s">
        <v>2242</v>
      </c>
      <c r="K56" s="838">
        <v>44348</v>
      </c>
      <c r="L56" s="409">
        <v>0</v>
      </c>
      <c r="M56" s="409">
        <v>0</v>
      </c>
      <c r="N56" s="409">
        <v>72.150000000000006</v>
      </c>
      <c r="O56" s="409">
        <v>67.820999999999998</v>
      </c>
      <c r="P56" s="409">
        <v>72.150000000000006</v>
      </c>
      <c r="Q56" s="409">
        <v>67.820999999999998</v>
      </c>
      <c r="R56" s="409"/>
      <c r="S56" s="409">
        <v>64.400000000000006</v>
      </c>
      <c r="T56" s="409">
        <v>273.74</v>
      </c>
      <c r="U56" s="409"/>
      <c r="V56" s="409">
        <v>24396.801000000007</v>
      </c>
      <c r="W56" s="409">
        <v>24396.801000000007</v>
      </c>
      <c r="X56" s="409">
        <v>25067.074500000002</v>
      </c>
      <c r="Y56" s="409">
        <v>0</v>
      </c>
      <c r="Z56" s="409">
        <v>3789.732040321248</v>
      </c>
      <c r="AA56" s="409">
        <v>0</v>
      </c>
      <c r="AB56" s="409">
        <v>0</v>
      </c>
      <c r="AC56" s="409">
        <v>0</v>
      </c>
      <c r="AD56" s="409">
        <v>0</v>
      </c>
      <c r="AE56" s="409">
        <v>0</v>
      </c>
      <c r="AF56" s="409">
        <v>19750.287586615246</v>
      </c>
      <c r="AG56" s="409">
        <v>0</v>
      </c>
      <c r="AH56" s="409">
        <v>0</v>
      </c>
      <c r="AI56" s="409">
        <v>0</v>
      </c>
      <c r="AJ56" s="409">
        <v>0</v>
      </c>
      <c r="AK56" s="409">
        <v>0</v>
      </c>
      <c r="AL56" s="409">
        <v>673.63199890719125</v>
      </c>
      <c r="AM56" s="409"/>
      <c r="AN56" s="409">
        <v>62.632542718575024</v>
      </c>
      <c r="AO56" s="409">
        <v>0</v>
      </c>
      <c r="AP56" s="409">
        <v>0</v>
      </c>
      <c r="AQ56" s="409">
        <v>0</v>
      </c>
      <c r="AR56" s="409">
        <v>0</v>
      </c>
      <c r="AS56" s="409">
        <v>0</v>
      </c>
      <c r="AT56" s="409">
        <v>0</v>
      </c>
      <c r="AU56" s="409">
        <v>0</v>
      </c>
      <c r="AV56" s="409">
        <v>0</v>
      </c>
      <c r="AW56" s="409">
        <v>0</v>
      </c>
      <c r="AX56" s="409">
        <v>0</v>
      </c>
      <c r="AY56" s="409">
        <v>0</v>
      </c>
      <c r="AZ56" s="409">
        <v>0</v>
      </c>
      <c r="BA56" s="409"/>
      <c r="BB56" s="409">
        <v>0</v>
      </c>
      <c r="BC56" s="409">
        <v>0</v>
      </c>
      <c r="BD56" s="409">
        <v>0</v>
      </c>
      <c r="BE56" s="409">
        <v>0</v>
      </c>
      <c r="BF56" s="409">
        <v>0</v>
      </c>
      <c r="BG56" s="409">
        <v>120.73046173886848</v>
      </c>
      <c r="BH56" s="409">
        <v>0</v>
      </c>
      <c r="BI56" s="409">
        <v>0</v>
      </c>
      <c r="BJ56" s="409">
        <v>0</v>
      </c>
      <c r="BK56" s="409">
        <v>0</v>
      </c>
      <c r="BL56" s="409">
        <v>0</v>
      </c>
      <c r="BM56" s="409"/>
      <c r="BN56" s="409"/>
      <c r="BO56" s="409"/>
      <c r="BP56" s="409"/>
      <c r="BQ56" s="409">
        <v>1504.0244700000028</v>
      </c>
      <c r="BR56" s="409"/>
      <c r="BS56" s="409"/>
      <c r="BT56" s="409"/>
      <c r="BU56" s="409"/>
      <c r="BV56" s="409">
        <v>19871.018048354115</v>
      </c>
      <c r="BW56" s="409"/>
      <c r="BX56" s="409"/>
      <c r="BY56" s="409"/>
      <c r="BZ56" s="409"/>
      <c r="CA56" s="409"/>
      <c r="CB56" s="409"/>
      <c r="CC56" s="409"/>
      <c r="CD56" s="409"/>
      <c r="CE56" s="409"/>
      <c r="CF56" s="409"/>
      <c r="CG56" s="409"/>
      <c r="CH56" s="409"/>
      <c r="CI56" s="409">
        <v>23562.702600000001</v>
      </c>
      <c r="CJ56" s="409">
        <v>629.6796600000016</v>
      </c>
      <c r="CK56" s="409"/>
      <c r="CL56" s="409"/>
      <c r="CM56" s="409"/>
      <c r="CN56" s="409"/>
      <c r="CO56" s="409">
        <v>-267.6765000000006</v>
      </c>
      <c r="CP56" s="409">
        <v>937.95</v>
      </c>
      <c r="CQ56" s="409">
        <v>30</v>
      </c>
      <c r="CR56" s="409">
        <v>670.38351787901047</v>
      </c>
      <c r="CS56" s="409">
        <v>0</v>
      </c>
      <c r="CT56" s="409">
        <v>0</v>
      </c>
      <c r="CU56" s="409">
        <v>0</v>
      </c>
      <c r="CV56" s="409">
        <v>0</v>
      </c>
      <c r="CW56" s="409">
        <v>0</v>
      </c>
      <c r="CX56" s="409">
        <v>0</v>
      </c>
      <c r="CY56" s="409">
        <v>0</v>
      </c>
      <c r="CZ56" s="409">
        <v>0</v>
      </c>
      <c r="DA56" s="409">
        <v>0</v>
      </c>
      <c r="DB56" s="409">
        <v>0</v>
      </c>
      <c r="DC56" s="409">
        <v>1063.9424714525703</v>
      </c>
      <c r="DD56" s="409">
        <v>0</v>
      </c>
      <c r="DE56" s="409">
        <v>0</v>
      </c>
      <c r="DF56" s="409">
        <v>0</v>
      </c>
      <c r="DG56" s="409">
        <v>6.5037162258400372</v>
      </c>
      <c r="DH56" s="409">
        <v>0</v>
      </c>
      <c r="DI56" s="409">
        <v>-241.562352620198</v>
      </c>
      <c r="DJ56" s="409"/>
      <c r="DK56" s="409">
        <v>0</v>
      </c>
      <c r="DL56" s="409">
        <v>0</v>
      </c>
      <c r="DM56" s="409">
        <v>0</v>
      </c>
      <c r="DN56" s="409">
        <v>0</v>
      </c>
      <c r="DO56" s="409">
        <v>-35.319736659173259</v>
      </c>
      <c r="DP56" s="409">
        <v>-4.1324588705559719</v>
      </c>
      <c r="DQ56" s="409">
        <v>0</v>
      </c>
      <c r="DR56" s="409">
        <v>-119.04812164946968</v>
      </c>
      <c r="DS56" s="409"/>
      <c r="DT56" s="409"/>
      <c r="DU56" s="409"/>
      <c r="DV56" s="409">
        <v>0</v>
      </c>
      <c r="DW56" s="409">
        <v>0</v>
      </c>
      <c r="DX56" s="409">
        <v>0</v>
      </c>
      <c r="DY56" s="409">
        <v>-267.67650000000049</v>
      </c>
      <c r="DZ56" s="409">
        <v>937.94999999999709</v>
      </c>
      <c r="EA56" s="409">
        <v>0</v>
      </c>
      <c r="EB56" s="409">
        <v>0</v>
      </c>
      <c r="EC56" s="409">
        <v>0</v>
      </c>
      <c r="ED56" s="409">
        <v>0</v>
      </c>
      <c r="EE56" s="409">
        <v>0</v>
      </c>
      <c r="EF56" s="409">
        <v>0</v>
      </c>
      <c r="EG56" s="409">
        <v>0</v>
      </c>
      <c r="EH56" s="409">
        <v>0</v>
      </c>
      <c r="EI56" s="409">
        <v>0</v>
      </c>
      <c r="EJ56" s="409">
        <v>0</v>
      </c>
      <c r="EK56" s="409">
        <v>0</v>
      </c>
      <c r="EL56" s="409">
        <v>0</v>
      </c>
      <c r="EM56" s="409">
        <v>0</v>
      </c>
      <c r="EN56" s="409">
        <v>0</v>
      </c>
      <c r="EO56" s="409">
        <v>0</v>
      </c>
      <c r="EP56" s="409">
        <v>0</v>
      </c>
      <c r="EQ56" s="409">
        <v>0</v>
      </c>
      <c r="ER56" s="409">
        <v>0</v>
      </c>
      <c r="ES56" s="409">
        <v>0</v>
      </c>
      <c r="ET56" s="409">
        <v>0</v>
      </c>
      <c r="EU56" s="409">
        <v>0</v>
      </c>
      <c r="EV56" s="409">
        <v>210</v>
      </c>
      <c r="EW56" s="409">
        <v>0</v>
      </c>
      <c r="EX56" s="409">
        <v>0</v>
      </c>
      <c r="EY56" s="409">
        <v>0</v>
      </c>
      <c r="EZ56" s="409"/>
      <c r="FA56" s="409">
        <v>0</v>
      </c>
      <c r="FB56" s="409"/>
      <c r="FC56" s="409"/>
      <c r="FD56" s="409"/>
      <c r="FE56" s="409"/>
      <c r="FF56" s="409">
        <v>0</v>
      </c>
      <c r="FG56" s="409">
        <v>0</v>
      </c>
      <c r="FH56" s="409">
        <v>0</v>
      </c>
      <c r="FI56" s="409">
        <v>0</v>
      </c>
    </row>
    <row r="57" spans="1:165" customFormat="1">
      <c r="A57" s="409">
        <v>55</v>
      </c>
      <c r="B57" s="409" t="s">
        <v>1035</v>
      </c>
      <c r="C57" s="409" t="s">
        <v>2246</v>
      </c>
      <c r="D57" s="409" t="s">
        <v>595</v>
      </c>
      <c r="E57" s="409" t="s">
        <v>1000</v>
      </c>
      <c r="F57" s="409" t="s">
        <v>2253</v>
      </c>
      <c r="G57" s="409" t="s">
        <v>1323</v>
      </c>
      <c r="H57" s="409" t="s">
        <v>1323</v>
      </c>
      <c r="I57" s="409" t="s">
        <v>1323</v>
      </c>
      <c r="J57" s="409" t="s">
        <v>2242</v>
      </c>
      <c r="K57" s="838">
        <v>44348</v>
      </c>
      <c r="L57" s="409">
        <v>140</v>
      </c>
      <c r="M57" s="409">
        <v>131.6</v>
      </c>
      <c r="N57" s="409">
        <v>0</v>
      </c>
      <c r="O57" s="409">
        <v>0</v>
      </c>
      <c r="P57" s="409">
        <v>0</v>
      </c>
      <c r="Q57" s="409">
        <v>0</v>
      </c>
      <c r="R57" s="409">
        <v>33.6</v>
      </c>
      <c r="S57" s="409"/>
      <c r="T57" s="409"/>
      <c r="U57" s="409">
        <v>4704</v>
      </c>
      <c r="V57" s="409"/>
      <c r="W57" s="409">
        <v>4704</v>
      </c>
      <c r="X57" s="409">
        <v>4446.4000000000005</v>
      </c>
      <c r="Y57" s="409">
        <v>0</v>
      </c>
      <c r="Z57" s="409">
        <v>0</v>
      </c>
      <c r="AA57" s="409">
        <v>0</v>
      </c>
      <c r="AB57" s="409">
        <v>0</v>
      </c>
      <c r="AC57" s="409">
        <v>0</v>
      </c>
      <c r="AD57" s="409">
        <v>2498.3720823538683</v>
      </c>
      <c r="AE57" s="409">
        <v>2205.721001824802</v>
      </c>
      <c r="AF57" s="409"/>
      <c r="AG57" s="409"/>
      <c r="AH57" s="409"/>
      <c r="AI57" s="409">
        <v>0</v>
      </c>
      <c r="AJ57" s="409">
        <v>0</v>
      </c>
      <c r="AK57" s="409">
        <v>0</v>
      </c>
      <c r="AL57" s="409">
        <v>0</v>
      </c>
      <c r="AM57" s="409"/>
      <c r="AN57" s="409">
        <v>0</v>
      </c>
      <c r="AO57" s="409">
        <v>0</v>
      </c>
      <c r="AP57" s="409">
        <v>0</v>
      </c>
      <c r="AQ57" s="409">
        <v>0</v>
      </c>
      <c r="AR57" s="409">
        <v>0</v>
      </c>
      <c r="AS57" s="409"/>
      <c r="AT57" s="409"/>
      <c r="AU57" s="409">
        <v>0</v>
      </c>
      <c r="AV57" s="409">
        <v>0</v>
      </c>
      <c r="AW57" s="409">
        <v>0</v>
      </c>
      <c r="AX57" s="409"/>
      <c r="AY57" s="409"/>
      <c r="AZ57" s="409">
        <v>0</v>
      </c>
      <c r="BA57" s="409"/>
      <c r="BB57" s="409">
        <v>0</v>
      </c>
      <c r="BC57" s="409">
        <v>0</v>
      </c>
      <c r="BD57" s="409">
        <v>0</v>
      </c>
      <c r="BE57" s="409">
        <v>0</v>
      </c>
      <c r="BF57" s="409"/>
      <c r="BG57" s="409">
        <v>0</v>
      </c>
      <c r="BH57" s="409">
        <v>0</v>
      </c>
      <c r="BI57" s="409">
        <v>0</v>
      </c>
      <c r="BJ57" s="409">
        <v>0</v>
      </c>
      <c r="BK57" s="409">
        <v>8133.25</v>
      </c>
      <c r="BL57" s="409">
        <v>1</v>
      </c>
      <c r="BM57" s="409"/>
      <c r="BN57" s="409"/>
      <c r="BO57" s="409"/>
      <c r="BP57" s="409"/>
      <c r="BQ57" s="409">
        <v>266.78400000000022</v>
      </c>
      <c r="BR57" s="409"/>
      <c r="BS57" s="409"/>
      <c r="BT57" s="409"/>
      <c r="BU57" s="409"/>
      <c r="BV57" s="409">
        <v>0</v>
      </c>
      <c r="BW57" s="409"/>
      <c r="BX57" s="409"/>
      <c r="BY57" s="409"/>
      <c r="BZ57" s="409"/>
      <c r="CA57" s="409"/>
      <c r="CB57" s="409"/>
      <c r="CC57" s="409"/>
      <c r="CD57" s="409"/>
      <c r="CE57" s="409"/>
      <c r="CF57" s="409"/>
      <c r="CG57" s="409"/>
      <c r="CH57" s="409"/>
      <c r="CI57" s="409">
        <v>4179.616</v>
      </c>
      <c r="CJ57" s="409">
        <v>-242.17400000000089</v>
      </c>
      <c r="CK57" s="409"/>
      <c r="CL57" s="409"/>
      <c r="CM57" s="409"/>
      <c r="CN57" s="409"/>
      <c r="CO57" s="409">
        <v>-257.59999999999997</v>
      </c>
      <c r="CP57" s="409">
        <v>0</v>
      </c>
      <c r="CQ57" s="409">
        <v>30</v>
      </c>
      <c r="CR57" s="409">
        <v>92.429688544023975</v>
      </c>
      <c r="CS57" s="409">
        <v>0</v>
      </c>
      <c r="CT57" s="409">
        <v>0</v>
      </c>
      <c r="CU57" s="409">
        <v>0</v>
      </c>
      <c r="CV57" s="409">
        <v>0</v>
      </c>
      <c r="CW57" s="409"/>
      <c r="CX57" s="409"/>
      <c r="CY57" s="409"/>
      <c r="CZ57" s="409">
        <v>85.640302779317608</v>
      </c>
      <c r="DA57" s="409">
        <v>0</v>
      </c>
      <c r="DB57" s="409">
        <v>0</v>
      </c>
      <c r="DC57" s="409"/>
      <c r="DD57" s="409"/>
      <c r="DE57" s="409">
        <v>0</v>
      </c>
      <c r="DF57" s="409">
        <v>0</v>
      </c>
      <c r="DG57" s="409">
        <v>0</v>
      </c>
      <c r="DH57" s="409">
        <v>0</v>
      </c>
      <c r="DI57" s="409">
        <v>0</v>
      </c>
      <c r="DJ57" s="409"/>
      <c r="DK57" s="409">
        <v>0</v>
      </c>
      <c r="DL57" s="409">
        <v>0</v>
      </c>
      <c r="DM57" s="409"/>
      <c r="DN57" s="409">
        <v>0</v>
      </c>
      <c r="DO57" s="409">
        <v>0</v>
      </c>
      <c r="DP57" s="409">
        <v>0</v>
      </c>
      <c r="DQ57" s="409">
        <v>0</v>
      </c>
      <c r="DR57" s="409">
        <v>6.7893857647062585</v>
      </c>
      <c r="DS57" s="409"/>
      <c r="DT57" s="409"/>
      <c r="DU57" s="409">
        <v>2205.721001824802</v>
      </c>
      <c r="DV57" s="409"/>
      <c r="DW57" s="409">
        <v>0</v>
      </c>
      <c r="DX57" s="409">
        <v>0</v>
      </c>
      <c r="DY57" s="409">
        <v>-257.59999999999945</v>
      </c>
      <c r="DZ57" s="409"/>
      <c r="EA57" s="409">
        <v>0</v>
      </c>
      <c r="EB57" s="409"/>
      <c r="EC57" s="409">
        <v>-350.60593007797002</v>
      </c>
      <c r="ED57" s="409"/>
      <c r="EE57" s="409">
        <v>0</v>
      </c>
      <c r="EF57" s="409">
        <v>0</v>
      </c>
      <c r="EG57" s="409"/>
      <c r="EH57" s="409">
        <v>0</v>
      </c>
      <c r="EI57" s="409">
        <v>0</v>
      </c>
      <c r="EJ57" s="409">
        <v>0</v>
      </c>
      <c r="EK57" s="409">
        <v>0</v>
      </c>
      <c r="EL57" s="409">
        <v>0</v>
      </c>
      <c r="EM57" s="409"/>
      <c r="EN57" s="409"/>
      <c r="EO57" s="409">
        <v>0</v>
      </c>
      <c r="EP57" s="409">
        <v>0</v>
      </c>
      <c r="EQ57" s="409"/>
      <c r="ER57" s="409">
        <v>0</v>
      </c>
      <c r="ES57" s="409"/>
      <c r="ET57" s="409">
        <v>0</v>
      </c>
      <c r="EU57" s="409"/>
      <c r="EV57" s="409">
        <v>210</v>
      </c>
      <c r="EW57" s="409"/>
      <c r="EX57" s="409"/>
      <c r="EY57" s="409"/>
      <c r="EZ57" s="409"/>
      <c r="FA57" s="409">
        <v>0</v>
      </c>
      <c r="FB57" s="409"/>
      <c r="FC57" s="409"/>
      <c r="FD57" s="409"/>
      <c r="FE57" s="409"/>
      <c r="FF57" s="409">
        <v>0</v>
      </c>
      <c r="FG57" s="409">
        <v>0</v>
      </c>
      <c r="FH57" s="409">
        <v>0</v>
      </c>
      <c r="FI57" s="409">
        <v>0</v>
      </c>
    </row>
    <row r="58" spans="1:165" customFormat="1">
      <c r="A58" s="409">
        <v>56</v>
      </c>
      <c r="B58" s="409" t="s">
        <v>1035</v>
      </c>
      <c r="C58" s="409" t="s">
        <v>2241</v>
      </c>
      <c r="D58" s="409" t="s">
        <v>2247</v>
      </c>
      <c r="E58" s="409" t="s">
        <v>973</v>
      </c>
      <c r="F58" s="409" t="s">
        <v>2254</v>
      </c>
      <c r="G58" s="409" t="s">
        <v>2255</v>
      </c>
      <c r="H58" s="409" t="s">
        <v>1323</v>
      </c>
      <c r="I58" s="409" t="s">
        <v>1323</v>
      </c>
      <c r="J58" s="409" t="s">
        <v>2242</v>
      </c>
      <c r="K58" s="838">
        <v>44348</v>
      </c>
      <c r="L58" s="409">
        <v>0</v>
      </c>
      <c r="M58" s="409">
        <v>0</v>
      </c>
      <c r="N58" s="409">
        <v>0</v>
      </c>
      <c r="O58" s="409">
        <v>0</v>
      </c>
      <c r="P58" s="409">
        <v>0</v>
      </c>
      <c r="Q58" s="409">
        <v>0</v>
      </c>
      <c r="R58" s="409"/>
      <c r="S58" s="409"/>
      <c r="T58" s="409"/>
      <c r="U58" s="409"/>
      <c r="V58" s="409"/>
      <c r="W58" s="409"/>
      <c r="X58" s="409"/>
      <c r="Y58" s="409"/>
      <c r="Z58" s="409"/>
      <c r="AA58" s="409">
        <v>0</v>
      </c>
      <c r="AB58" s="409"/>
      <c r="AC58" s="409"/>
      <c r="AD58" s="409"/>
      <c r="AE58" s="409"/>
      <c r="AF58" s="409"/>
      <c r="AG58" s="409"/>
      <c r="AH58" s="409"/>
      <c r="AI58" s="409"/>
      <c r="AJ58" s="409"/>
      <c r="AK58" s="409"/>
      <c r="AL58" s="409"/>
      <c r="AM58" s="409"/>
      <c r="AN58" s="409"/>
      <c r="AO58" s="409"/>
      <c r="AP58" s="409"/>
      <c r="AQ58" s="409"/>
      <c r="AR58" s="409"/>
      <c r="AS58" s="409"/>
      <c r="AT58" s="409"/>
      <c r="AU58" s="409"/>
      <c r="AV58" s="409"/>
      <c r="AW58" s="409"/>
      <c r="AX58" s="409"/>
      <c r="AY58" s="409"/>
      <c r="AZ58" s="409">
        <v>0</v>
      </c>
      <c r="BA58" s="409"/>
      <c r="BB58" s="409"/>
      <c r="BC58" s="409"/>
      <c r="BD58" s="409"/>
      <c r="BE58" s="409"/>
      <c r="BF58" s="409"/>
      <c r="BG58" s="409"/>
      <c r="BH58" s="409"/>
      <c r="BI58" s="409">
        <v>54.3</v>
      </c>
      <c r="BJ58" s="409">
        <v>250.88</v>
      </c>
      <c r="BK58" s="409">
        <v>1298.1600000000001</v>
      </c>
      <c r="BL58" s="409">
        <v>34</v>
      </c>
      <c r="BM58" s="409"/>
      <c r="BN58" s="409"/>
      <c r="BO58" s="409"/>
      <c r="BP58" s="409"/>
      <c r="BQ58" s="409"/>
      <c r="BR58" s="409"/>
      <c r="BS58" s="409"/>
      <c r="BT58" s="409"/>
      <c r="BU58" s="409"/>
      <c r="BV58" s="409"/>
      <c r="BW58" s="409"/>
      <c r="BX58" s="409"/>
      <c r="BY58" s="409"/>
      <c r="BZ58" s="409"/>
      <c r="CA58" s="409"/>
      <c r="CB58" s="409"/>
      <c r="CC58" s="409"/>
      <c r="CD58" s="409"/>
      <c r="CE58" s="409"/>
      <c r="CF58" s="409"/>
      <c r="CG58" s="409"/>
      <c r="CH58" s="409"/>
      <c r="CI58" s="409"/>
      <c r="CJ58" s="409">
        <v>-0.03</v>
      </c>
      <c r="CK58" s="409"/>
      <c r="CL58" s="409"/>
      <c r="CM58" s="409"/>
      <c r="CN58" s="409"/>
      <c r="CO58" s="409">
        <v>0</v>
      </c>
      <c r="CP58" s="409">
        <v>0</v>
      </c>
      <c r="CQ58" s="409">
        <v>30</v>
      </c>
      <c r="CR58" s="409"/>
      <c r="CS58" s="409"/>
      <c r="CT58" s="409"/>
      <c r="CU58" s="409"/>
      <c r="CV58" s="409"/>
      <c r="CW58" s="409"/>
      <c r="CX58" s="409"/>
      <c r="CY58" s="409"/>
      <c r="CZ58" s="409"/>
      <c r="DA58" s="409"/>
      <c r="DB58" s="409"/>
      <c r="DC58" s="409"/>
      <c r="DD58" s="409"/>
      <c r="DE58" s="409"/>
      <c r="DF58" s="409"/>
      <c r="DG58" s="409"/>
      <c r="DH58" s="409"/>
      <c r="DI58" s="409"/>
      <c r="DJ58" s="409"/>
      <c r="DK58" s="409">
        <v>0</v>
      </c>
      <c r="DL58" s="409"/>
      <c r="DM58" s="409"/>
      <c r="DN58" s="409"/>
      <c r="DO58" s="409"/>
      <c r="DP58" s="409"/>
      <c r="DQ58" s="409"/>
      <c r="DR58" s="409"/>
      <c r="DS58" s="409"/>
      <c r="DT58" s="409"/>
      <c r="DU58" s="409"/>
      <c r="DV58" s="409"/>
      <c r="DW58" s="409"/>
      <c r="DX58" s="409"/>
      <c r="DY58" s="409"/>
      <c r="DZ58" s="409"/>
      <c r="EA58" s="409"/>
      <c r="EB58" s="409"/>
      <c r="EC58" s="409"/>
      <c r="ED58" s="409"/>
      <c r="EE58" s="409"/>
      <c r="EF58" s="409"/>
      <c r="EG58" s="409"/>
      <c r="EH58" s="409"/>
      <c r="EI58" s="409"/>
      <c r="EJ58" s="409"/>
      <c r="EK58" s="409"/>
      <c r="EL58" s="409"/>
      <c r="EM58" s="409"/>
      <c r="EN58" s="409"/>
      <c r="EO58" s="409"/>
      <c r="EP58" s="409"/>
      <c r="EQ58" s="409"/>
      <c r="ER58" s="409"/>
      <c r="ES58" s="409"/>
      <c r="ET58" s="409"/>
      <c r="EU58" s="409"/>
      <c r="EV58" s="409">
        <v>210</v>
      </c>
      <c r="EW58" s="409"/>
      <c r="EX58" s="409"/>
      <c r="EY58" s="409"/>
      <c r="EZ58" s="409"/>
      <c r="FA58" s="409">
        <v>0</v>
      </c>
      <c r="FB58" s="409"/>
      <c r="FC58" s="409"/>
      <c r="FD58" s="409"/>
      <c r="FE58" s="409"/>
      <c r="FF58" s="409">
        <v>0</v>
      </c>
      <c r="FG58" s="409">
        <v>0</v>
      </c>
      <c r="FH58" s="409">
        <v>0</v>
      </c>
      <c r="FI58" s="409">
        <v>0</v>
      </c>
    </row>
    <row r="59" spans="1:165" customFormat="1">
      <c r="A59" s="409">
        <v>57</v>
      </c>
      <c r="B59" s="409" t="s">
        <v>1035</v>
      </c>
      <c r="C59" s="409" t="s">
        <v>2241</v>
      </c>
      <c r="D59" s="409" t="s">
        <v>2247</v>
      </c>
      <c r="E59" s="409" t="s">
        <v>973</v>
      </c>
      <c r="F59" s="409" t="s">
        <v>2254</v>
      </c>
      <c r="G59" s="409" t="s">
        <v>2255</v>
      </c>
      <c r="H59" s="409" t="s">
        <v>1323</v>
      </c>
      <c r="I59" s="409" t="s">
        <v>1323</v>
      </c>
      <c r="J59" s="409" t="s">
        <v>2242</v>
      </c>
      <c r="K59" s="838">
        <v>44348</v>
      </c>
      <c r="L59" s="409">
        <v>0</v>
      </c>
      <c r="M59" s="409">
        <v>0</v>
      </c>
      <c r="N59" s="409">
        <v>20.09</v>
      </c>
      <c r="O59" s="409">
        <v>20.09</v>
      </c>
      <c r="P59" s="409">
        <v>20.09</v>
      </c>
      <c r="Q59" s="409">
        <v>20.09</v>
      </c>
      <c r="R59" s="409"/>
      <c r="S59" s="409">
        <v>358.62</v>
      </c>
      <c r="T59" s="409">
        <v>273.74</v>
      </c>
      <c r="U59" s="409"/>
      <c r="V59" s="409">
        <v>12704.1124</v>
      </c>
      <c r="W59" s="409">
        <v>12704.1124</v>
      </c>
      <c r="X59" s="409">
        <v>12317.982599999999</v>
      </c>
      <c r="Y59" s="409">
        <v>0</v>
      </c>
      <c r="Z59" s="409">
        <v>1212.9219408807307</v>
      </c>
      <c r="AA59" s="409">
        <v>0</v>
      </c>
      <c r="AB59" s="409">
        <v>0</v>
      </c>
      <c r="AC59" s="409">
        <v>0</v>
      </c>
      <c r="AD59" s="409">
        <v>1729.5183205647313</v>
      </c>
      <c r="AE59" s="409">
        <v>3979.410968156888</v>
      </c>
      <c r="AF59" s="409">
        <v>5499.4217271670168</v>
      </c>
      <c r="AG59" s="409">
        <v>0</v>
      </c>
      <c r="AH59" s="409">
        <v>0</v>
      </c>
      <c r="AI59" s="409">
        <v>0</v>
      </c>
      <c r="AJ59" s="409">
        <v>0</v>
      </c>
      <c r="AK59" s="409">
        <v>0</v>
      </c>
      <c r="AL59" s="409">
        <v>187.57126622377643</v>
      </c>
      <c r="AM59" s="409"/>
      <c r="AN59" s="409">
        <v>21.397685646618463</v>
      </c>
      <c r="AO59" s="409">
        <v>0</v>
      </c>
      <c r="AP59" s="409">
        <v>0</v>
      </c>
      <c r="AQ59" s="409">
        <v>0</v>
      </c>
      <c r="AR59" s="409">
        <v>0</v>
      </c>
      <c r="AS59" s="409">
        <v>0</v>
      </c>
      <c r="AT59" s="409">
        <v>0</v>
      </c>
      <c r="AU59" s="409">
        <v>0</v>
      </c>
      <c r="AV59" s="409">
        <v>0</v>
      </c>
      <c r="AW59" s="409">
        <v>0</v>
      </c>
      <c r="AX59" s="409">
        <v>0</v>
      </c>
      <c r="AY59" s="409">
        <v>0</v>
      </c>
      <c r="AZ59" s="409">
        <v>0</v>
      </c>
      <c r="BA59" s="409"/>
      <c r="BB59" s="409">
        <v>0</v>
      </c>
      <c r="BC59" s="409">
        <v>0</v>
      </c>
      <c r="BD59" s="409">
        <v>0</v>
      </c>
      <c r="BE59" s="409">
        <v>0</v>
      </c>
      <c r="BF59" s="409">
        <v>0</v>
      </c>
      <c r="BG59" s="409">
        <v>73.899583123707046</v>
      </c>
      <c r="BH59" s="409">
        <v>0</v>
      </c>
      <c r="BI59" s="409">
        <v>0</v>
      </c>
      <c r="BJ59" s="409">
        <v>0</v>
      </c>
      <c r="BK59" s="409">
        <v>0</v>
      </c>
      <c r="BL59" s="409">
        <v>0</v>
      </c>
      <c r="BM59" s="409"/>
      <c r="BN59" s="409"/>
      <c r="BO59" s="409"/>
      <c r="BP59" s="409"/>
      <c r="BQ59" s="409"/>
      <c r="BR59" s="409">
        <v>1724.5255999999999</v>
      </c>
      <c r="BS59" s="409"/>
      <c r="BT59" s="409"/>
      <c r="BU59" s="409"/>
      <c r="BV59" s="409">
        <v>5573.3213102907239</v>
      </c>
      <c r="BW59" s="409"/>
      <c r="BX59" s="409"/>
      <c r="BY59" s="409"/>
      <c r="BZ59" s="409"/>
      <c r="CA59" s="409"/>
      <c r="CB59" s="409"/>
      <c r="CC59" s="409"/>
      <c r="CD59" s="409"/>
      <c r="CE59" s="409"/>
      <c r="CF59" s="409"/>
      <c r="CG59" s="409"/>
      <c r="CH59" s="409"/>
      <c r="CI59" s="409">
        <v>10593.456999999999</v>
      </c>
      <c r="CJ59" s="409">
        <v>-332.31860000000052</v>
      </c>
      <c r="CK59" s="409"/>
      <c r="CL59" s="409"/>
      <c r="CM59" s="409"/>
      <c r="CN59" s="409"/>
      <c r="CO59" s="409">
        <v>-647.29980000000057</v>
      </c>
      <c r="CP59" s="409">
        <v>261.17</v>
      </c>
      <c r="CQ59" s="409">
        <v>30</v>
      </c>
      <c r="CR59" s="409">
        <v>246.34117388835875</v>
      </c>
      <c r="CS59" s="409">
        <v>0</v>
      </c>
      <c r="CT59" s="409">
        <v>0</v>
      </c>
      <c r="CU59" s="409">
        <v>0</v>
      </c>
      <c r="CV59" s="409">
        <v>0</v>
      </c>
      <c r="CW59" s="409">
        <v>0</v>
      </c>
      <c r="CX59" s="409">
        <v>0</v>
      </c>
      <c r="CY59" s="409">
        <v>0</v>
      </c>
      <c r="CZ59" s="409">
        <v>59.285193619364009</v>
      </c>
      <c r="DA59" s="409">
        <v>0</v>
      </c>
      <c r="DB59" s="409">
        <v>0</v>
      </c>
      <c r="DC59" s="409">
        <v>296.2523111778537</v>
      </c>
      <c r="DD59" s="409">
        <v>0</v>
      </c>
      <c r="DE59" s="409">
        <v>0</v>
      </c>
      <c r="DF59" s="409">
        <v>0</v>
      </c>
      <c r="DG59" s="409">
        <v>3.9809498855722296</v>
      </c>
      <c r="DH59" s="409">
        <v>0</v>
      </c>
      <c r="DI59" s="409">
        <v>-77.313191135004445</v>
      </c>
      <c r="DJ59" s="409"/>
      <c r="DK59" s="409">
        <v>0</v>
      </c>
      <c r="DL59" s="409">
        <v>0</v>
      </c>
      <c r="DM59" s="409">
        <v>0</v>
      </c>
      <c r="DN59" s="409">
        <v>0</v>
      </c>
      <c r="DO59" s="409">
        <v>-9.8346986761301309</v>
      </c>
      <c r="DP59" s="409">
        <v>-1.4118068981656435</v>
      </c>
      <c r="DQ59" s="409">
        <v>0</v>
      </c>
      <c r="DR59" s="409">
        <v>-24.617584085131888</v>
      </c>
      <c r="DS59" s="409"/>
      <c r="DT59" s="409"/>
      <c r="DU59" s="409"/>
      <c r="DV59" s="409">
        <v>3979.410968156888</v>
      </c>
      <c r="DW59" s="409">
        <v>0</v>
      </c>
      <c r="DX59" s="409">
        <v>0</v>
      </c>
      <c r="DY59" s="409">
        <v>-647.29980000000069</v>
      </c>
      <c r="DZ59" s="409">
        <v>261.17000000000007</v>
      </c>
      <c r="EA59" s="409">
        <v>0</v>
      </c>
      <c r="EB59" s="409">
        <v>0</v>
      </c>
      <c r="EC59" s="409">
        <v>-632.53923886968596</v>
      </c>
      <c r="ED59" s="409">
        <v>0</v>
      </c>
      <c r="EE59" s="409">
        <v>0</v>
      </c>
      <c r="EF59" s="409">
        <v>0</v>
      </c>
      <c r="EG59" s="409">
        <v>0</v>
      </c>
      <c r="EH59" s="409">
        <v>0</v>
      </c>
      <c r="EI59" s="409">
        <v>0</v>
      </c>
      <c r="EJ59" s="409">
        <v>0</v>
      </c>
      <c r="EK59" s="409">
        <v>0</v>
      </c>
      <c r="EL59" s="409">
        <v>0</v>
      </c>
      <c r="EM59" s="409">
        <v>0</v>
      </c>
      <c r="EN59" s="409">
        <v>0</v>
      </c>
      <c r="EO59" s="409">
        <v>0</v>
      </c>
      <c r="EP59" s="409">
        <v>0</v>
      </c>
      <c r="EQ59" s="409">
        <v>0</v>
      </c>
      <c r="ER59" s="409">
        <v>0</v>
      </c>
      <c r="ES59" s="409">
        <v>0</v>
      </c>
      <c r="ET59" s="409">
        <v>0</v>
      </c>
      <c r="EU59" s="409">
        <v>0</v>
      </c>
      <c r="EV59" s="409">
        <v>210</v>
      </c>
      <c r="EW59" s="409">
        <v>0</v>
      </c>
      <c r="EX59" s="409">
        <v>0</v>
      </c>
      <c r="EY59" s="409">
        <v>0</v>
      </c>
      <c r="EZ59" s="409"/>
      <c r="FA59" s="409">
        <v>0</v>
      </c>
      <c r="FB59" s="409"/>
      <c r="FC59" s="409"/>
      <c r="FD59" s="409"/>
      <c r="FE59" s="409"/>
      <c r="FF59" s="409">
        <v>0</v>
      </c>
      <c r="FG59" s="409">
        <v>0</v>
      </c>
      <c r="FH59" s="409">
        <v>0</v>
      </c>
      <c r="FI59" s="409">
        <v>0</v>
      </c>
    </row>
    <row r="60" spans="1:165" customFormat="1">
      <c r="A60" s="409">
        <v>58</v>
      </c>
      <c r="B60" s="409" t="s">
        <v>1035</v>
      </c>
      <c r="C60" s="409" t="s">
        <v>2241</v>
      </c>
      <c r="D60" s="409" t="s">
        <v>2247</v>
      </c>
      <c r="E60" s="409" t="s">
        <v>973</v>
      </c>
      <c r="F60" s="409" t="s">
        <v>2254</v>
      </c>
      <c r="G60" s="409" t="s">
        <v>2256</v>
      </c>
      <c r="H60" s="409" t="s">
        <v>1323</v>
      </c>
      <c r="I60" s="409" t="s">
        <v>1323</v>
      </c>
      <c r="J60" s="409" t="s">
        <v>2242</v>
      </c>
      <c r="K60" s="838">
        <v>44348</v>
      </c>
      <c r="L60" s="409">
        <v>0</v>
      </c>
      <c r="M60" s="409">
        <v>0</v>
      </c>
      <c r="N60" s="409">
        <v>28.838999999999999</v>
      </c>
      <c r="O60" s="409">
        <v>11.535600000000001</v>
      </c>
      <c r="P60" s="409">
        <v>28.838999999999999</v>
      </c>
      <c r="Q60" s="409">
        <v>11.535600000000001</v>
      </c>
      <c r="R60" s="409"/>
      <c r="S60" s="409">
        <v>358.62</v>
      </c>
      <c r="T60" s="409">
        <v>273.74</v>
      </c>
      <c r="U60" s="409"/>
      <c r="V60" s="409">
        <v>18236.63004</v>
      </c>
      <c r="W60" s="409">
        <v>18236.63004</v>
      </c>
      <c r="X60" s="409">
        <v>17682.34446</v>
      </c>
      <c r="Y60" s="409">
        <v>0</v>
      </c>
      <c r="Z60" s="409">
        <v>1741.137673123912</v>
      </c>
      <c r="AA60" s="409">
        <v>0</v>
      </c>
      <c r="AB60" s="409">
        <v>0</v>
      </c>
      <c r="AC60" s="409">
        <v>0</v>
      </c>
      <c r="AD60" s="409">
        <v>2482.7067619097202</v>
      </c>
      <c r="AE60" s="409">
        <v>5712.4058193467645</v>
      </c>
      <c r="AF60" s="409">
        <v>7894.3665101926126</v>
      </c>
      <c r="AG60" s="409">
        <v>0</v>
      </c>
      <c r="AH60" s="409">
        <v>0</v>
      </c>
      <c r="AI60" s="409">
        <v>0</v>
      </c>
      <c r="AJ60" s="409">
        <v>0</v>
      </c>
      <c r="AK60" s="409">
        <v>0</v>
      </c>
      <c r="AL60" s="409">
        <v>269.25673203720697</v>
      </c>
      <c r="AM60" s="409"/>
      <c r="AN60" s="409">
        <v>30.716170052903426</v>
      </c>
      <c r="AO60" s="409">
        <v>0</v>
      </c>
      <c r="AP60" s="409">
        <v>0</v>
      </c>
      <c r="AQ60" s="409">
        <v>0</v>
      </c>
      <c r="AR60" s="409">
        <v>0</v>
      </c>
      <c r="AS60" s="409">
        <v>0</v>
      </c>
      <c r="AT60" s="409">
        <v>0</v>
      </c>
      <c r="AU60" s="409">
        <v>0</v>
      </c>
      <c r="AV60" s="409">
        <v>0</v>
      </c>
      <c r="AW60" s="409">
        <v>0</v>
      </c>
      <c r="AX60" s="409">
        <v>0</v>
      </c>
      <c r="AY60" s="409">
        <v>0</v>
      </c>
      <c r="AZ60" s="409">
        <v>0</v>
      </c>
      <c r="BA60" s="409"/>
      <c r="BB60" s="409">
        <v>0</v>
      </c>
      <c r="BC60" s="409">
        <v>0</v>
      </c>
      <c r="BD60" s="409">
        <v>0</v>
      </c>
      <c r="BE60" s="409">
        <v>0</v>
      </c>
      <c r="BF60" s="409">
        <v>0</v>
      </c>
      <c r="BG60" s="409">
        <v>106.08213428096504</v>
      </c>
      <c r="BH60" s="409">
        <v>0</v>
      </c>
      <c r="BI60" s="409">
        <v>0</v>
      </c>
      <c r="BJ60" s="409">
        <v>0</v>
      </c>
      <c r="BK60" s="409">
        <v>0</v>
      </c>
      <c r="BL60" s="409">
        <v>0</v>
      </c>
      <c r="BM60" s="409"/>
      <c r="BN60" s="409"/>
      <c r="BO60" s="409"/>
      <c r="BP60" s="409"/>
      <c r="BQ60" s="409"/>
      <c r="BR60" s="409"/>
      <c r="BS60" s="409">
        <v>11599.622579999999</v>
      </c>
      <c r="BT60" s="409"/>
      <c r="BU60" s="409"/>
      <c r="BV60" s="409">
        <v>8000.4486444735776</v>
      </c>
      <c r="BW60" s="409"/>
      <c r="BX60" s="409"/>
      <c r="BY60" s="409"/>
      <c r="BZ60" s="409"/>
      <c r="CA60" s="409"/>
      <c r="CB60" s="409"/>
      <c r="CC60" s="409"/>
      <c r="CD60" s="409"/>
      <c r="CE60" s="409"/>
      <c r="CF60" s="409"/>
      <c r="CG60" s="409"/>
      <c r="CH60" s="409"/>
      <c r="CI60" s="409">
        <v>6085.0419999999995</v>
      </c>
      <c r="CJ60" s="409">
        <v>-188.50870400000167</v>
      </c>
      <c r="CK60" s="409"/>
      <c r="CL60" s="409"/>
      <c r="CM60" s="409"/>
      <c r="CN60" s="409"/>
      <c r="CO60" s="409">
        <v>-929.1925800000007</v>
      </c>
      <c r="CP60" s="409">
        <v>374.90699999999998</v>
      </c>
      <c r="CQ60" s="409">
        <v>30</v>
      </c>
      <c r="CR60" s="409">
        <v>353.62036405009349</v>
      </c>
      <c r="CS60" s="409">
        <v>0</v>
      </c>
      <c r="CT60" s="409">
        <v>0</v>
      </c>
      <c r="CU60" s="409">
        <v>0</v>
      </c>
      <c r="CV60" s="409">
        <v>0</v>
      </c>
      <c r="CW60" s="409">
        <v>0</v>
      </c>
      <c r="CX60" s="409">
        <v>0</v>
      </c>
      <c r="CY60" s="409">
        <v>0</v>
      </c>
      <c r="CZ60" s="409">
        <v>85.103319999444921</v>
      </c>
      <c r="DA60" s="409">
        <v>0</v>
      </c>
      <c r="DB60" s="409">
        <v>0</v>
      </c>
      <c r="DC60" s="409">
        <v>425.26731717561597</v>
      </c>
      <c r="DD60" s="409">
        <v>0</v>
      </c>
      <c r="DE60" s="409">
        <v>0</v>
      </c>
      <c r="DF60" s="409">
        <v>0</v>
      </c>
      <c r="DG60" s="409">
        <v>5.7146149203592387</v>
      </c>
      <c r="DH60" s="409">
        <v>0</v>
      </c>
      <c r="DI60" s="409">
        <v>-110.98233544760546</v>
      </c>
      <c r="DJ60" s="409"/>
      <c r="DK60" s="409">
        <v>0</v>
      </c>
      <c r="DL60" s="409">
        <v>0</v>
      </c>
      <c r="DM60" s="409">
        <v>0</v>
      </c>
      <c r="DN60" s="409">
        <v>0</v>
      </c>
      <c r="DO60" s="409">
        <v>-14.11761449083707</v>
      </c>
      <c r="DP60" s="409">
        <v>-2.0266350988650608</v>
      </c>
      <c r="DQ60" s="409">
        <v>0</v>
      </c>
      <c r="DR60" s="409">
        <v>-35.338303008019842</v>
      </c>
      <c r="DS60" s="409"/>
      <c r="DT60" s="409"/>
      <c r="DU60" s="409"/>
      <c r="DV60" s="409">
        <v>5712.4058193467645</v>
      </c>
      <c r="DW60" s="409">
        <v>0</v>
      </c>
      <c r="DX60" s="409">
        <v>0</v>
      </c>
      <c r="DY60" s="409">
        <v>-929.19258000000082</v>
      </c>
      <c r="DZ60" s="409">
        <v>374.90700000000015</v>
      </c>
      <c r="EA60" s="409">
        <v>0</v>
      </c>
      <c r="EB60" s="409">
        <v>0</v>
      </c>
      <c r="EC60" s="409">
        <v>-908.00393776818692</v>
      </c>
      <c r="ED60" s="409">
        <v>0</v>
      </c>
      <c r="EE60" s="409">
        <v>0</v>
      </c>
      <c r="EF60" s="409">
        <v>0</v>
      </c>
      <c r="EG60" s="409">
        <v>0</v>
      </c>
      <c r="EH60" s="409">
        <v>0</v>
      </c>
      <c r="EI60" s="409">
        <v>0</v>
      </c>
      <c r="EJ60" s="409">
        <v>0</v>
      </c>
      <c r="EK60" s="409">
        <v>0</v>
      </c>
      <c r="EL60" s="409">
        <v>0</v>
      </c>
      <c r="EM60" s="409">
        <v>0</v>
      </c>
      <c r="EN60" s="409">
        <v>0</v>
      </c>
      <c r="EO60" s="409">
        <v>0</v>
      </c>
      <c r="EP60" s="409">
        <v>0</v>
      </c>
      <c r="EQ60" s="409">
        <v>0</v>
      </c>
      <c r="ER60" s="409">
        <v>0</v>
      </c>
      <c r="ES60" s="409">
        <v>0</v>
      </c>
      <c r="ET60" s="409">
        <v>0</v>
      </c>
      <c r="EU60" s="409">
        <v>0</v>
      </c>
      <c r="EV60" s="409">
        <v>210</v>
      </c>
      <c r="EW60" s="409">
        <v>0</v>
      </c>
      <c r="EX60" s="409">
        <v>0</v>
      </c>
      <c r="EY60" s="409">
        <v>0</v>
      </c>
      <c r="EZ60" s="409"/>
      <c r="FA60" s="409">
        <v>0</v>
      </c>
      <c r="FB60" s="409"/>
      <c r="FC60" s="409"/>
      <c r="FD60" s="409"/>
      <c r="FE60" s="409"/>
      <c r="FF60" s="409">
        <v>0</v>
      </c>
      <c r="FG60" s="409">
        <v>0</v>
      </c>
      <c r="FH60" s="409">
        <v>0</v>
      </c>
      <c r="FI60" s="409">
        <v>0</v>
      </c>
    </row>
    <row r="61" spans="1:165" customFormat="1">
      <c r="A61" s="409">
        <v>59</v>
      </c>
      <c r="B61" s="409" t="s">
        <v>1035</v>
      </c>
      <c r="C61" s="409" t="s">
        <v>2241</v>
      </c>
      <c r="D61" s="409" t="s">
        <v>1989</v>
      </c>
      <c r="E61" s="409" t="s">
        <v>968</v>
      </c>
      <c r="F61" s="409" t="s">
        <v>968</v>
      </c>
      <c r="G61" s="409" t="s">
        <v>1323</v>
      </c>
      <c r="H61" s="409" t="s">
        <v>1323</v>
      </c>
      <c r="I61" s="409" t="s">
        <v>1323</v>
      </c>
      <c r="J61" s="409" t="s">
        <v>2242</v>
      </c>
      <c r="K61" s="838">
        <v>44378</v>
      </c>
      <c r="L61" s="409">
        <v>0</v>
      </c>
      <c r="M61" s="409">
        <v>0</v>
      </c>
      <c r="N61" s="409">
        <v>79.412000000000006</v>
      </c>
      <c r="O61" s="409">
        <v>79.412000000000006</v>
      </c>
      <c r="P61" s="409">
        <v>79.412000000000006</v>
      </c>
      <c r="Q61" s="409">
        <v>79.412000000000006</v>
      </c>
      <c r="R61" s="409"/>
      <c r="S61" s="409">
        <v>358.62</v>
      </c>
      <c r="T61" s="409">
        <v>273.74</v>
      </c>
      <c r="U61" s="409"/>
      <c r="V61" s="409">
        <v>50216.972320000001</v>
      </c>
      <c r="W61" s="409">
        <v>50216.972320000001</v>
      </c>
      <c r="X61" s="409">
        <v>48690.67368</v>
      </c>
      <c r="Y61" s="409">
        <v>0</v>
      </c>
      <c r="Z61" s="409">
        <v>4794.4528207675758</v>
      </c>
      <c r="AA61" s="409">
        <v>0</v>
      </c>
      <c r="AB61" s="409">
        <v>0</v>
      </c>
      <c r="AC61" s="409">
        <v>0</v>
      </c>
      <c r="AD61" s="409">
        <v>6836.4613674806596</v>
      </c>
      <c r="AE61" s="409">
        <v>15729.864798570175</v>
      </c>
      <c r="AF61" s="409">
        <v>21738.182090482187</v>
      </c>
      <c r="AG61" s="409">
        <v>0</v>
      </c>
      <c r="AH61" s="409">
        <v>0</v>
      </c>
      <c r="AI61" s="409">
        <v>0</v>
      </c>
      <c r="AJ61" s="409">
        <v>0</v>
      </c>
      <c r="AK61" s="409">
        <v>0</v>
      </c>
      <c r="AL61" s="409">
        <v>741.43401659345625</v>
      </c>
      <c r="AM61" s="409"/>
      <c r="AN61" s="409">
        <v>84.581035966613513</v>
      </c>
      <c r="AO61" s="409">
        <v>0</v>
      </c>
      <c r="AP61" s="409">
        <v>0</v>
      </c>
      <c r="AQ61" s="409">
        <v>0</v>
      </c>
      <c r="AR61" s="409">
        <v>0</v>
      </c>
      <c r="AS61" s="409">
        <v>0</v>
      </c>
      <c r="AT61" s="409">
        <v>0</v>
      </c>
      <c r="AU61" s="409">
        <v>0</v>
      </c>
      <c r="AV61" s="409">
        <v>0</v>
      </c>
      <c r="AW61" s="409">
        <v>0</v>
      </c>
      <c r="AX61" s="409">
        <v>0</v>
      </c>
      <c r="AY61" s="409">
        <v>0</v>
      </c>
      <c r="AZ61" s="409">
        <v>0</v>
      </c>
      <c r="BA61" s="409"/>
      <c r="BB61" s="409">
        <v>0</v>
      </c>
      <c r="BC61" s="409">
        <v>0</v>
      </c>
      <c r="BD61" s="409">
        <v>0</v>
      </c>
      <c r="BE61" s="409">
        <v>0</v>
      </c>
      <c r="BF61" s="409">
        <v>0</v>
      </c>
      <c r="BG61" s="409">
        <v>292.11118442109631</v>
      </c>
      <c r="BH61" s="409">
        <v>0</v>
      </c>
      <c r="BI61" s="409">
        <v>408.46</v>
      </c>
      <c r="BJ61" s="409">
        <v>1903.88</v>
      </c>
      <c r="BK61" s="409">
        <v>9246.7199999999993</v>
      </c>
      <c r="BL61" s="409">
        <v>719</v>
      </c>
      <c r="BM61" s="409"/>
      <c r="BN61" s="409"/>
      <c r="BO61" s="409"/>
      <c r="BP61" s="409"/>
      <c r="BQ61" s="409"/>
      <c r="BR61" s="409"/>
      <c r="BS61" s="409"/>
      <c r="BT61" s="409"/>
      <c r="BU61" s="409"/>
      <c r="BV61" s="409">
        <v>22030.293274903284</v>
      </c>
      <c r="BW61" s="409"/>
      <c r="BX61" s="409"/>
      <c r="BY61" s="409"/>
      <c r="BZ61" s="409"/>
      <c r="CA61" s="409"/>
      <c r="CB61" s="409"/>
      <c r="CC61" s="409"/>
      <c r="CD61" s="409"/>
      <c r="CE61" s="409"/>
      <c r="CF61" s="409"/>
      <c r="CG61" s="409"/>
      <c r="CH61" s="409"/>
      <c r="CI61" s="409">
        <v>48689.44739999999</v>
      </c>
      <c r="CJ61" s="409">
        <v>-1527.5549200000169</v>
      </c>
      <c r="CK61" s="409"/>
      <c r="CL61" s="409"/>
      <c r="CM61" s="409"/>
      <c r="CN61" s="409"/>
      <c r="CO61" s="409">
        <v>-2558.6546400000025</v>
      </c>
      <c r="CP61" s="409">
        <v>1032.356</v>
      </c>
      <c r="CQ61" s="409">
        <v>31</v>
      </c>
      <c r="CR61" s="409">
        <v>973.74043309219269</v>
      </c>
      <c r="CS61" s="409">
        <v>0</v>
      </c>
      <c r="CT61" s="409">
        <v>0</v>
      </c>
      <c r="CU61" s="409">
        <v>0</v>
      </c>
      <c r="CV61" s="409">
        <v>0</v>
      </c>
      <c r="CW61" s="409">
        <v>0</v>
      </c>
      <c r="CX61" s="409">
        <v>0</v>
      </c>
      <c r="CY61" s="409">
        <v>0</v>
      </c>
      <c r="CZ61" s="409">
        <v>234.34324518172889</v>
      </c>
      <c r="DA61" s="409">
        <v>0</v>
      </c>
      <c r="DB61" s="409">
        <v>0</v>
      </c>
      <c r="DC61" s="409">
        <v>1171.0297926956555</v>
      </c>
      <c r="DD61" s="409">
        <v>0</v>
      </c>
      <c r="DE61" s="409">
        <v>0</v>
      </c>
      <c r="DF61" s="409">
        <v>0</v>
      </c>
      <c r="DG61" s="409">
        <v>15.735947850326568</v>
      </c>
      <c r="DH61" s="409">
        <v>0</v>
      </c>
      <c r="DI61" s="409">
        <v>-305.60453630726624</v>
      </c>
      <c r="DJ61" s="409"/>
      <c r="DK61" s="409">
        <v>0</v>
      </c>
      <c r="DL61" s="409">
        <v>0</v>
      </c>
      <c r="DM61" s="409">
        <v>0</v>
      </c>
      <c r="DN61" s="409">
        <v>0</v>
      </c>
      <c r="DO61" s="409">
        <v>-38.874718330953101</v>
      </c>
      <c r="DP61" s="409">
        <v>-5.5806077350487868</v>
      </c>
      <c r="DQ61" s="409">
        <v>0</v>
      </c>
      <c r="DR61" s="409">
        <v>-97.308690262244596</v>
      </c>
      <c r="DS61" s="409"/>
      <c r="DT61" s="409"/>
      <c r="DU61" s="409"/>
      <c r="DV61" s="409">
        <v>15729.864798570175</v>
      </c>
      <c r="DW61" s="409">
        <v>0</v>
      </c>
      <c r="DX61" s="409">
        <v>0</v>
      </c>
      <c r="DY61" s="409">
        <v>-2558.6546400000043</v>
      </c>
      <c r="DZ61" s="409">
        <v>1032.3559999999998</v>
      </c>
      <c r="EA61" s="409">
        <v>0</v>
      </c>
      <c r="EB61" s="409">
        <v>0</v>
      </c>
      <c r="EC61" s="409">
        <v>-2500.3089117530872</v>
      </c>
      <c r="ED61" s="409">
        <v>0</v>
      </c>
      <c r="EE61" s="409">
        <v>0</v>
      </c>
      <c r="EF61" s="409">
        <v>0</v>
      </c>
      <c r="EG61" s="409">
        <v>0</v>
      </c>
      <c r="EH61" s="409">
        <v>0</v>
      </c>
      <c r="EI61" s="409">
        <v>0</v>
      </c>
      <c r="EJ61" s="409">
        <v>0</v>
      </c>
      <c r="EK61" s="409">
        <v>0</v>
      </c>
      <c r="EL61" s="409">
        <v>0</v>
      </c>
      <c r="EM61" s="409">
        <v>0</v>
      </c>
      <c r="EN61" s="409">
        <v>0</v>
      </c>
      <c r="EO61" s="409">
        <v>0</v>
      </c>
      <c r="EP61" s="409">
        <v>0</v>
      </c>
      <c r="EQ61" s="409">
        <v>0</v>
      </c>
      <c r="ER61" s="409">
        <v>0</v>
      </c>
      <c r="ES61" s="409">
        <v>0</v>
      </c>
      <c r="ET61" s="409">
        <v>0</v>
      </c>
      <c r="EU61" s="409">
        <v>0</v>
      </c>
      <c r="EV61" s="409">
        <v>210</v>
      </c>
      <c r="EW61" s="409">
        <v>0</v>
      </c>
      <c r="EX61" s="409">
        <v>0</v>
      </c>
      <c r="EY61" s="409">
        <v>0</v>
      </c>
      <c r="EZ61" s="409"/>
      <c r="FA61" s="409">
        <v>0</v>
      </c>
      <c r="FB61" s="409"/>
      <c r="FC61" s="409"/>
      <c r="FD61" s="409"/>
      <c r="FE61" s="409"/>
      <c r="FF61" s="409">
        <v>0</v>
      </c>
      <c r="FG61" s="409">
        <v>0</v>
      </c>
      <c r="FH61" s="409">
        <v>0</v>
      </c>
      <c r="FI61" s="409">
        <v>0</v>
      </c>
    </row>
    <row r="62" spans="1:165" customFormat="1">
      <c r="A62" s="409">
        <v>60</v>
      </c>
      <c r="B62" s="409" t="s">
        <v>2240</v>
      </c>
      <c r="C62" s="409" t="s">
        <v>2241</v>
      </c>
      <c r="D62" s="409" t="s">
        <v>1989</v>
      </c>
      <c r="E62" s="409" t="s">
        <v>968</v>
      </c>
      <c r="F62" s="409" t="s">
        <v>968</v>
      </c>
      <c r="G62" s="409" t="s">
        <v>1323</v>
      </c>
      <c r="H62" s="409" t="s">
        <v>1323</v>
      </c>
      <c r="I62" s="409" t="s">
        <v>1323</v>
      </c>
      <c r="J62" s="409" t="s">
        <v>2242</v>
      </c>
      <c r="K62" s="838">
        <v>44378</v>
      </c>
      <c r="L62" s="409">
        <v>0</v>
      </c>
      <c r="M62" s="409">
        <v>0</v>
      </c>
      <c r="N62" s="409">
        <v>0.2</v>
      </c>
      <c r="O62" s="409">
        <v>0.2</v>
      </c>
      <c r="P62" s="409">
        <v>0.2</v>
      </c>
      <c r="Q62" s="409">
        <v>0.2</v>
      </c>
      <c r="R62" s="409"/>
      <c r="S62" s="409">
        <v>358.62</v>
      </c>
      <c r="T62" s="409">
        <v>273.74</v>
      </c>
      <c r="U62" s="409"/>
      <c r="V62" s="409">
        <v>126.47200000000001</v>
      </c>
      <c r="W62" s="409">
        <v>126.47200000000001</v>
      </c>
      <c r="X62" s="409">
        <v>122.62800000000001</v>
      </c>
      <c r="Y62" s="409">
        <v>0</v>
      </c>
      <c r="Z62" s="409">
        <v>12.07488243783704</v>
      </c>
      <c r="AA62" s="409">
        <v>0</v>
      </c>
      <c r="AB62" s="409">
        <v>0</v>
      </c>
      <c r="AC62" s="409">
        <v>0</v>
      </c>
      <c r="AD62" s="409">
        <v>17.217703539718581</v>
      </c>
      <c r="AE62" s="409">
        <v>39.615838408729601</v>
      </c>
      <c r="AF62" s="409">
        <v>54.747851937949399</v>
      </c>
      <c r="AG62" s="409">
        <v>0</v>
      </c>
      <c r="AH62" s="409">
        <v>0</v>
      </c>
      <c r="AI62" s="409">
        <v>0</v>
      </c>
      <c r="AJ62" s="409">
        <v>0</v>
      </c>
      <c r="AK62" s="409">
        <v>0</v>
      </c>
      <c r="AL62" s="409">
        <v>1.8673097682805022</v>
      </c>
      <c r="AM62" s="409"/>
      <c r="AN62" s="409">
        <v>0.21301827423214001</v>
      </c>
      <c r="AO62" s="409">
        <v>0</v>
      </c>
      <c r="AP62" s="409">
        <v>0</v>
      </c>
      <c r="AQ62" s="409">
        <v>0</v>
      </c>
      <c r="AR62" s="409">
        <v>0</v>
      </c>
      <c r="AS62" s="409">
        <v>0</v>
      </c>
      <c r="AT62" s="409">
        <v>0</v>
      </c>
      <c r="AU62" s="409">
        <v>0</v>
      </c>
      <c r="AV62" s="409">
        <v>0</v>
      </c>
      <c r="AW62" s="409">
        <v>0</v>
      </c>
      <c r="AX62" s="409">
        <v>0</v>
      </c>
      <c r="AY62" s="409">
        <v>0</v>
      </c>
      <c r="AZ62" s="409">
        <v>0</v>
      </c>
      <c r="BA62" s="409"/>
      <c r="BB62" s="409">
        <v>0</v>
      </c>
      <c r="BC62" s="409">
        <v>0</v>
      </c>
      <c r="BD62" s="409">
        <v>0</v>
      </c>
      <c r="BE62" s="409">
        <v>0</v>
      </c>
      <c r="BF62" s="409">
        <v>0</v>
      </c>
      <c r="BG62" s="409">
        <v>0.7356852476227681</v>
      </c>
      <c r="BH62" s="409">
        <v>0</v>
      </c>
      <c r="BI62" s="409">
        <v>1.08</v>
      </c>
      <c r="BJ62" s="409">
        <v>5.0199999999999996</v>
      </c>
      <c r="BK62" s="409">
        <v>67.44</v>
      </c>
      <c r="BL62" s="409">
        <v>3</v>
      </c>
      <c r="BM62" s="409"/>
      <c r="BN62" s="409"/>
      <c r="BO62" s="409"/>
      <c r="BP62" s="409"/>
      <c r="BQ62" s="409"/>
      <c r="BR62" s="409"/>
      <c r="BS62" s="409"/>
      <c r="BT62" s="409"/>
      <c r="BU62" s="409"/>
      <c r="BV62" s="409">
        <v>55.483537185572168</v>
      </c>
      <c r="BW62" s="409"/>
      <c r="BX62" s="409"/>
      <c r="BY62" s="409"/>
      <c r="BZ62" s="409"/>
      <c r="CA62" s="409"/>
      <c r="CB62" s="409"/>
      <c r="CC62" s="409"/>
      <c r="CD62" s="409"/>
      <c r="CE62" s="409"/>
      <c r="CF62" s="409"/>
      <c r="CG62" s="409"/>
      <c r="CH62" s="409"/>
      <c r="CI62" s="409">
        <v>122.62800000000001</v>
      </c>
      <c r="CJ62" s="409">
        <v>-3.8740000000000094</v>
      </c>
      <c r="CK62" s="409"/>
      <c r="CL62" s="409"/>
      <c r="CM62" s="409"/>
      <c r="CN62" s="409"/>
      <c r="CO62" s="409">
        <v>-6.4440000000000062</v>
      </c>
      <c r="CP62" s="409">
        <v>2.6</v>
      </c>
      <c r="CQ62" s="409">
        <v>31</v>
      </c>
      <c r="CR62" s="409">
        <v>2.4523760466735496</v>
      </c>
      <c r="CS62" s="409">
        <v>0</v>
      </c>
      <c r="CT62" s="409">
        <v>0</v>
      </c>
      <c r="CU62" s="409">
        <v>0</v>
      </c>
      <c r="CV62" s="409">
        <v>0</v>
      </c>
      <c r="CW62" s="409">
        <v>0</v>
      </c>
      <c r="CX62" s="409">
        <v>0</v>
      </c>
      <c r="CY62" s="409">
        <v>0</v>
      </c>
      <c r="CZ62" s="409">
        <v>0.59019605395086217</v>
      </c>
      <c r="DA62" s="409">
        <v>0</v>
      </c>
      <c r="DB62" s="409">
        <v>0</v>
      </c>
      <c r="DC62" s="409">
        <v>2.9492514801180008</v>
      </c>
      <c r="DD62" s="409">
        <v>0</v>
      </c>
      <c r="DE62" s="409">
        <v>0</v>
      </c>
      <c r="DF62" s="409">
        <v>0</v>
      </c>
      <c r="DG62" s="409">
        <v>3.9631158641833975E-2</v>
      </c>
      <c r="DH62" s="409">
        <v>0</v>
      </c>
      <c r="DI62" s="409">
        <v>-0.76966840353414057</v>
      </c>
      <c r="DJ62" s="409"/>
      <c r="DK62" s="409">
        <v>0</v>
      </c>
      <c r="DL62" s="409">
        <v>0</v>
      </c>
      <c r="DM62" s="409">
        <v>0</v>
      </c>
      <c r="DN62" s="409">
        <v>0</v>
      </c>
      <c r="DO62" s="409">
        <v>-9.7906407925635985E-2</v>
      </c>
      <c r="DP62" s="409">
        <v>-1.4054822281390184E-2</v>
      </c>
      <c r="DQ62" s="409">
        <v>0</v>
      </c>
      <c r="DR62" s="409">
        <v>-0.24507301229598702</v>
      </c>
      <c r="DS62" s="409"/>
      <c r="DT62" s="409"/>
      <c r="DU62" s="409"/>
      <c r="DV62" s="409">
        <v>39.615838408729601</v>
      </c>
      <c r="DW62" s="409">
        <v>0</v>
      </c>
      <c r="DX62" s="409">
        <v>0</v>
      </c>
      <c r="DY62" s="409">
        <v>-6.4440000000000026</v>
      </c>
      <c r="DZ62" s="409">
        <v>2.6000000000000014</v>
      </c>
      <c r="EA62" s="409">
        <v>0</v>
      </c>
      <c r="EB62" s="409">
        <v>0</v>
      </c>
      <c r="EC62" s="409">
        <v>-6.2970556383244016</v>
      </c>
      <c r="ED62" s="409">
        <v>0</v>
      </c>
      <c r="EE62" s="409">
        <v>0</v>
      </c>
      <c r="EF62" s="409">
        <v>0</v>
      </c>
      <c r="EG62" s="409">
        <v>0</v>
      </c>
      <c r="EH62" s="409">
        <v>0</v>
      </c>
      <c r="EI62" s="409">
        <v>0</v>
      </c>
      <c r="EJ62" s="409">
        <v>0</v>
      </c>
      <c r="EK62" s="409">
        <v>0</v>
      </c>
      <c r="EL62" s="409">
        <v>0</v>
      </c>
      <c r="EM62" s="409">
        <v>0</v>
      </c>
      <c r="EN62" s="409">
        <v>0</v>
      </c>
      <c r="EO62" s="409">
        <v>0</v>
      </c>
      <c r="EP62" s="409">
        <v>0</v>
      </c>
      <c r="EQ62" s="409">
        <v>0</v>
      </c>
      <c r="ER62" s="409">
        <v>0</v>
      </c>
      <c r="ES62" s="409">
        <v>0</v>
      </c>
      <c r="ET62" s="409">
        <v>0</v>
      </c>
      <c r="EU62" s="409">
        <v>0</v>
      </c>
      <c r="EV62" s="409">
        <v>210</v>
      </c>
      <c r="EW62" s="409">
        <v>0</v>
      </c>
      <c r="EX62" s="409">
        <v>0</v>
      </c>
      <c r="EY62" s="409">
        <v>0</v>
      </c>
      <c r="EZ62" s="409"/>
      <c r="FA62" s="409">
        <v>0</v>
      </c>
      <c r="FB62" s="409"/>
      <c r="FC62" s="409"/>
      <c r="FD62" s="409"/>
      <c r="FE62" s="409"/>
      <c r="FF62" s="409">
        <v>0</v>
      </c>
      <c r="FG62" s="409">
        <v>0</v>
      </c>
      <c r="FH62" s="409">
        <v>0</v>
      </c>
      <c r="FI62" s="409">
        <v>0</v>
      </c>
    </row>
    <row r="63" spans="1:165" customFormat="1">
      <c r="A63" s="409">
        <v>61</v>
      </c>
      <c r="B63" s="409" t="s">
        <v>1035</v>
      </c>
      <c r="C63" s="409" t="s">
        <v>2241</v>
      </c>
      <c r="D63" s="409" t="s">
        <v>1989</v>
      </c>
      <c r="E63" s="409" t="s">
        <v>968</v>
      </c>
      <c r="F63" s="409" t="s">
        <v>2243</v>
      </c>
      <c r="G63" s="409" t="s">
        <v>1323</v>
      </c>
      <c r="H63" s="409" t="s">
        <v>1323</v>
      </c>
      <c r="I63" s="409" t="s">
        <v>1323</v>
      </c>
      <c r="J63" s="409" t="s">
        <v>2242</v>
      </c>
      <c r="K63" s="838">
        <v>44378</v>
      </c>
      <c r="L63" s="409">
        <v>0</v>
      </c>
      <c r="M63" s="409">
        <v>0</v>
      </c>
      <c r="N63" s="409">
        <v>0.3</v>
      </c>
      <c r="O63" s="409">
        <v>0.3</v>
      </c>
      <c r="P63" s="409">
        <v>0.3</v>
      </c>
      <c r="Q63" s="409">
        <v>0.3</v>
      </c>
      <c r="R63" s="409"/>
      <c r="S63" s="409">
        <v>288.91000000000003</v>
      </c>
      <c r="T63" s="409">
        <v>273.74</v>
      </c>
      <c r="U63" s="409"/>
      <c r="V63" s="409">
        <v>168.79500000000002</v>
      </c>
      <c r="W63" s="409">
        <v>168.79500000000002</v>
      </c>
      <c r="X63" s="409">
        <v>164.298</v>
      </c>
      <c r="Y63" s="409">
        <v>0</v>
      </c>
      <c r="Z63" s="409">
        <v>0</v>
      </c>
      <c r="AA63" s="409">
        <v>0</v>
      </c>
      <c r="AB63" s="409">
        <v>0</v>
      </c>
      <c r="AC63" s="409">
        <v>0</v>
      </c>
      <c r="AD63" s="409">
        <v>25.826555309577866</v>
      </c>
      <c r="AE63" s="409">
        <v>59.423757613094395</v>
      </c>
      <c r="AF63" s="409">
        <v>82.121777906924095</v>
      </c>
      <c r="AG63" s="409">
        <v>0</v>
      </c>
      <c r="AH63" s="409">
        <v>0</v>
      </c>
      <c r="AI63" s="409">
        <v>0</v>
      </c>
      <c r="AJ63" s="409">
        <v>0</v>
      </c>
      <c r="AK63" s="409">
        <v>0</v>
      </c>
      <c r="AL63" s="409">
        <v>0</v>
      </c>
      <c r="AM63" s="409"/>
      <c r="AN63" s="409">
        <v>0.31952741134821</v>
      </c>
      <c r="AO63" s="409">
        <v>0</v>
      </c>
      <c r="AP63" s="409">
        <v>0</v>
      </c>
      <c r="AQ63" s="409">
        <v>0</v>
      </c>
      <c r="AR63" s="409">
        <v>0</v>
      </c>
      <c r="AS63" s="409">
        <v>0</v>
      </c>
      <c r="AT63" s="409">
        <v>0</v>
      </c>
      <c r="AU63" s="409">
        <v>0</v>
      </c>
      <c r="AV63" s="409">
        <v>0</v>
      </c>
      <c r="AW63" s="409">
        <v>0</v>
      </c>
      <c r="AX63" s="409">
        <v>0</v>
      </c>
      <c r="AY63" s="409">
        <v>0</v>
      </c>
      <c r="AZ63" s="409">
        <v>0</v>
      </c>
      <c r="BA63" s="409"/>
      <c r="BB63" s="409">
        <v>0</v>
      </c>
      <c r="BC63" s="409">
        <v>0</v>
      </c>
      <c r="BD63" s="409">
        <v>0</v>
      </c>
      <c r="BE63" s="409">
        <v>0</v>
      </c>
      <c r="BF63" s="409">
        <v>0</v>
      </c>
      <c r="BG63" s="409">
        <v>1.1035278714341521</v>
      </c>
      <c r="BH63" s="409">
        <v>0</v>
      </c>
      <c r="BI63" s="409">
        <v>0.42</v>
      </c>
      <c r="BJ63" s="409">
        <v>2.0499999999999998</v>
      </c>
      <c r="BK63" s="409">
        <v>8.8800000000000008</v>
      </c>
      <c r="BL63" s="409">
        <v>1</v>
      </c>
      <c r="BM63" s="409"/>
      <c r="BN63" s="409"/>
      <c r="BO63" s="409"/>
      <c r="BP63" s="409"/>
      <c r="BQ63" s="409"/>
      <c r="BR63" s="409"/>
      <c r="BS63" s="409"/>
      <c r="BT63" s="409">
        <v>106.794</v>
      </c>
      <c r="BU63" s="409"/>
      <c r="BV63" s="409">
        <v>83.225305778358248</v>
      </c>
      <c r="BW63" s="409"/>
      <c r="BX63" s="409"/>
      <c r="BY63" s="409"/>
      <c r="BZ63" s="409"/>
      <c r="CA63" s="409"/>
      <c r="CB63" s="409"/>
      <c r="CC63" s="409"/>
      <c r="CD63" s="409"/>
      <c r="CE63" s="409"/>
      <c r="CF63" s="409"/>
      <c r="CG63" s="409"/>
      <c r="CH63" s="409"/>
      <c r="CI63" s="409">
        <v>57.503999999999991</v>
      </c>
      <c r="CJ63" s="409">
        <v>-1.6050000000000111</v>
      </c>
      <c r="CK63" s="409"/>
      <c r="CL63" s="409"/>
      <c r="CM63" s="409"/>
      <c r="CN63" s="409"/>
      <c r="CO63" s="409">
        <v>-8.397000000000002</v>
      </c>
      <c r="CP63" s="409">
        <v>3.9</v>
      </c>
      <c r="CQ63" s="409">
        <v>31</v>
      </c>
      <c r="CR63" s="409">
        <v>4.9497422794861308</v>
      </c>
      <c r="CS63" s="409">
        <v>0</v>
      </c>
      <c r="CT63" s="409">
        <v>0</v>
      </c>
      <c r="CU63" s="409">
        <v>0</v>
      </c>
      <c r="CV63" s="409">
        <v>0</v>
      </c>
      <c r="CW63" s="409">
        <v>0</v>
      </c>
      <c r="CX63" s="409">
        <v>0</v>
      </c>
      <c r="CY63" s="409">
        <v>0</v>
      </c>
      <c r="CZ63" s="409">
        <v>0.88529408092629325</v>
      </c>
      <c r="DA63" s="409">
        <v>0</v>
      </c>
      <c r="DB63" s="409">
        <v>0</v>
      </c>
      <c r="DC63" s="409">
        <v>4.4238772201770047</v>
      </c>
      <c r="DD63" s="409">
        <v>0</v>
      </c>
      <c r="DE63" s="409">
        <v>0</v>
      </c>
      <c r="DF63" s="409">
        <v>0</v>
      </c>
      <c r="DG63" s="409">
        <v>5.9446737962750795E-2</v>
      </c>
      <c r="DH63" s="409">
        <v>0</v>
      </c>
      <c r="DI63" s="409">
        <v>0</v>
      </c>
      <c r="DJ63" s="409"/>
      <c r="DK63" s="409">
        <v>0</v>
      </c>
      <c r="DL63" s="409">
        <v>0</v>
      </c>
      <c r="DM63" s="409">
        <v>0</v>
      </c>
      <c r="DN63" s="409">
        <v>0</v>
      </c>
      <c r="DO63" s="409">
        <v>0</v>
      </c>
      <c r="DP63" s="409">
        <v>-2.1082233422085317E-2</v>
      </c>
      <c r="DQ63" s="409">
        <v>0</v>
      </c>
      <c r="DR63" s="409">
        <v>-0.39779352615783092</v>
      </c>
      <c r="DS63" s="409"/>
      <c r="DT63" s="409"/>
      <c r="DU63" s="409"/>
      <c r="DV63" s="409">
        <v>59.423757613094395</v>
      </c>
      <c r="DW63" s="409">
        <v>0</v>
      </c>
      <c r="DX63" s="409">
        <v>0</v>
      </c>
      <c r="DY63" s="409">
        <v>-8.3970000000000056</v>
      </c>
      <c r="DZ63" s="409">
        <v>3.9000000000000057</v>
      </c>
      <c r="EA63" s="409">
        <v>0</v>
      </c>
      <c r="EB63" s="409">
        <v>0</v>
      </c>
      <c r="EC63" s="409">
        <v>-9.4455834574865989</v>
      </c>
      <c r="ED63" s="409">
        <v>0</v>
      </c>
      <c r="EE63" s="409">
        <v>0</v>
      </c>
      <c r="EF63" s="409">
        <v>0</v>
      </c>
      <c r="EG63" s="409">
        <v>0</v>
      </c>
      <c r="EH63" s="409">
        <v>0</v>
      </c>
      <c r="EI63" s="409">
        <v>0</v>
      </c>
      <c r="EJ63" s="409">
        <v>0</v>
      </c>
      <c r="EK63" s="409">
        <v>0</v>
      </c>
      <c r="EL63" s="409">
        <v>0</v>
      </c>
      <c r="EM63" s="409">
        <v>0</v>
      </c>
      <c r="EN63" s="409">
        <v>0</v>
      </c>
      <c r="EO63" s="409">
        <v>0</v>
      </c>
      <c r="EP63" s="409">
        <v>0</v>
      </c>
      <c r="EQ63" s="409">
        <v>0</v>
      </c>
      <c r="ER63" s="409">
        <v>0</v>
      </c>
      <c r="ES63" s="409">
        <v>0</v>
      </c>
      <c r="ET63" s="409">
        <v>0</v>
      </c>
      <c r="EU63" s="409">
        <v>0</v>
      </c>
      <c r="EV63" s="409">
        <v>210</v>
      </c>
      <c r="EW63" s="409">
        <v>0</v>
      </c>
      <c r="EX63" s="409">
        <v>0</v>
      </c>
      <c r="EY63" s="409">
        <v>0</v>
      </c>
      <c r="EZ63" s="409"/>
      <c r="FA63" s="409">
        <v>0</v>
      </c>
      <c r="FB63" s="409"/>
      <c r="FC63" s="409"/>
      <c r="FD63" s="409"/>
      <c r="FE63" s="409"/>
      <c r="FF63" s="409">
        <v>0</v>
      </c>
      <c r="FG63" s="409">
        <v>0</v>
      </c>
      <c r="FH63" s="409">
        <v>0</v>
      </c>
      <c r="FI63" s="409">
        <v>0</v>
      </c>
    </row>
    <row r="64" spans="1:165" customFormat="1">
      <c r="A64" s="409">
        <v>62</v>
      </c>
      <c r="B64" s="409" t="s">
        <v>1035</v>
      </c>
      <c r="C64" s="409" t="s">
        <v>2241</v>
      </c>
      <c r="D64" s="409" t="s">
        <v>1989</v>
      </c>
      <c r="E64" s="409" t="s">
        <v>968</v>
      </c>
      <c r="F64" s="409" t="s">
        <v>2244</v>
      </c>
      <c r="G64" s="409" t="s">
        <v>1323</v>
      </c>
      <c r="H64" s="409" t="s">
        <v>1323</v>
      </c>
      <c r="I64" s="409" t="s">
        <v>1323</v>
      </c>
      <c r="J64" s="409" t="s">
        <v>2242</v>
      </c>
      <c r="K64" s="838">
        <v>44378</v>
      </c>
      <c r="L64" s="409">
        <v>0</v>
      </c>
      <c r="M64" s="409">
        <v>0</v>
      </c>
      <c r="N64" s="409">
        <v>0.56399999999999995</v>
      </c>
      <c r="O64" s="409">
        <v>0.56399999999999995</v>
      </c>
      <c r="P64" s="409">
        <v>0.56399999999999995</v>
      </c>
      <c r="Q64" s="409">
        <v>0.56399999999999995</v>
      </c>
      <c r="R64" s="409"/>
      <c r="S64" s="409">
        <v>288.91000000000003</v>
      </c>
      <c r="T64" s="409">
        <v>273.74</v>
      </c>
      <c r="U64" s="409"/>
      <c r="V64" s="409">
        <v>317.33460000000002</v>
      </c>
      <c r="W64" s="409">
        <v>317.33460000000002</v>
      </c>
      <c r="X64" s="409">
        <v>308.88023999999996</v>
      </c>
      <c r="Y64" s="409">
        <v>0</v>
      </c>
      <c r="Z64" s="409">
        <v>0</v>
      </c>
      <c r="AA64" s="409">
        <v>0</v>
      </c>
      <c r="AB64" s="409">
        <v>0</v>
      </c>
      <c r="AC64" s="409">
        <v>0</v>
      </c>
      <c r="AD64" s="409">
        <v>48.553923982006388</v>
      </c>
      <c r="AE64" s="409">
        <v>111.71666431261745</v>
      </c>
      <c r="AF64" s="409">
        <v>154.38894246501727</v>
      </c>
      <c r="AG64" s="409">
        <v>0</v>
      </c>
      <c r="AH64" s="409">
        <v>0</v>
      </c>
      <c r="AI64" s="409">
        <v>0</v>
      </c>
      <c r="AJ64" s="409">
        <v>0</v>
      </c>
      <c r="AK64" s="409">
        <v>0</v>
      </c>
      <c r="AL64" s="409">
        <v>0</v>
      </c>
      <c r="AM64" s="409"/>
      <c r="AN64" s="409">
        <v>0.60071153333463467</v>
      </c>
      <c r="AO64" s="409">
        <v>0</v>
      </c>
      <c r="AP64" s="409">
        <v>0</v>
      </c>
      <c r="AQ64" s="409">
        <v>0</v>
      </c>
      <c r="AR64" s="409">
        <v>0</v>
      </c>
      <c r="AS64" s="409">
        <v>0</v>
      </c>
      <c r="AT64" s="409">
        <v>0</v>
      </c>
      <c r="AU64" s="409">
        <v>0</v>
      </c>
      <c r="AV64" s="409">
        <v>0</v>
      </c>
      <c r="AW64" s="409">
        <v>0</v>
      </c>
      <c r="AX64" s="409">
        <v>0</v>
      </c>
      <c r="AY64" s="409">
        <v>0</v>
      </c>
      <c r="AZ64" s="409">
        <v>0</v>
      </c>
      <c r="BA64" s="409"/>
      <c r="BB64" s="409">
        <v>0</v>
      </c>
      <c r="BC64" s="409">
        <v>0</v>
      </c>
      <c r="BD64" s="409">
        <v>0</v>
      </c>
      <c r="BE64" s="409">
        <v>0</v>
      </c>
      <c r="BF64" s="409">
        <v>0</v>
      </c>
      <c r="BG64" s="409">
        <v>2.0746323982962056</v>
      </c>
      <c r="BH64" s="409">
        <v>0</v>
      </c>
      <c r="BI64" s="409">
        <v>1.52</v>
      </c>
      <c r="BJ64" s="409">
        <v>7.05</v>
      </c>
      <c r="BK64" s="409">
        <v>36.049999999999997</v>
      </c>
      <c r="BL64" s="409">
        <v>2</v>
      </c>
      <c r="BM64" s="409"/>
      <c r="BN64" s="409"/>
      <c r="BO64" s="409"/>
      <c r="BP64" s="409"/>
      <c r="BQ64" s="409"/>
      <c r="BR64" s="409"/>
      <c r="BS64" s="409"/>
      <c r="BT64" s="409">
        <v>123.54983999999999</v>
      </c>
      <c r="BU64" s="409"/>
      <c r="BV64" s="409">
        <v>156.46357486331348</v>
      </c>
      <c r="BW64" s="409"/>
      <c r="BX64" s="409"/>
      <c r="BY64" s="409"/>
      <c r="BZ64" s="409"/>
      <c r="CA64" s="409"/>
      <c r="CB64" s="409"/>
      <c r="CC64" s="409"/>
      <c r="CD64" s="409"/>
      <c r="CE64" s="409"/>
      <c r="CF64" s="409"/>
      <c r="CG64" s="409"/>
      <c r="CH64" s="409"/>
      <c r="CI64" s="409">
        <v>184.01600000000002</v>
      </c>
      <c r="CJ64" s="409">
        <v>-6.4147599999999727</v>
      </c>
      <c r="CK64" s="409"/>
      <c r="CL64" s="409"/>
      <c r="CM64" s="409"/>
      <c r="CN64" s="409"/>
      <c r="CO64" s="409">
        <v>-15.786360000000004</v>
      </c>
      <c r="CP64" s="409">
        <v>7.331999999999999</v>
      </c>
      <c r="CQ64" s="409">
        <v>31</v>
      </c>
      <c r="CR64" s="409">
        <v>9.305515485433915</v>
      </c>
      <c r="CS64" s="409">
        <v>0</v>
      </c>
      <c r="CT64" s="409">
        <v>0</v>
      </c>
      <c r="CU64" s="409">
        <v>0</v>
      </c>
      <c r="CV64" s="409">
        <v>0</v>
      </c>
      <c r="CW64" s="409">
        <v>0</v>
      </c>
      <c r="CX64" s="409">
        <v>0</v>
      </c>
      <c r="CY64" s="409">
        <v>0</v>
      </c>
      <c r="CZ64" s="409">
        <v>1.6643528721414285</v>
      </c>
      <c r="DA64" s="409">
        <v>0</v>
      </c>
      <c r="DB64" s="409">
        <v>0</v>
      </c>
      <c r="DC64" s="409">
        <v>8.3168891739327933</v>
      </c>
      <c r="DD64" s="409">
        <v>0</v>
      </c>
      <c r="DE64" s="409">
        <v>0</v>
      </c>
      <c r="DF64" s="409">
        <v>0</v>
      </c>
      <c r="DG64" s="409">
        <v>0.11175986736997201</v>
      </c>
      <c r="DH64" s="409">
        <v>0</v>
      </c>
      <c r="DI64" s="409">
        <v>0</v>
      </c>
      <c r="DJ64" s="409"/>
      <c r="DK64" s="409">
        <v>0</v>
      </c>
      <c r="DL64" s="409">
        <v>0</v>
      </c>
      <c r="DM64" s="409">
        <v>0</v>
      </c>
      <c r="DN64" s="409">
        <v>0</v>
      </c>
      <c r="DO64" s="409">
        <v>0</v>
      </c>
      <c r="DP64" s="409">
        <v>-3.9634598833520274E-2</v>
      </c>
      <c r="DQ64" s="409">
        <v>0</v>
      </c>
      <c r="DR64" s="409">
        <v>-0.74785182917672199</v>
      </c>
      <c r="DS64" s="409"/>
      <c r="DT64" s="409"/>
      <c r="DU64" s="409"/>
      <c r="DV64" s="409">
        <v>111.71666431261745</v>
      </c>
      <c r="DW64" s="409">
        <v>0</v>
      </c>
      <c r="DX64" s="409">
        <v>0</v>
      </c>
      <c r="DY64" s="409">
        <v>-15.78636000000003</v>
      </c>
      <c r="DZ64" s="409">
        <v>7.3319999999999936</v>
      </c>
      <c r="EA64" s="409">
        <v>0</v>
      </c>
      <c r="EB64" s="409">
        <v>0</v>
      </c>
      <c r="EC64" s="409">
        <v>-17.757696900074805</v>
      </c>
      <c r="ED64" s="409">
        <v>0</v>
      </c>
      <c r="EE64" s="409">
        <v>0</v>
      </c>
      <c r="EF64" s="409">
        <v>0</v>
      </c>
      <c r="EG64" s="409">
        <v>0</v>
      </c>
      <c r="EH64" s="409">
        <v>0</v>
      </c>
      <c r="EI64" s="409">
        <v>0</v>
      </c>
      <c r="EJ64" s="409">
        <v>0</v>
      </c>
      <c r="EK64" s="409">
        <v>0</v>
      </c>
      <c r="EL64" s="409">
        <v>0</v>
      </c>
      <c r="EM64" s="409">
        <v>0</v>
      </c>
      <c r="EN64" s="409">
        <v>0</v>
      </c>
      <c r="EO64" s="409">
        <v>0</v>
      </c>
      <c r="EP64" s="409">
        <v>0</v>
      </c>
      <c r="EQ64" s="409">
        <v>0</v>
      </c>
      <c r="ER64" s="409">
        <v>0</v>
      </c>
      <c r="ES64" s="409">
        <v>0</v>
      </c>
      <c r="ET64" s="409">
        <v>0</v>
      </c>
      <c r="EU64" s="409">
        <v>0</v>
      </c>
      <c r="EV64" s="409">
        <v>210</v>
      </c>
      <c r="EW64" s="409">
        <v>0</v>
      </c>
      <c r="EX64" s="409">
        <v>0</v>
      </c>
      <c r="EY64" s="409">
        <v>0</v>
      </c>
      <c r="EZ64" s="409"/>
      <c r="FA64" s="409">
        <v>0</v>
      </c>
      <c r="FB64" s="409"/>
      <c r="FC64" s="409"/>
      <c r="FD64" s="409"/>
      <c r="FE64" s="409"/>
      <c r="FF64" s="409">
        <v>0</v>
      </c>
      <c r="FG64" s="409">
        <v>0</v>
      </c>
      <c r="FH64" s="409">
        <v>0</v>
      </c>
      <c r="FI64" s="409">
        <v>0</v>
      </c>
    </row>
    <row r="65" spans="1:165" customFormat="1">
      <c r="A65" s="409">
        <v>63</v>
      </c>
      <c r="B65" s="409" t="s">
        <v>1035</v>
      </c>
      <c r="C65" s="409" t="s">
        <v>2241</v>
      </c>
      <c r="D65" s="409" t="s">
        <v>1989</v>
      </c>
      <c r="E65" s="409" t="s">
        <v>968</v>
      </c>
      <c r="F65" s="409" t="s">
        <v>2245</v>
      </c>
      <c r="G65" s="409" t="s">
        <v>1323</v>
      </c>
      <c r="H65" s="409" t="s">
        <v>1323</v>
      </c>
      <c r="I65" s="409" t="s">
        <v>1323</v>
      </c>
      <c r="J65" s="409" t="s">
        <v>2242</v>
      </c>
      <c r="K65" s="838">
        <v>44378</v>
      </c>
      <c r="L65" s="409">
        <v>0</v>
      </c>
      <c r="M65" s="409">
        <v>0</v>
      </c>
      <c r="N65" s="409">
        <v>0.45300000000000001</v>
      </c>
      <c r="O65" s="409">
        <v>0.45300000000000001</v>
      </c>
      <c r="P65" s="409">
        <v>0.45300000000000001</v>
      </c>
      <c r="Q65" s="409">
        <v>0.45300000000000001</v>
      </c>
      <c r="R65" s="409"/>
      <c r="S65" s="409">
        <v>288.91000000000003</v>
      </c>
      <c r="T65" s="409">
        <v>273.74</v>
      </c>
      <c r="U65" s="409"/>
      <c r="V65" s="409">
        <v>254.88045000000002</v>
      </c>
      <c r="W65" s="409">
        <v>254.88045000000002</v>
      </c>
      <c r="X65" s="409">
        <v>248.08998000000003</v>
      </c>
      <c r="Y65" s="409">
        <v>0</v>
      </c>
      <c r="Z65" s="409">
        <v>0</v>
      </c>
      <c r="AA65" s="409">
        <v>0</v>
      </c>
      <c r="AB65" s="409">
        <v>0</v>
      </c>
      <c r="AC65" s="409">
        <v>0</v>
      </c>
      <c r="AD65" s="409">
        <v>38.99809851746258</v>
      </c>
      <c r="AE65" s="409">
        <v>89.72987399577255</v>
      </c>
      <c r="AF65" s="409">
        <v>124.00388463945538</v>
      </c>
      <c r="AG65" s="409">
        <v>0</v>
      </c>
      <c r="AH65" s="409">
        <v>0</v>
      </c>
      <c r="AI65" s="409">
        <v>0</v>
      </c>
      <c r="AJ65" s="409">
        <v>0</v>
      </c>
      <c r="AK65" s="409">
        <v>0</v>
      </c>
      <c r="AL65" s="409">
        <v>0</v>
      </c>
      <c r="AM65" s="409"/>
      <c r="AN65" s="409">
        <v>0.48248639113579711</v>
      </c>
      <c r="AO65" s="409">
        <v>0</v>
      </c>
      <c r="AP65" s="409">
        <v>0</v>
      </c>
      <c r="AQ65" s="409">
        <v>0</v>
      </c>
      <c r="AR65" s="409">
        <v>0</v>
      </c>
      <c r="AS65" s="409">
        <v>0</v>
      </c>
      <c r="AT65" s="409">
        <v>0</v>
      </c>
      <c r="AU65" s="409">
        <v>0</v>
      </c>
      <c r="AV65" s="409">
        <v>0</v>
      </c>
      <c r="AW65" s="409">
        <v>0</v>
      </c>
      <c r="AX65" s="409">
        <v>0</v>
      </c>
      <c r="AY65" s="409">
        <v>0</v>
      </c>
      <c r="AZ65" s="409">
        <v>0</v>
      </c>
      <c r="BA65" s="409"/>
      <c r="BB65" s="409">
        <v>0</v>
      </c>
      <c r="BC65" s="409">
        <v>0</v>
      </c>
      <c r="BD65" s="409">
        <v>0</v>
      </c>
      <c r="BE65" s="409">
        <v>0</v>
      </c>
      <c r="BF65" s="409">
        <v>0</v>
      </c>
      <c r="BG65" s="409">
        <v>1.6663270858655697</v>
      </c>
      <c r="BH65" s="409">
        <v>0</v>
      </c>
      <c r="BI65" s="409">
        <v>2.25</v>
      </c>
      <c r="BJ65" s="409">
        <v>10.45</v>
      </c>
      <c r="BK65" s="409">
        <v>64.09</v>
      </c>
      <c r="BL65" s="409">
        <v>7</v>
      </c>
      <c r="BM65" s="409"/>
      <c r="BN65" s="409"/>
      <c r="BO65" s="409"/>
      <c r="BP65" s="409"/>
      <c r="BQ65" s="409"/>
      <c r="BR65" s="409"/>
      <c r="BS65" s="409"/>
      <c r="BT65" s="409">
        <v>24.806280000000008</v>
      </c>
      <c r="BU65" s="409"/>
      <c r="BV65" s="409">
        <v>125.67021172532095</v>
      </c>
      <c r="BW65" s="409"/>
      <c r="BX65" s="409"/>
      <c r="BY65" s="409"/>
      <c r="BZ65" s="409"/>
      <c r="CA65" s="409"/>
      <c r="CB65" s="409"/>
      <c r="CC65" s="409"/>
      <c r="CD65" s="409"/>
      <c r="CE65" s="409"/>
      <c r="CF65" s="409"/>
      <c r="CG65" s="409"/>
      <c r="CH65" s="409"/>
      <c r="CI65" s="409">
        <v>221.80500000000001</v>
      </c>
      <c r="CJ65" s="409">
        <v>-7.6196699999999851</v>
      </c>
      <c r="CK65" s="409"/>
      <c r="CL65" s="409"/>
      <c r="CM65" s="409"/>
      <c r="CN65" s="409"/>
      <c r="CO65" s="409">
        <v>-12.679470000000004</v>
      </c>
      <c r="CP65" s="409">
        <v>5.8890000000000002</v>
      </c>
      <c r="CQ65" s="409">
        <v>31</v>
      </c>
      <c r="CR65" s="409">
        <v>7.4741108420240323</v>
      </c>
      <c r="CS65" s="409">
        <v>0</v>
      </c>
      <c r="CT65" s="409">
        <v>0</v>
      </c>
      <c r="CU65" s="409">
        <v>0</v>
      </c>
      <c r="CV65" s="409">
        <v>0</v>
      </c>
      <c r="CW65" s="409">
        <v>0</v>
      </c>
      <c r="CX65" s="409">
        <v>0</v>
      </c>
      <c r="CY65" s="409">
        <v>0</v>
      </c>
      <c r="CZ65" s="409">
        <v>1.336794062198706</v>
      </c>
      <c r="DA65" s="409">
        <v>0</v>
      </c>
      <c r="DB65" s="409">
        <v>0</v>
      </c>
      <c r="DC65" s="409">
        <v>6.680054602467294</v>
      </c>
      <c r="DD65" s="409">
        <v>0</v>
      </c>
      <c r="DE65" s="409">
        <v>0</v>
      </c>
      <c r="DF65" s="409">
        <v>0</v>
      </c>
      <c r="DG65" s="409">
        <v>8.9764574323753843E-2</v>
      </c>
      <c r="DH65" s="409">
        <v>0</v>
      </c>
      <c r="DI65" s="409">
        <v>0</v>
      </c>
      <c r="DJ65" s="409"/>
      <c r="DK65" s="409">
        <v>0</v>
      </c>
      <c r="DL65" s="409">
        <v>0</v>
      </c>
      <c r="DM65" s="409">
        <v>0</v>
      </c>
      <c r="DN65" s="409">
        <v>0</v>
      </c>
      <c r="DO65" s="409">
        <v>0</v>
      </c>
      <c r="DP65" s="409">
        <v>-3.1834172467348765E-2</v>
      </c>
      <c r="DQ65" s="409">
        <v>0</v>
      </c>
      <c r="DR65" s="409">
        <v>-0.60066822449832458</v>
      </c>
      <c r="DS65" s="409"/>
      <c r="DT65" s="409"/>
      <c r="DU65" s="409"/>
      <c r="DV65" s="409">
        <v>89.72987399577255</v>
      </c>
      <c r="DW65" s="409">
        <v>0</v>
      </c>
      <c r="DX65" s="409">
        <v>0</v>
      </c>
      <c r="DY65" s="409">
        <v>-12.679470000000009</v>
      </c>
      <c r="DZ65" s="409">
        <v>5.88900000000001</v>
      </c>
      <c r="EA65" s="409">
        <v>0</v>
      </c>
      <c r="EB65" s="409">
        <v>0</v>
      </c>
      <c r="EC65" s="409">
        <v>-14.262831020804768</v>
      </c>
      <c r="ED65" s="409">
        <v>0</v>
      </c>
      <c r="EE65" s="409">
        <v>0</v>
      </c>
      <c r="EF65" s="409">
        <v>0</v>
      </c>
      <c r="EG65" s="409">
        <v>0</v>
      </c>
      <c r="EH65" s="409">
        <v>0</v>
      </c>
      <c r="EI65" s="409">
        <v>0</v>
      </c>
      <c r="EJ65" s="409">
        <v>0</v>
      </c>
      <c r="EK65" s="409">
        <v>0</v>
      </c>
      <c r="EL65" s="409">
        <v>0</v>
      </c>
      <c r="EM65" s="409">
        <v>0</v>
      </c>
      <c r="EN65" s="409">
        <v>0</v>
      </c>
      <c r="EO65" s="409">
        <v>0</v>
      </c>
      <c r="EP65" s="409">
        <v>0</v>
      </c>
      <c r="EQ65" s="409">
        <v>0</v>
      </c>
      <c r="ER65" s="409">
        <v>0</v>
      </c>
      <c r="ES65" s="409">
        <v>0</v>
      </c>
      <c r="ET65" s="409">
        <v>0</v>
      </c>
      <c r="EU65" s="409">
        <v>0</v>
      </c>
      <c r="EV65" s="409">
        <v>210</v>
      </c>
      <c r="EW65" s="409">
        <v>0</v>
      </c>
      <c r="EX65" s="409">
        <v>0</v>
      </c>
      <c r="EY65" s="409">
        <v>0</v>
      </c>
      <c r="EZ65" s="409"/>
      <c r="FA65" s="409">
        <v>0</v>
      </c>
      <c r="FB65" s="409"/>
      <c r="FC65" s="409"/>
      <c r="FD65" s="409"/>
      <c r="FE65" s="409"/>
      <c r="FF65" s="409">
        <v>0</v>
      </c>
      <c r="FG65" s="409">
        <v>0</v>
      </c>
      <c r="FH65" s="409">
        <v>0</v>
      </c>
      <c r="FI65" s="409">
        <v>0</v>
      </c>
    </row>
    <row r="66" spans="1:165" customFormat="1">
      <c r="A66" s="409">
        <v>64</v>
      </c>
      <c r="B66" s="409" t="s">
        <v>1035</v>
      </c>
      <c r="C66" s="409" t="s">
        <v>2241</v>
      </c>
      <c r="D66" s="409" t="s">
        <v>1992</v>
      </c>
      <c r="E66" s="409" t="s">
        <v>969</v>
      </c>
      <c r="F66" s="409" t="s">
        <v>1323</v>
      </c>
      <c r="G66" s="409" t="s">
        <v>1323</v>
      </c>
      <c r="H66" s="409" t="s">
        <v>1323</v>
      </c>
      <c r="I66" s="409" t="s">
        <v>1323</v>
      </c>
      <c r="J66" s="409" t="s">
        <v>2242</v>
      </c>
      <c r="K66" s="838">
        <v>44378</v>
      </c>
      <c r="L66" s="409">
        <v>0</v>
      </c>
      <c r="M66" s="409">
        <v>0</v>
      </c>
      <c r="N66" s="409">
        <v>23.222000000000001</v>
      </c>
      <c r="O66" s="409">
        <v>23.222000000000001</v>
      </c>
      <c r="P66" s="409">
        <v>23.222000000000001</v>
      </c>
      <c r="Q66" s="409">
        <v>23.222000000000001</v>
      </c>
      <c r="R66" s="409"/>
      <c r="S66" s="409">
        <v>358.62</v>
      </c>
      <c r="T66" s="409">
        <v>273.74</v>
      </c>
      <c r="U66" s="409"/>
      <c r="V66" s="409">
        <v>14684.663919999999</v>
      </c>
      <c r="W66" s="409">
        <v>14684.663919999999</v>
      </c>
      <c r="X66" s="409">
        <v>14238.337080000001</v>
      </c>
      <c r="Y66" s="409">
        <v>0</v>
      </c>
      <c r="Z66" s="409">
        <v>1402.0145998572589</v>
      </c>
      <c r="AA66" s="409">
        <v>0</v>
      </c>
      <c r="AB66" s="409">
        <v>0</v>
      </c>
      <c r="AC66" s="409">
        <v>0</v>
      </c>
      <c r="AD66" s="409">
        <v>1999.1475579967243</v>
      </c>
      <c r="AE66" s="409">
        <v>4599.794997637594</v>
      </c>
      <c r="AF66" s="409">
        <v>6356.7730885153042</v>
      </c>
      <c r="AG66" s="409">
        <v>0</v>
      </c>
      <c r="AH66" s="409">
        <v>0</v>
      </c>
      <c r="AI66" s="409">
        <v>0</v>
      </c>
      <c r="AJ66" s="409">
        <v>0</v>
      </c>
      <c r="AK66" s="409">
        <v>0</v>
      </c>
      <c r="AL66" s="409">
        <v>216.81333719504912</v>
      </c>
      <c r="AM66" s="409"/>
      <c r="AN66" s="409">
        <v>24.733551821093776</v>
      </c>
      <c r="AO66" s="409">
        <v>0</v>
      </c>
      <c r="AP66" s="409">
        <v>0</v>
      </c>
      <c r="AQ66" s="409">
        <v>0</v>
      </c>
      <c r="AR66" s="409">
        <v>0</v>
      </c>
      <c r="AS66" s="409">
        <v>0</v>
      </c>
      <c r="AT66" s="409">
        <v>0</v>
      </c>
      <c r="AU66" s="409">
        <v>0</v>
      </c>
      <c r="AV66" s="409">
        <v>0</v>
      </c>
      <c r="AW66" s="409">
        <v>0</v>
      </c>
      <c r="AX66" s="409">
        <v>0</v>
      </c>
      <c r="AY66" s="409">
        <v>0</v>
      </c>
      <c r="AZ66" s="409">
        <v>0</v>
      </c>
      <c r="BA66" s="409"/>
      <c r="BB66" s="409">
        <v>0</v>
      </c>
      <c r="BC66" s="409">
        <v>0</v>
      </c>
      <c r="BD66" s="409">
        <v>0</v>
      </c>
      <c r="BE66" s="409">
        <v>0</v>
      </c>
      <c r="BF66" s="409">
        <v>0</v>
      </c>
      <c r="BG66" s="409">
        <v>85.420414101479608</v>
      </c>
      <c r="BH66" s="409">
        <v>0</v>
      </c>
      <c r="BI66" s="409">
        <v>130.11000000000001</v>
      </c>
      <c r="BJ66" s="409">
        <v>600.66999999999996</v>
      </c>
      <c r="BK66" s="409">
        <v>3604.07</v>
      </c>
      <c r="BL66" s="409">
        <v>10</v>
      </c>
      <c r="BM66" s="409"/>
      <c r="BN66" s="409"/>
      <c r="BO66" s="409"/>
      <c r="BP66" s="409"/>
      <c r="BQ66" s="409"/>
      <c r="BR66" s="409"/>
      <c r="BS66" s="409"/>
      <c r="BT66" s="409"/>
      <c r="BU66" s="409"/>
      <c r="BV66" s="409">
        <v>6442.1935026167839</v>
      </c>
      <c r="BW66" s="409"/>
      <c r="BX66" s="409"/>
      <c r="BY66" s="409"/>
      <c r="BZ66" s="409"/>
      <c r="CA66" s="409"/>
      <c r="CB66" s="409"/>
      <c r="CC66" s="409"/>
      <c r="CD66" s="409"/>
      <c r="CE66" s="409"/>
      <c r="CF66" s="409"/>
      <c r="CG66" s="409"/>
      <c r="CH66" s="409"/>
      <c r="CI66" s="409">
        <v>14237.110799999999</v>
      </c>
      <c r="CJ66" s="409">
        <v>-447.58312000000114</v>
      </c>
      <c r="CK66" s="409"/>
      <c r="CL66" s="409"/>
      <c r="CM66" s="409"/>
      <c r="CN66" s="409"/>
      <c r="CO66" s="409">
        <v>-748.21284000000071</v>
      </c>
      <c r="CP66" s="409">
        <v>301.88600000000002</v>
      </c>
      <c r="CQ66" s="409">
        <v>31</v>
      </c>
      <c r="CR66" s="409">
        <v>284.74538277926513</v>
      </c>
      <c r="CS66" s="409">
        <v>0</v>
      </c>
      <c r="CT66" s="409">
        <v>0</v>
      </c>
      <c r="CU66" s="409">
        <v>0</v>
      </c>
      <c r="CV66" s="409">
        <v>0</v>
      </c>
      <c r="CW66" s="409">
        <v>0</v>
      </c>
      <c r="CX66" s="409">
        <v>0</v>
      </c>
      <c r="CY66" s="409">
        <v>0</v>
      </c>
      <c r="CZ66" s="409">
        <v>68.527663824234651</v>
      </c>
      <c r="DA66" s="409">
        <v>0</v>
      </c>
      <c r="DB66" s="409">
        <v>0</v>
      </c>
      <c r="DC66" s="409">
        <v>342.43758935650203</v>
      </c>
      <c r="DD66" s="409">
        <v>0</v>
      </c>
      <c r="DE66" s="409">
        <v>0</v>
      </c>
      <c r="DF66" s="409">
        <v>0</v>
      </c>
      <c r="DG66" s="409">
        <v>4.6015738299033302</v>
      </c>
      <c r="DH66" s="409">
        <v>0</v>
      </c>
      <c r="DI66" s="409">
        <v>-89.366198334349065</v>
      </c>
      <c r="DJ66" s="409"/>
      <c r="DK66" s="409">
        <v>0</v>
      </c>
      <c r="DL66" s="409">
        <v>0</v>
      </c>
      <c r="DM66" s="409">
        <v>0</v>
      </c>
      <c r="DN66" s="409">
        <v>0</v>
      </c>
      <c r="DO66" s="409">
        <v>-11.36791302424561</v>
      </c>
      <c r="DP66" s="409">
        <v>-1.6319054150922163</v>
      </c>
      <c r="DQ66" s="409">
        <v>0</v>
      </c>
      <c r="DR66" s="409">
        <v>-28.455427457687051</v>
      </c>
      <c r="DS66" s="409"/>
      <c r="DT66" s="409"/>
      <c r="DU66" s="409"/>
      <c r="DV66" s="409">
        <v>4599.794997637594</v>
      </c>
      <c r="DW66" s="409">
        <v>0</v>
      </c>
      <c r="DX66" s="409">
        <v>0</v>
      </c>
      <c r="DY66" s="409">
        <v>-748.21284000000014</v>
      </c>
      <c r="DZ66" s="409">
        <v>301.88600000000042</v>
      </c>
      <c r="EA66" s="409">
        <v>0</v>
      </c>
      <c r="EB66" s="409">
        <v>0</v>
      </c>
      <c r="EC66" s="409">
        <v>-731.1511301658461</v>
      </c>
      <c r="ED66" s="409">
        <v>0</v>
      </c>
      <c r="EE66" s="409">
        <v>0</v>
      </c>
      <c r="EF66" s="409">
        <v>0</v>
      </c>
      <c r="EG66" s="409">
        <v>0</v>
      </c>
      <c r="EH66" s="409">
        <v>0</v>
      </c>
      <c r="EI66" s="409">
        <v>0</v>
      </c>
      <c r="EJ66" s="409">
        <v>0</v>
      </c>
      <c r="EK66" s="409">
        <v>0</v>
      </c>
      <c r="EL66" s="409">
        <v>0</v>
      </c>
      <c r="EM66" s="409">
        <v>0</v>
      </c>
      <c r="EN66" s="409">
        <v>0</v>
      </c>
      <c r="EO66" s="409">
        <v>0</v>
      </c>
      <c r="EP66" s="409">
        <v>0</v>
      </c>
      <c r="EQ66" s="409">
        <v>0</v>
      </c>
      <c r="ER66" s="409">
        <v>0</v>
      </c>
      <c r="ES66" s="409">
        <v>0</v>
      </c>
      <c r="ET66" s="409">
        <v>0</v>
      </c>
      <c r="EU66" s="409">
        <v>0</v>
      </c>
      <c r="EV66" s="409">
        <v>210</v>
      </c>
      <c r="EW66" s="409">
        <v>0</v>
      </c>
      <c r="EX66" s="409">
        <v>0</v>
      </c>
      <c r="EY66" s="409">
        <v>0</v>
      </c>
      <c r="EZ66" s="409"/>
      <c r="FA66" s="409">
        <v>0</v>
      </c>
      <c r="FB66" s="409"/>
      <c r="FC66" s="409"/>
      <c r="FD66" s="409"/>
      <c r="FE66" s="409"/>
      <c r="FF66" s="409">
        <v>0</v>
      </c>
      <c r="FG66" s="409">
        <v>0</v>
      </c>
      <c r="FH66" s="409">
        <v>0</v>
      </c>
      <c r="FI66" s="409">
        <v>0</v>
      </c>
    </row>
    <row r="67" spans="1:165" customFormat="1">
      <c r="A67" s="409">
        <v>65</v>
      </c>
      <c r="B67" s="409" t="s">
        <v>2240</v>
      </c>
      <c r="C67" s="409" t="s">
        <v>2241</v>
      </c>
      <c r="D67" s="409" t="s">
        <v>1992</v>
      </c>
      <c r="E67" s="409" t="s">
        <v>969</v>
      </c>
      <c r="F67" s="409" t="s">
        <v>1323</v>
      </c>
      <c r="G67" s="409" t="s">
        <v>1323</v>
      </c>
      <c r="H67" s="409" t="s">
        <v>1323</v>
      </c>
      <c r="I67" s="409" t="s">
        <v>1323</v>
      </c>
      <c r="J67" s="409" t="s">
        <v>2242</v>
      </c>
      <c r="K67" s="838">
        <v>44378</v>
      </c>
      <c r="L67" s="409">
        <v>0</v>
      </c>
      <c r="M67" s="409">
        <v>0</v>
      </c>
      <c r="N67" s="409">
        <v>0.1</v>
      </c>
      <c r="O67" s="409">
        <v>0.1</v>
      </c>
      <c r="P67" s="409">
        <v>0.1</v>
      </c>
      <c r="Q67" s="409">
        <v>0.1</v>
      </c>
      <c r="R67" s="409"/>
      <c r="S67" s="409">
        <v>358.62</v>
      </c>
      <c r="T67" s="409">
        <v>273.74</v>
      </c>
      <c r="U67" s="409"/>
      <c r="V67" s="409">
        <v>63.236000000000004</v>
      </c>
      <c r="W67" s="409">
        <v>63.236000000000004</v>
      </c>
      <c r="X67" s="409">
        <v>61.314000000000007</v>
      </c>
      <c r="Y67" s="409">
        <v>0</v>
      </c>
      <c r="Z67" s="409">
        <v>6.03744121891852</v>
      </c>
      <c r="AA67" s="409">
        <v>0</v>
      </c>
      <c r="AB67" s="409">
        <v>0</v>
      </c>
      <c r="AC67" s="409">
        <v>0</v>
      </c>
      <c r="AD67" s="409">
        <v>8.6088517698592906</v>
      </c>
      <c r="AE67" s="409">
        <v>19.807919204364801</v>
      </c>
      <c r="AF67" s="409">
        <v>27.373925968974699</v>
      </c>
      <c r="AG67" s="409">
        <v>0</v>
      </c>
      <c r="AH67" s="409">
        <v>0</v>
      </c>
      <c r="AI67" s="409">
        <v>0</v>
      </c>
      <c r="AJ67" s="409">
        <v>0</v>
      </c>
      <c r="AK67" s="409">
        <v>0</v>
      </c>
      <c r="AL67" s="409">
        <v>0.93365488414025111</v>
      </c>
      <c r="AM67" s="409"/>
      <c r="AN67" s="409">
        <v>0.10650913711607</v>
      </c>
      <c r="AO67" s="409">
        <v>0</v>
      </c>
      <c r="AP67" s="409">
        <v>0</v>
      </c>
      <c r="AQ67" s="409">
        <v>0</v>
      </c>
      <c r="AR67" s="409">
        <v>0</v>
      </c>
      <c r="AS67" s="409">
        <v>0</v>
      </c>
      <c r="AT67" s="409">
        <v>0</v>
      </c>
      <c r="AU67" s="409">
        <v>0</v>
      </c>
      <c r="AV67" s="409">
        <v>0</v>
      </c>
      <c r="AW67" s="409">
        <v>0</v>
      </c>
      <c r="AX67" s="409">
        <v>0</v>
      </c>
      <c r="AY67" s="409">
        <v>0</v>
      </c>
      <c r="AZ67" s="409">
        <v>0</v>
      </c>
      <c r="BA67" s="409"/>
      <c r="BB67" s="409">
        <v>0</v>
      </c>
      <c r="BC67" s="409">
        <v>0</v>
      </c>
      <c r="BD67" s="409">
        <v>0</v>
      </c>
      <c r="BE67" s="409">
        <v>0</v>
      </c>
      <c r="BF67" s="409">
        <v>0</v>
      </c>
      <c r="BG67" s="409">
        <v>0.36784262381138405</v>
      </c>
      <c r="BH67" s="409">
        <v>0</v>
      </c>
      <c r="BI67" s="409">
        <v>0.56000000000000005</v>
      </c>
      <c r="BJ67" s="409">
        <v>2.58</v>
      </c>
      <c r="BK67" s="409">
        <v>225.44</v>
      </c>
      <c r="BL67" s="409">
        <v>1</v>
      </c>
      <c r="BM67" s="409"/>
      <c r="BN67" s="409"/>
      <c r="BO67" s="409"/>
      <c r="BP67" s="409"/>
      <c r="BQ67" s="409"/>
      <c r="BR67" s="409"/>
      <c r="BS67" s="409"/>
      <c r="BT67" s="409"/>
      <c r="BU67" s="409"/>
      <c r="BV67" s="409">
        <v>27.741768592786084</v>
      </c>
      <c r="BW67" s="409"/>
      <c r="BX67" s="409"/>
      <c r="BY67" s="409"/>
      <c r="BZ67" s="409"/>
      <c r="CA67" s="409"/>
      <c r="CB67" s="409"/>
      <c r="CC67" s="409"/>
      <c r="CD67" s="409"/>
      <c r="CE67" s="409"/>
      <c r="CF67" s="409"/>
      <c r="CG67" s="409"/>
      <c r="CH67" s="409"/>
      <c r="CI67" s="409">
        <v>61.314000000000007</v>
      </c>
      <c r="CJ67" s="409">
        <v>-1.9519999999999911</v>
      </c>
      <c r="CK67" s="409"/>
      <c r="CL67" s="409"/>
      <c r="CM67" s="409"/>
      <c r="CN67" s="409"/>
      <c r="CO67" s="409">
        <v>-3.2220000000000031</v>
      </c>
      <c r="CP67" s="409">
        <v>1.3</v>
      </c>
      <c r="CQ67" s="409">
        <v>31</v>
      </c>
      <c r="CR67" s="409">
        <v>1.2261880233367748</v>
      </c>
      <c r="CS67" s="409">
        <v>0</v>
      </c>
      <c r="CT67" s="409">
        <v>0</v>
      </c>
      <c r="CU67" s="409">
        <v>0</v>
      </c>
      <c r="CV67" s="409">
        <v>0</v>
      </c>
      <c r="CW67" s="409">
        <v>0</v>
      </c>
      <c r="CX67" s="409">
        <v>0</v>
      </c>
      <c r="CY67" s="409">
        <v>0</v>
      </c>
      <c r="CZ67" s="409">
        <v>0.29509802697543108</v>
      </c>
      <c r="DA67" s="409">
        <v>0</v>
      </c>
      <c r="DB67" s="409">
        <v>0</v>
      </c>
      <c r="DC67" s="409">
        <v>1.4746257400590004</v>
      </c>
      <c r="DD67" s="409">
        <v>0</v>
      </c>
      <c r="DE67" s="409">
        <v>0</v>
      </c>
      <c r="DF67" s="409">
        <v>0</v>
      </c>
      <c r="DG67" s="409">
        <v>1.9815579320916987E-2</v>
      </c>
      <c r="DH67" s="409">
        <v>0</v>
      </c>
      <c r="DI67" s="409">
        <v>-0.38483420176707028</v>
      </c>
      <c r="DJ67" s="409"/>
      <c r="DK67" s="409">
        <v>0</v>
      </c>
      <c r="DL67" s="409">
        <v>0</v>
      </c>
      <c r="DM67" s="409">
        <v>0</v>
      </c>
      <c r="DN67" s="409">
        <v>0</v>
      </c>
      <c r="DO67" s="409">
        <v>-4.8953203962817993E-2</v>
      </c>
      <c r="DP67" s="409">
        <v>-7.0274111406950918E-3</v>
      </c>
      <c r="DQ67" s="409">
        <v>0</v>
      </c>
      <c r="DR67" s="409">
        <v>-0.12253650614799351</v>
      </c>
      <c r="DS67" s="409"/>
      <c r="DT67" s="409"/>
      <c r="DU67" s="409"/>
      <c r="DV67" s="409">
        <v>19.807919204364801</v>
      </c>
      <c r="DW67" s="409">
        <v>0</v>
      </c>
      <c r="DX67" s="409">
        <v>0</v>
      </c>
      <c r="DY67" s="409">
        <v>-3.2220000000000013</v>
      </c>
      <c r="DZ67" s="409">
        <v>1.3000000000000007</v>
      </c>
      <c r="EA67" s="409">
        <v>0</v>
      </c>
      <c r="EB67" s="409">
        <v>0</v>
      </c>
      <c r="EC67" s="409">
        <v>-3.1485278191622008</v>
      </c>
      <c r="ED67" s="409">
        <v>0</v>
      </c>
      <c r="EE67" s="409">
        <v>0</v>
      </c>
      <c r="EF67" s="409">
        <v>0</v>
      </c>
      <c r="EG67" s="409">
        <v>0</v>
      </c>
      <c r="EH67" s="409">
        <v>0</v>
      </c>
      <c r="EI67" s="409">
        <v>0</v>
      </c>
      <c r="EJ67" s="409">
        <v>0</v>
      </c>
      <c r="EK67" s="409">
        <v>0</v>
      </c>
      <c r="EL67" s="409">
        <v>0</v>
      </c>
      <c r="EM67" s="409">
        <v>0</v>
      </c>
      <c r="EN67" s="409">
        <v>0</v>
      </c>
      <c r="EO67" s="409">
        <v>0</v>
      </c>
      <c r="EP67" s="409">
        <v>0</v>
      </c>
      <c r="EQ67" s="409">
        <v>0</v>
      </c>
      <c r="ER67" s="409">
        <v>0</v>
      </c>
      <c r="ES67" s="409">
        <v>0</v>
      </c>
      <c r="ET67" s="409">
        <v>0</v>
      </c>
      <c r="EU67" s="409">
        <v>0</v>
      </c>
      <c r="EV67" s="409">
        <v>210</v>
      </c>
      <c r="EW67" s="409">
        <v>0</v>
      </c>
      <c r="EX67" s="409">
        <v>0</v>
      </c>
      <c r="EY67" s="409">
        <v>0</v>
      </c>
      <c r="EZ67" s="409"/>
      <c r="FA67" s="409">
        <v>0</v>
      </c>
      <c r="FB67" s="409"/>
      <c r="FC67" s="409"/>
      <c r="FD67" s="409"/>
      <c r="FE67" s="409"/>
      <c r="FF67" s="409">
        <v>0</v>
      </c>
      <c r="FG67" s="409">
        <v>0</v>
      </c>
      <c r="FH67" s="409">
        <v>0</v>
      </c>
      <c r="FI67" s="409">
        <v>0</v>
      </c>
    </row>
    <row r="68" spans="1:165" customFormat="1">
      <c r="A68" s="409">
        <v>66</v>
      </c>
      <c r="B68" s="409" t="s">
        <v>1035</v>
      </c>
      <c r="C68" s="409" t="s">
        <v>2246</v>
      </c>
      <c r="D68" s="409" t="s">
        <v>595</v>
      </c>
      <c r="E68" s="409" t="s">
        <v>969</v>
      </c>
      <c r="F68" s="409" t="s">
        <v>1323</v>
      </c>
      <c r="G68" s="409" t="s">
        <v>1323</v>
      </c>
      <c r="H68" s="409" t="s">
        <v>1323</v>
      </c>
      <c r="I68" s="409" t="s">
        <v>972</v>
      </c>
      <c r="J68" s="409" t="s">
        <v>2242</v>
      </c>
      <c r="K68" s="838">
        <v>44378</v>
      </c>
      <c r="L68" s="409">
        <v>0</v>
      </c>
      <c r="M68" s="409">
        <v>0</v>
      </c>
      <c r="N68" s="409">
        <v>10.542</v>
      </c>
      <c r="O68" s="409">
        <v>10.542</v>
      </c>
      <c r="P68" s="409">
        <v>10.542</v>
      </c>
      <c r="Q68" s="409">
        <v>10.542</v>
      </c>
      <c r="R68" s="409"/>
      <c r="S68" s="409">
        <v>1856.88</v>
      </c>
      <c r="T68" s="409">
        <v>273.74</v>
      </c>
      <c r="U68" s="409"/>
      <c r="V68" s="409">
        <v>22460.996040000002</v>
      </c>
      <c r="W68" s="409">
        <v>22460.996040000002</v>
      </c>
      <c r="X68" s="409">
        <v>20580.83034</v>
      </c>
      <c r="Y68" s="409">
        <v>0</v>
      </c>
      <c r="Z68" s="409">
        <v>553.72633636959938</v>
      </c>
      <c r="AA68" s="409">
        <v>0</v>
      </c>
      <c r="AB68" s="409">
        <v>0</v>
      </c>
      <c r="AC68" s="409">
        <v>0</v>
      </c>
      <c r="AD68" s="409">
        <v>5166.5484980239971</v>
      </c>
      <c r="AE68" s="409">
        <v>13729.705993965485</v>
      </c>
      <c r="AF68" s="409">
        <v>2885.7592756493127</v>
      </c>
      <c r="AG68" s="409">
        <v>0</v>
      </c>
      <c r="AH68" s="409">
        <v>0</v>
      </c>
      <c r="AI68" s="409">
        <v>0</v>
      </c>
      <c r="AJ68" s="409">
        <v>0</v>
      </c>
      <c r="AK68" s="409">
        <v>0</v>
      </c>
      <c r="AL68" s="409">
        <v>98.425897886065272</v>
      </c>
      <c r="AM68" s="409"/>
      <c r="AN68" s="409">
        <v>9.1513827489843091</v>
      </c>
      <c r="AO68" s="409">
        <v>0</v>
      </c>
      <c r="AP68" s="409">
        <v>0</v>
      </c>
      <c r="AQ68" s="409">
        <v>0</v>
      </c>
      <c r="AR68" s="409">
        <v>0</v>
      </c>
      <c r="AS68" s="409">
        <v>0</v>
      </c>
      <c r="AT68" s="409">
        <v>0</v>
      </c>
      <c r="AU68" s="409">
        <v>0</v>
      </c>
      <c r="AV68" s="409">
        <v>0</v>
      </c>
      <c r="AW68" s="409">
        <v>0</v>
      </c>
      <c r="AX68" s="409">
        <v>0</v>
      </c>
      <c r="AY68" s="409">
        <v>0</v>
      </c>
      <c r="AZ68" s="409">
        <v>0</v>
      </c>
      <c r="BA68" s="409"/>
      <c r="BB68" s="409">
        <v>0</v>
      </c>
      <c r="BC68" s="409">
        <v>0</v>
      </c>
      <c r="BD68" s="409">
        <v>0</v>
      </c>
      <c r="BE68" s="409">
        <v>0</v>
      </c>
      <c r="BF68" s="409">
        <v>0</v>
      </c>
      <c r="BG68" s="409">
        <v>17.640201353446312</v>
      </c>
      <c r="BH68" s="409">
        <v>0</v>
      </c>
      <c r="BI68" s="409">
        <v>0</v>
      </c>
      <c r="BJ68" s="409">
        <v>0</v>
      </c>
      <c r="BK68" s="409">
        <v>0</v>
      </c>
      <c r="BL68" s="409">
        <v>0</v>
      </c>
      <c r="BM68" s="409"/>
      <c r="BN68" s="409"/>
      <c r="BO68" s="409"/>
      <c r="BP68" s="409"/>
      <c r="BQ68" s="409"/>
      <c r="BR68" s="409"/>
      <c r="BS68" s="409"/>
      <c r="BT68" s="409"/>
      <c r="BU68" s="409"/>
      <c r="BV68" s="409">
        <v>2903.3994770027589</v>
      </c>
      <c r="BW68" s="409"/>
      <c r="BX68" s="409"/>
      <c r="BY68" s="409"/>
      <c r="BZ68" s="409"/>
      <c r="CA68" s="409"/>
      <c r="CB68" s="409"/>
      <c r="CC68" s="409"/>
      <c r="CD68" s="409"/>
      <c r="CE68" s="409"/>
      <c r="CF68" s="409"/>
      <c r="CG68" s="409"/>
      <c r="CH68" s="409"/>
      <c r="CI68" s="409">
        <v>20576.925800000001</v>
      </c>
      <c r="CJ68" s="409">
        <v>-1884.1002399999961</v>
      </c>
      <c r="CK68" s="409"/>
      <c r="CL68" s="409"/>
      <c r="CM68" s="409"/>
      <c r="CN68" s="409"/>
      <c r="CO68" s="409">
        <v>-2017.2117000000014</v>
      </c>
      <c r="CP68" s="409">
        <v>137.04599999999999</v>
      </c>
      <c r="CQ68" s="409">
        <v>31</v>
      </c>
      <c r="CR68" s="409">
        <v>302.32532496266867</v>
      </c>
      <c r="CS68" s="409">
        <v>0</v>
      </c>
      <c r="CT68" s="409">
        <v>0</v>
      </c>
      <c r="CU68" s="409">
        <v>0</v>
      </c>
      <c r="CV68" s="409">
        <v>0</v>
      </c>
      <c r="CW68" s="409">
        <v>0</v>
      </c>
      <c r="CX68" s="409">
        <v>0</v>
      </c>
      <c r="CY68" s="409">
        <v>0</v>
      </c>
      <c r="CZ68" s="409">
        <v>177.10123356725308</v>
      </c>
      <c r="DA68" s="409">
        <v>0</v>
      </c>
      <c r="DB68" s="409">
        <v>0</v>
      </c>
      <c r="DC68" s="409">
        <v>155.4550455170197</v>
      </c>
      <c r="DD68" s="409">
        <v>0</v>
      </c>
      <c r="DE68" s="409">
        <v>0</v>
      </c>
      <c r="DF68" s="409">
        <v>0</v>
      </c>
      <c r="DG68" s="409">
        <v>0.95027271590860352</v>
      </c>
      <c r="DH68" s="409">
        <v>0</v>
      </c>
      <c r="DI68" s="409">
        <v>-35.295222748747506</v>
      </c>
      <c r="DJ68" s="409"/>
      <c r="DK68" s="409">
        <v>0</v>
      </c>
      <c r="DL68" s="409">
        <v>0</v>
      </c>
      <c r="DM68" s="409">
        <v>0</v>
      </c>
      <c r="DN68" s="409">
        <v>0</v>
      </c>
      <c r="DO68" s="409">
        <v>-5.160646761760276</v>
      </c>
      <c r="DP68" s="409">
        <v>-0.60380293019266951</v>
      </c>
      <c r="DQ68" s="409">
        <v>0</v>
      </c>
      <c r="DR68" s="409">
        <v>9.878445603188549</v>
      </c>
      <c r="DS68" s="409"/>
      <c r="DT68" s="409"/>
      <c r="DU68" s="409"/>
      <c r="DV68" s="409">
        <v>13729.705993965485</v>
      </c>
      <c r="DW68" s="409">
        <v>0</v>
      </c>
      <c r="DX68" s="409">
        <v>0</v>
      </c>
      <c r="DY68" s="409">
        <v>-2017.2116999999998</v>
      </c>
      <c r="DZ68" s="409">
        <v>137.04599999999982</v>
      </c>
      <c r="EA68" s="409">
        <v>0</v>
      </c>
      <c r="EB68" s="409">
        <v>0</v>
      </c>
      <c r="EC68" s="409">
        <v>-2182.3777058516389</v>
      </c>
      <c r="ED68" s="409">
        <v>0</v>
      </c>
      <c r="EE68" s="409">
        <v>0</v>
      </c>
      <c r="EF68" s="409">
        <v>0</v>
      </c>
      <c r="EG68" s="409">
        <v>0</v>
      </c>
      <c r="EH68" s="409">
        <v>0</v>
      </c>
      <c r="EI68" s="409">
        <v>0</v>
      </c>
      <c r="EJ68" s="409">
        <v>0</v>
      </c>
      <c r="EK68" s="409">
        <v>0</v>
      </c>
      <c r="EL68" s="409">
        <v>0</v>
      </c>
      <c r="EM68" s="409">
        <v>0</v>
      </c>
      <c r="EN68" s="409">
        <v>0</v>
      </c>
      <c r="EO68" s="409">
        <v>0</v>
      </c>
      <c r="EP68" s="409">
        <v>0</v>
      </c>
      <c r="EQ68" s="409">
        <v>0</v>
      </c>
      <c r="ER68" s="409">
        <v>0</v>
      </c>
      <c r="ES68" s="409">
        <v>0</v>
      </c>
      <c r="ET68" s="409">
        <v>0</v>
      </c>
      <c r="EU68" s="409">
        <v>0</v>
      </c>
      <c r="EV68" s="409">
        <v>210</v>
      </c>
      <c r="EW68" s="409">
        <v>0</v>
      </c>
      <c r="EX68" s="409">
        <v>0</v>
      </c>
      <c r="EY68" s="409">
        <v>0</v>
      </c>
      <c r="EZ68" s="409"/>
      <c r="FA68" s="409">
        <v>0</v>
      </c>
      <c r="FB68" s="409"/>
      <c r="FC68" s="409"/>
      <c r="FD68" s="409"/>
      <c r="FE68" s="409"/>
      <c r="FF68" s="409">
        <v>0</v>
      </c>
      <c r="FG68" s="409">
        <v>0</v>
      </c>
      <c r="FH68" s="409">
        <v>0</v>
      </c>
      <c r="FI68" s="409">
        <v>0</v>
      </c>
    </row>
    <row r="69" spans="1:165" customFormat="1">
      <c r="A69" s="409">
        <v>67</v>
      </c>
      <c r="B69" s="409" t="s">
        <v>1035</v>
      </c>
      <c r="C69" s="409" t="s">
        <v>2246</v>
      </c>
      <c r="D69" s="409" t="s">
        <v>595</v>
      </c>
      <c r="E69" s="409" t="s">
        <v>969</v>
      </c>
      <c r="F69" s="409" t="s">
        <v>1323</v>
      </c>
      <c r="G69" s="409" t="s">
        <v>1323</v>
      </c>
      <c r="H69" s="409" t="s">
        <v>1323</v>
      </c>
      <c r="I69" s="409" t="s">
        <v>2234</v>
      </c>
      <c r="J69" s="409" t="s">
        <v>2242</v>
      </c>
      <c r="K69" s="838">
        <v>44378</v>
      </c>
      <c r="L69" s="409">
        <v>0</v>
      </c>
      <c r="M69" s="409">
        <v>0</v>
      </c>
      <c r="N69" s="409">
        <v>83.346999999999994</v>
      </c>
      <c r="O69" s="409">
        <v>83.346999999999994</v>
      </c>
      <c r="P69" s="409">
        <v>83.346999999999994</v>
      </c>
      <c r="Q69" s="409">
        <v>83.346999999999994</v>
      </c>
      <c r="R69" s="409"/>
      <c r="S69" s="409">
        <v>64.400000000000006</v>
      </c>
      <c r="T69" s="409">
        <v>273.74</v>
      </c>
      <c r="U69" s="409"/>
      <c r="V69" s="409">
        <v>28182.954579999998</v>
      </c>
      <c r="W69" s="409">
        <v>28182.954579999998</v>
      </c>
      <c r="X69" s="409">
        <v>28957.248209999998</v>
      </c>
      <c r="Y69" s="409">
        <v>0</v>
      </c>
      <c r="Z69" s="409">
        <v>4377.8627354768541</v>
      </c>
      <c r="AA69" s="409">
        <v>0</v>
      </c>
      <c r="AB69" s="409">
        <v>0</v>
      </c>
      <c r="AC69" s="409">
        <v>0</v>
      </c>
      <c r="AD69" s="409">
        <v>0</v>
      </c>
      <c r="AE69" s="409">
        <v>0</v>
      </c>
      <c r="AF69" s="409">
        <v>22815.346077361341</v>
      </c>
      <c r="AG69" s="409">
        <v>0</v>
      </c>
      <c r="AH69" s="409">
        <v>0</v>
      </c>
      <c r="AI69" s="409">
        <v>0</v>
      </c>
      <c r="AJ69" s="409">
        <v>0</v>
      </c>
      <c r="AK69" s="409">
        <v>0</v>
      </c>
      <c r="AL69" s="409">
        <v>778.17333628437507</v>
      </c>
      <c r="AM69" s="409"/>
      <c r="AN69" s="409">
        <v>72.35252304871895</v>
      </c>
      <c r="AO69" s="409">
        <v>0</v>
      </c>
      <c r="AP69" s="409">
        <v>0</v>
      </c>
      <c r="AQ69" s="409">
        <v>0</v>
      </c>
      <c r="AR69" s="409">
        <v>0</v>
      </c>
      <c r="AS69" s="409">
        <v>0</v>
      </c>
      <c r="AT69" s="409">
        <v>0</v>
      </c>
      <c r="AU69" s="409">
        <v>0</v>
      </c>
      <c r="AV69" s="409">
        <v>0</v>
      </c>
      <c r="AW69" s="409">
        <v>0</v>
      </c>
      <c r="AX69" s="409">
        <v>0</v>
      </c>
      <c r="AY69" s="409">
        <v>0</v>
      </c>
      <c r="AZ69" s="409">
        <v>0</v>
      </c>
      <c r="BA69" s="409"/>
      <c r="BB69" s="409">
        <v>0</v>
      </c>
      <c r="BC69" s="409">
        <v>0</v>
      </c>
      <c r="BD69" s="409">
        <v>0</v>
      </c>
      <c r="BE69" s="409">
        <v>0</v>
      </c>
      <c r="BF69" s="409">
        <v>0</v>
      </c>
      <c r="BG69" s="409">
        <v>139.46669153914721</v>
      </c>
      <c r="BH69" s="409">
        <v>0</v>
      </c>
      <c r="BI69" s="409">
        <v>0</v>
      </c>
      <c r="BJ69" s="409">
        <v>0</v>
      </c>
      <c r="BK69" s="409">
        <v>0</v>
      </c>
      <c r="BL69" s="409">
        <v>0</v>
      </c>
      <c r="BM69" s="409"/>
      <c r="BN69" s="409"/>
      <c r="BO69" s="409"/>
      <c r="BP69" s="409"/>
      <c r="BQ69" s="409"/>
      <c r="BR69" s="409"/>
      <c r="BS69" s="409"/>
      <c r="BT69" s="409"/>
      <c r="BU69" s="409"/>
      <c r="BV69" s="409">
        <v>22954.812768900487</v>
      </c>
      <c r="BW69" s="409"/>
      <c r="BX69" s="409"/>
      <c r="BY69" s="409"/>
      <c r="BZ69" s="409"/>
      <c r="CA69" s="409"/>
      <c r="CB69" s="409"/>
      <c r="CC69" s="409"/>
      <c r="CD69" s="409"/>
      <c r="CE69" s="409"/>
      <c r="CF69" s="409"/>
      <c r="CG69" s="409"/>
      <c r="CH69" s="409"/>
      <c r="CI69" s="409">
        <v>28958.290499999999</v>
      </c>
      <c r="CJ69" s="409">
        <v>775.30592000000252</v>
      </c>
      <c r="CK69" s="409"/>
      <c r="CL69" s="409"/>
      <c r="CM69" s="409"/>
      <c r="CN69" s="409"/>
      <c r="CO69" s="409">
        <v>-309.21737000000064</v>
      </c>
      <c r="CP69" s="409">
        <v>1083.511</v>
      </c>
      <c r="CQ69" s="409">
        <v>31</v>
      </c>
      <c r="CR69" s="409">
        <v>774.42072161694523</v>
      </c>
      <c r="CS69" s="409">
        <v>0</v>
      </c>
      <c r="CT69" s="409">
        <v>0</v>
      </c>
      <c r="CU69" s="409">
        <v>0</v>
      </c>
      <c r="CV69" s="409">
        <v>0</v>
      </c>
      <c r="CW69" s="409">
        <v>0</v>
      </c>
      <c r="CX69" s="409">
        <v>0</v>
      </c>
      <c r="CY69" s="409">
        <v>0</v>
      </c>
      <c r="CZ69" s="409">
        <v>0</v>
      </c>
      <c r="DA69" s="409">
        <v>0</v>
      </c>
      <c r="DB69" s="409">
        <v>0</v>
      </c>
      <c r="DC69" s="409">
        <v>1229.056315566977</v>
      </c>
      <c r="DD69" s="409">
        <v>0</v>
      </c>
      <c r="DE69" s="409">
        <v>0</v>
      </c>
      <c r="DF69" s="409">
        <v>0</v>
      </c>
      <c r="DG69" s="409">
        <v>7.5130316878044141</v>
      </c>
      <c r="DH69" s="409">
        <v>0</v>
      </c>
      <c r="DI69" s="409">
        <v>-279.05055306771555</v>
      </c>
      <c r="DJ69" s="409"/>
      <c r="DK69" s="409">
        <v>0</v>
      </c>
      <c r="DL69" s="409">
        <v>0</v>
      </c>
      <c r="DM69" s="409">
        <v>0</v>
      </c>
      <c r="DN69" s="409">
        <v>0</v>
      </c>
      <c r="DO69" s="409">
        <v>-40.801026906890002</v>
      </c>
      <c r="DP69" s="409">
        <v>-4.7737775396289521</v>
      </c>
      <c r="DQ69" s="409">
        <v>0</v>
      </c>
      <c r="DR69" s="409">
        <v>-137.52326812360843</v>
      </c>
      <c r="DS69" s="409"/>
      <c r="DT69" s="409"/>
      <c r="DU69" s="409"/>
      <c r="DV69" s="409">
        <v>0</v>
      </c>
      <c r="DW69" s="409">
        <v>0</v>
      </c>
      <c r="DX69" s="409">
        <v>0</v>
      </c>
      <c r="DY69" s="409">
        <v>-309.2173700000003</v>
      </c>
      <c r="DZ69" s="409">
        <v>1083.5110000000022</v>
      </c>
      <c r="EA69" s="409">
        <v>0</v>
      </c>
      <c r="EB69" s="409">
        <v>0</v>
      </c>
      <c r="EC69" s="409">
        <v>0</v>
      </c>
      <c r="ED69" s="409">
        <v>0</v>
      </c>
      <c r="EE69" s="409">
        <v>0</v>
      </c>
      <c r="EF69" s="409">
        <v>0</v>
      </c>
      <c r="EG69" s="409">
        <v>0</v>
      </c>
      <c r="EH69" s="409">
        <v>0</v>
      </c>
      <c r="EI69" s="409">
        <v>0</v>
      </c>
      <c r="EJ69" s="409">
        <v>0</v>
      </c>
      <c r="EK69" s="409">
        <v>0</v>
      </c>
      <c r="EL69" s="409">
        <v>0</v>
      </c>
      <c r="EM69" s="409">
        <v>0</v>
      </c>
      <c r="EN69" s="409">
        <v>0</v>
      </c>
      <c r="EO69" s="409">
        <v>0</v>
      </c>
      <c r="EP69" s="409">
        <v>0</v>
      </c>
      <c r="EQ69" s="409">
        <v>0</v>
      </c>
      <c r="ER69" s="409">
        <v>0</v>
      </c>
      <c r="ES69" s="409">
        <v>0</v>
      </c>
      <c r="ET69" s="409">
        <v>0</v>
      </c>
      <c r="EU69" s="409">
        <v>0</v>
      </c>
      <c r="EV69" s="409">
        <v>210</v>
      </c>
      <c r="EW69" s="409">
        <v>0</v>
      </c>
      <c r="EX69" s="409">
        <v>0</v>
      </c>
      <c r="EY69" s="409">
        <v>0</v>
      </c>
      <c r="EZ69" s="409"/>
      <c r="FA69" s="409">
        <v>0</v>
      </c>
      <c r="FB69" s="409"/>
      <c r="FC69" s="409"/>
      <c r="FD69" s="409"/>
      <c r="FE69" s="409"/>
      <c r="FF69" s="409">
        <v>0</v>
      </c>
      <c r="FG69" s="409">
        <v>0</v>
      </c>
      <c r="FH69" s="409">
        <v>0</v>
      </c>
      <c r="FI69" s="409">
        <v>0</v>
      </c>
    </row>
    <row r="70" spans="1:165" customFormat="1">
      <c r="A70" s="409">
        <v>68</v>
      </c>
      <c r="B70" s="409" t="s">
        <v>1035</v>
      </c>
      <c r="C70" s="409" t="s">
        <v>2246</v>
      </c>
      <c r="D70" s="409" t="s">
        <v>595</v>
      </c>
      <c r="E70" s="409" t="s">
        <v>969</v>
      </c>
      <c r="F70" s="409" t="s">
        <v>1323</v>
      </c>
      <c r="G70" s="409" t="s">
        <v>1323</v>
      </c>
      <c r="H70" s="409" t="s">
        <v>1323</v>
      </c>
      <c r="I70" s="409" t="s">
        <v>1323</v>
      </c>
      <c r="J70" s="409" t="s">
        <v>2242</v>
      </c>
      <c r="K70" s="838">
        <v>44378</v>
      </c>
      <c r="L70" s="409">
        <v>843</v>
      </c>
      <c r="M70" s="409">
        <v>843</v>
      </c>
      <c r="N70" s="409">
        <v>0</v>
      </c>
      <c r="O70" s="409">
        <v>0</v>
      </c>
      <c r="P70" s="409">
        <v>0</v>
      </c>
      <c r="Q70" s="409">
        <v>0</v>
      </c>
      <c r="R70" s="409">
        <v>33.6</v>
      </c>
      <c r="S70" s="409"/>
      <c r="T70" s="409"/>
      <c r="U70" s="409">
        <v>28324.800000000003</v>
      </c>
      <c r="V70" s="409"/>
      <c r="W70" s="409">
        <v>28324.800000000003</v>
      </c>
      <c r="X70" s="409">
        <v>26773.68</v>
      </c>
      <c r="Y70" s="409">
        <v>0</v>
      </c>
      <c r="Z70" s="409">
        <v>0</v>
      </c>
      <c r="AA70" s="409">
        <v>0</v>
      </c>
      <c r="AB70" s="409">
        <v>0</v>
      </c>
      <c r="AC70" s="409">
        <v>0</v>
      </c>
      <c r="AD70" s="409">
        <v>15043.769038745078</v>
      </c>
      <c r="AE70" s="409">
        <v>13281.591460987915</v>
      </c>
      <c r="AF70" s="409"/>
      <c r="AG70" s="409"/>
      <c r="AH70" s="409"/>
      <c r="AI70" s="409">
        <v>0</v>
      </c>
      <c r="AJ70" s="409">
        <v>0</v>
      </c>
      <c r="AK70" s="409">
        <v>0</v>
      </c>
      <c r="AL70" s="409">
        <v>0</v>
      </c>
      <c r="AM70" s="409"/>
      <c r="AN70" s="409">
        <v>0</v>
      </c>
      <c r="AO70" s="409">
        <v>0</v>
      </c>
      <c r="AP70" s="409">
        <v>0</v>
      </c>
      <c r="AQ70" s="409">
        <v>0</v>
      </c>
      <c r="AR70" s="409">
        <v>0</v>
      </c>
      <c r="AS70" s="409"/>
      <c r="AT70" s="409"/>
      <c r="AU70" s="409">
        <v>0</v>
      </c>
      <c r="AV70" s="409">
        <v>0</v>
      </c>
      <c r="AW70" s="409">
        <v>0</v>
      </c>
      <c r="AX70" s="409"/>
      <c r="AY70" s="409"/>
      <c r="AZ70" s="409">
        <v>0</v>
      </c>
      <c r="BA70" s="409"/>
      <c r="BB70" s="409">
        <v>0</v>
      </c>
      <c r="BC70" s="409">
        <v>0</v>
      </c>
      <c r="BD70" s="409">
        <v>0</v>
      </c>
      <c r="BE70" s="409">
        <v>0</v>
      </c>
      <c r="BF70" s="409"/>
      <c r="BG70" s="409">
        <v>0</v>
      </c>
      <c r="BH70" s="409">
        <v>0</v>
      </c>
      <c r="BI70" s="409">
        <v>558.55999999999995</v>
      </c>
      <c r="BJ70" s="409">
        <v>2577.98</v>
      </c>
      <c r="BK70" s="409">
        <v>14648.52</v>
      </c>
      <c r="BL70" s="409">
        <v>3</v>
      </c>
      <c r="BM70" s="409"/>
      <c r="BN70" s="409"/>
      <c r="BO70" s="409"/>
      <c r="BP70" s="409"/>
      <c r="BQ70" s="409"/>
      <c r="BR70" s="409"/>
      <c r="BS70" s="409"/>
      <c r="BT70" s="409"/>
      <c r="BU70" s="409"/>
      <c r="BV70" s="409">
        <v>0</v>
      </c>
      <c r="BW70" s="409"/>
      <c r="BX70" s="409"/>
      <c r="BY70" s="409"/>
      <c r="BZ70" s="409"/>
      <c r="CA70" s="409"/>
      <c r="CB70" s="409"/>
      <c r="CC70" s="409"/>
      <c r="CD70" s="409"/>
      <c r="CE70" s="409"/>
      <c r="CF70" s="409"/>
      <c r="CG70" s="409"/>
      <c r="CH70" s="409"/>
      <c r="CI70" s="409">
        <v>26773.68</v>
      </c>
      <c r="CJ70" s="409">
        <v>-1551.1499999999978</v>
      </c>
      <c r="CK70" s="409"/>
      <c r="CL70" s="409"/>
      <c r="CM70" s="409"/>
      <c r="CN70" s="409"/>
      <c r="CO70" s="409">
        <v>-1551.12</v>
      </c>
      <c r="CP70" s="409">
        <v>0</v>
      </c>
      <c r="CQ70" s="409">
        <v>31</v>
      </c>
      <c r="CR70" s="409">
        <v>556.55876744722991</v>
      </c>
      <c r="CS70" s="409">
        <v>0</v>
      </c>
      <c r="CT70" s="409">
        <v>0</v>
      </c>
      <c r="CU70" s="409">
        <v>0</v>
      </c>
      <c r="CV70" s="409">
        <v>0</v>
      </c>
      <c r="CW70" s="409"/>
      <c r="CX70" s="409"/>
      <c r="CY70" s="409"/>
      <c r="CZ70" s="409">
        <v>515.67696602117758</v>
      </c>
      <c r="DA70" s="409">
        <v>0</v>
      </c>
      <c r="DB70" s="409">
        <v>0</v>
      </c>
      <c r="DC70" s="409"/>
      <c r="DD70" s="409"/>
      <c r="DE70" s="409">
        <v>0</v>
      </c>
      <c r="DF70" s="409">
        <v>0</v>
      </c>
      <c r="DG70" s="409">
        <v>0</v>
      </c>
      <c r="DH70" s="409">
        <v>0</v>
      </c>
      <c r="DI70" s="409">
        <v>0</v>
      </c>
      <c r="DJ70" s="409"/>
      <c r="DK70" s="409">
        <v>0</v>
      </c>
      <c r="DL70" s="409">
        <v>0</v>
      </c>
      <c r="DM70" s="409"/>
      <c r="DN70" s="409">
        <v>0</v>
      </c>
      <c r="DO70" s="409">
        <v>0</v>
      </c>
      <c r="DP70" s="409">
        <v>0</v>
      </c>
      <c r="DQ70" s="409">
        <v>0</v>
      </c>
      <c r="DR70" s="409">
        <v>40.881801426052682</v>
      </c>
      <c r="DS70" s="409"/>
      <c r="DT70" s="409"/>
      <c r="DU70" s="409">
        <v>13281.591460987915</v>
      </c>
      <c r="DV70" s="409"/>
      <c r="DW70" s="409">
        <v>0</v>
      </c>
      <c r="DX70" s="409">
        <v>0</v>
      </c>
      <c r="DY70" s="409">
        <v>-1551.1200000000026</v>
      </c>
      <c r="DZ70" s="409"/>
      <c r="EA70" s="409">
        <v>0</v>
      </c>
      <c r="EB70" s="409"/>
      <c r="EC70" s="409">
        <v>-2111.1485646837755</v>
      </c>
      <c r="ED70" s="409"/>
      <c r="EE70" s="409">
        <v>0</v>
      </c>
      <c r="EF70" s="409">
        <v>0</v>
      </c>
      <c r="EG70" s="409"/>
      <c r="EH70" s="409">
        <v>0</v>
      </c>
      <c r="EI70" s="409">
        <v>0</v>
      </c>
      <c r="EJ70" s="409">
        <v>0</v>
      </c>
      <c r="EK70" s="409">
        <v>0</v>
      </c>
      <c r="EL70" s="409">
        <v>0</v>
      </c>
      <c r="EM70" s="409"/>
      <c r="EN70" s="409"/>
      <c r="EO70" s="409">
        <v>0</v>
      </c>
      <c r="EP70" s="409">
        <v>0</v>
      </c>
      <c r="EQ70" s="409"/>
      <c r="ER70" s="409">
        <v>0</v>
      </c>
      <c r="ES70" s="409"/>
      <c r="ET70" s="409">
        <v>0</v>
      </c>
      <c r="EU70" s="409"/>
      <c r="EV70" s="409">
        <v>210</v>
      </c>
      <c r="EW70" s="409"/>
      <c r="EX70" s="409"/>
      <c r="EY70" s="409"/>
      <c r="EZ70" s="409"/>
      <c r="FA70" s="409">
        <v>0</v>
      </c>
      <c r="FB70" s="409"/>
      <c r="FC70" s="409"/>
      <c r="FD70" s="409"/>
      <c r="FE70" s="409"/>
      <c r="FF70" s="409">
        <v>0</v>
      </c>
      <c r="FG70" s="409">
        <v>0</v>
      </c>
      <c r="FH70" s="409">
        <v>0</v>
      </c>
      <c r="FI70" s="409">
        <v>0</v>
      </c>
    </row>
    <row r="71" spans="1:165" customFormat="1">
      <c r="A71" s="409">
        <v>69</v>
      </c>
      <c r="B71" s="409" t="s">
        <v>1035</v>
      </c>
      <c r="C71" s="409" t="s">
        <v>2241</v>
      </c>
      <c r="D71" s="409" t="s">
        <v>1992</v>
      </c>
      <c r="E71" s="409" t="s">
        <v>997</v>
      </c>
      <c r="F71" s="409" t="s">
        <v>1323</v>
      </c>
      <c r="G71" s="409" t="s">
        <v>1323</v>
      </c>
      <c r="H71" s="409" t="s">
        <v>1323</v>
      </c>
      <c r="I71" s="409" t="s">
        <v>1323</v>
      </c>
      <c r="J71" s="409" t="s">
        <v>2242</v>
      </c>
      <c r="K71" s="838">
        <v>44378</v>
      </c>
      <c r="L71" s="409">
        <v>0</v>
      </c>
      <c r="M71" s="409">
        <v>0</v>
      </c>
      <c r="N71" s="409">
        <v>56.253</v>
      </c>
      <c r="O71" s="409">
        <v>56.253</v>
      </c>
      <c r="P71" s="409">
        <v>56.253</v>
      </c>
      <c r="Q71" s="409">
        <v>56.253</v>
      </c>
      <c r="R71" s="409"/>
      <c r="S71" s="409">
        <v>358.62</v>
      </c>
      <c r="T71" s="409">
        <v>273.74</v>
      </c>
      <c r="U71" s="409"/>
      <c r="V71" s="409">
        <v>35572.147080000002</v>
      </c>
      <c r="W71" s="409">
        <v>35572.147080000002</v>
      </c>
      <c r="X71" s="409">
        <v>34490.964419999997</v>
      </c>
      <c r="Y71" s="409">
        <v>0</v>
      </c>
      <c r="Z71" s="409">
        <v>3396.2418088782351</v>
      </c>
      <c r="AA71" s="409">
        <v>0</v>
      </c>
      <c r="AB71" s="409">
        <v>0</v>
      </c>
      <c r="AC71" s="409">
        <v>0</v>
      </c>
      <c r="AD71" s="409">
        <v>4842.7373860989464</v>
      </c>
      <c r="AE71" s="409">
        <v>11142.548790031331</v>
      </c>
      <c r="AF71" s="409">
        <v>15398.654575327337</v>
      </c>
      <c r="AG71" s="409">
        <v>0</v>
      </c>
      <c r="AH71" s="409">
        <v>0</v>
      </c>
      <c r="AI71" s="409">
        <v>0</v>
      </c>
      <c r="AJ71" s="409">
        <v>0</v>
      </c>
      <c r="AK71" s="409">
        <v>0</v>
      </c>
      <c r="AL71" s="409">
        <v>525.20888197541547</v>
      </c>
      <c r="AM71" s="409"/>
      <c r="AN71" s="409">
        <v>59.914584901902856</v>
      </c>
      <c r="AO71" s="409">
        <v>0</v>
      </c>
      <c r="AP71" s="409">
        <v>0</v>
      </c>
      <c r="AQ71" s="409">
        <v>0</v>
      </c>
      <c r="AR71" s="409">
        <v>0</v>
      </c>
      <c r="AS71" s="409">
        <v>0</v>
      </c>
      <c r="AT71" s="409">
        <v>0</v>
      </c>
      <c r="AU71" s="409">
        <v>0</v>
      </c>
      <c r="AV71" s="409">
        <v>0</v>
      </c>
      <c r="AW71" s="409">
        <v>0</v>
      </c>
      <c r="AX71" s="409">
        <v>0</v>
      </c>
      <c r="AY71" s="409">
        <v>0</v>
      </c>
      <c r="AZ71" s="409">
        <v>0</v>
      </c>
      <c r="BA71" s="409"/>
      <c r="BB71" s="409">
        <v>0</v>
      </c>
      <c r="BC71" s="409">
        <v>0</v>
      </c>
      <c r="BD71" s="409">
        <v>0</v>
      </c>
      <c r="BE71" s="409">
        <v>0</v>
      </c>
      <c r="BF71" s="409">
        <v>0</v>
      </c>
      <c r="BG71" s="409">
        <v>206.92251117261785</v>
      </c>
      <c r="BH71" s="409">
        <v>0</v>
      </c>
      <c r="BI71" s="409">
        <v>261.49</v>
      </c>
      <c r="BJ71" s="409">
        <v>1207.68</v>
      </c>
      <c r="BK71" s="409">
        <v>8664.0300000000007</v>
      </c>
      <c r="BL71" s="409">
        <v>68</v>
      </c>
      <c r="BM71" s="409"/>
      <c r="BN71" s="409"/>
      <c r="BO71" s="409"/>
      <c r="BP71" s="409"/>
      <c r="BQ71" s="409"/>
      <c r="BR71" s="409"/>
      <c r="BS71" s="409"/>
      <c r="BT71" s="409"/>
      <c r="BU71" s="409"/>
      <c r="BV71" s="409">
        <v>15605.577086499954</v>
      </c>
      <c r="BW71" s="409"/>
      <c r="BX71" s="409"/>
      <c r="BY71" s="409"/>
      <c r="BZ71" s="409"/>
      <c r="CA71" s="409"/>
      <c r="CB71" s="409"/>
      <c r="CC71" s="409"/>
      <c r="CD71" s="409"/>
      <c r="CE71" s="409"/>
      <c r="CF71" s="409"/>
      <c r="CG71" s="409"/>
      <c r="CH71" s="409"/>
      <c r="CI71" s="409">
        <v>34489.125</v>
      </c>
      <c r="CJ71" s="409">
        <v>-1083.0520800000013</v>
      </c>
      <c r="CK71" s="409"/>
      <c r="CL71" s="409"/>
      <c r="CM71" s="409"/>
      <c r="CN71" s="409"/>
      <c r="CO71" s="409">
        <v>-1812.4716600000015</v>
      </c>
      <c r="CP71" s="409">
        <v>731.28899999999999</v>
      </c>
      <c r="CQ71" s="409">
        <v>31</v>
      </c>
      <c r="CR71" s="409">
        <v>689.76754876762789</v>
      </c>
      <c r="CS71" s="409">
        <v>0</v>
      </c>
      <c r="CT71" s="409">
        <v>0</v>
      </c>
      <c r="CU71" s="409">
        <v>0</v>
      </c>
      <c r="CV71" s="409">
        <v>0</v>
      </c>
      <c r="CW71" s="409">
        <v>0</v>
      </c>
      <c r="CX71" s="409">
        <v>0</v>
      </c>
      <c r="CY71" s="409">
        <v>0</v>
      </c>
      <c r="CZ71" s="409">
        <v>166.00149311448877</v>
      </c>
      <c r="DA71" s="409">
        <v>0</v>
      </c>
      <c r="DB71" s="409">
        <v>0</v>
      </c>
      <c r="DC71" s="409">
        <v>829.52121755538974</v>
      </c>
      <c r="DD71" s="409">
        <v>0</v>
      </c>
      <c r="DE71" s="409">
        <v>0</v>
      </c>
      <c r="DF71" s="409">
        <v>0</v>
      </c>
      <c r="DG71" s="409">
        <v>11.146857835395423</v>
      </c>
      <c r="DH71" s="409">
        <v>0</v>
      </c>
      <c r="DI71" s="409">
        <v>-216.48078352002995</v>
      </c>
      <c r="DJ71" s="409"/>
      <c r="DK71" s="409">
        <v>0</v>
      </c>
      <c r="DL71" s="409">
        <v>0</v>
      </c>
      <c r="DM71" s="409">
        <v>0</v>
      </c>
      <c r="DN71" s="409">
        <v>0</v>
      </c>
      <c r="DO71" s="409">
        <v>-27.537645825204038</v>
      </c>
      <c r="DP71" s="409">
        <v>-3.9531295889752158</v>
      </c>
      <c r="DQ71" s="409">
        <v>0</v>
      </c>
      <c r="DR71" s="409">
        <v>-68.930460803430776</v>
      </c>
      <c r="DS71" s="409"/>
      <c r="DT71" s="409"/>
      <c r="DU71" s="409"/>
      <c r="DV71" s="409">
        <v>11142.548790031331</v>
      </c>
      <c r="DW71" s="409">
        <v>0</v>
      </c>
      <c r="DX71" s="409">
        <v>0</v>
      </c>
      <c r="DY71" s="409">
        <v>-1812.4716600000029</v>
      </c>
      <c r="DZ71" s="409">
        <v>731.28900000000067</v>
      </c>
      <c r="EA71" s="409">
        <v>0</v>
      </c>
      <c r="EB71" s="409">
        <v>0</v>
      </c>
      <c r="EC71" s="409">
        <v>-1771.1413541133134</v>
      </c>
      <c r="ED71" s="409">
        <v>0</v>
      </c>
      <c r="EE71" s="409">
        <v>0</v>
      </c>
      <c r="EF71" s="409">
        <v>0</v>
      </c>
      <c r="EG71" s="409">
        <v>0</v>
      </c>
      <c r="EH71" s="409">
        <v>0</v>
      </c>
      <c r="EI71" s="409">
        <v>0</v>
      </c>
      <c r="EJ71" s="409">
        <v>0</v>
      </c>
      <c r="EK71" s="409">
        <v>0</v>
      </c>
      <c r="EL71" s="409">
        <v>0</v>
      </c>
      <c r="EM71" s="409">
        <v>0</v>
      </c>
      <c r="EN71" s="409">
        <v>0</v>
      </c>
      <c r="EO71" s="409">
        <v>0</v>
      </c>
      <c r="EP71" s="409">
        <v>0</v>
      </c>
      <c r="EQ71" s="409">
        <v>0</v>
      </c>
      <c r="ER71" s="409">
        <v>0</v>
      </c>
      <c r="ES71" s="409">
        <v>0</v>
      </c>
      <c r="ET71" s="409">
        <v>0</v>
      </c>
      <c r="EU71" s="409">
        <v>0</v>
      </c>
      <c r="EV71" s="409">
        <v>210</v>
      </c>
      <c r="EW71" s="409">
        <v>0</v>
      </c>
      <c r="EX71" s="409">
        <v>0</v>
      </c>
      <c r="EY71" s="409">
        <v>0</v>
      </c>
      <c r="EZ71" s="409"/>
      <c r="FA71" s="409">
        <v>0</v>
      </c>
      <c r="FB71" s="409"/>
      <c r="FC71" s="409"/>
      <c r="FD71" s="409"/>
      <c r="FE71" s="409"/>
      <c r="FF71" s="409">
        <v>0</v>
      </c>
      <c r="FG71" s="409">
        <v>0</v>
      </c>
      <c r="FH71" s="409">
        <v>0</v>
      </c>
      <c r="FI71" s="409">
        <v>0</v>
      </c>
    </row>
    <row r="72" spans="1:165" customFormat="1">
      <c r="A72" s="409">
        <v>70</v>
      </c>
      <c r="B72" s="409" t="s">
        <v>2240</v>
      </c>
      <c r="C72" s="409" t="s">
        <v>2241</v>
      </c>
      <c r="D72" s="409" t="s">
        <v>1992</v>
      </c>
      <c r="E72" s="409" t="s">
        <v>997</v>
      </c>
      <c r="F72" s="409" t="s">
        <v>1323</v>
      </c>
      <c r="G72" s="409" t="s">
        <v>1323</v>
      </c>
      <c r="H72" s="409" t="s">
        <v>1323</v>
      </c>
      <c r="I72" s="409" t="s">
        <v>1323</v>
      </c>
      <c r="J72" s="409" t="s">
        <v>2242</v>
      </c>
      <c r="K72" s="838">
        <v>44378</v>
      </c>
      <c r="L72" s="409">
        <v>0</v>
      </c>
      <c r="M72" s="409">
        <v>0</v>
      </c>
      <c r="N72" s="409">
        <v>0.1</v>
      </c>
      <c r="O72" s="409">
        <v>0.1</v>
      </c>
      <c r="P72" s="409">
        <v>0.1</v>
      </c>
      <c r="Q72" s="409">
        <v>0.1</v>
      </c>
      <c r="R72" s="409"/>
      <c r="S72" s="409">
        <v>358.62</v>
      </c>
      <c r="T72" s="409">
        <v>273.74</v>
      </c>
      <c r="U72" s="409"/>
      <c r="V72" s="409">
        <v>63.236000000000004</v>
      </c>
      <c r="W72" s="409">
        <v>63.236000000000004</v>
      </c>
      <c r="X72" s="409">
        <v>61.314000000000007</v>
      </c>
      <c r="Y72" s="409">
        <v>0</v>
      </c>
      <c r="Z72" s="409">
        <v>6.03744121891852</v>
      </c>
      <c r="AA72" s="409">
        <v>0</v>
      </c>
      <c r="AB72" s="409">
        <v>0</v>
      </c>
      <c r="AC72" s="409">
        <v>0</v>
      </c>
      <c r="AD72" s="409">
        <v>8.6088517698592906</v>
      </c>
      <c r="AE72" s="409">
        <v>19.807919204364801</v>
      </c>
      <c r="AF72" s="409">
        <v>27.373925968974699</v>
      </c>
      <c r="AG72" s="409">
        <v>0</v>
      </c>
      <c r="AH72" s="409">
        <v>0</v>
      </c>
      <c r="AI72" s="409">
        <v>0</v>
      </c>
      <c r="AJ72" s="409">
        <v>0</v>
      </c>
      <c r="AK72" s="409">
        <v>0</v>
      </c>
      <c r="AL72" s="409">
        <v>0.93365488414025111</v>
      </c>
      <c r="AM72" s="409"/>
      <c r="AN72" s="409">
        <v>0.10650913711607</v>
      </c>
      <c r="AO72" s="409">
        <v>0</v>
      </c>
      <c r="AP72" s="409">
        <v>0</v>
      </c>
      <c r="AQ72" s="409">
        <v>0</v>
      </c>
      <c r="AR72" s="409">
        <v>0</v>
      </c>
      <c r="AS72" s="409">
        <v>0</v>
      </c>
      <c r="AT72" s="409">
        <v>0</v>
      </c>
      <c r="AU72" s="409">
        <v>0</v>
      </c>
      <c r="AV72" s="409">
        <v>0</v>
      </c>
      <c r="AW72" s="409">
        <v>0</v>
      </c>
      <c r="AX72" s="409">
        <v>0</v>
      </c>
      <c r="AY72" s="409">
        <v>0</v>
      </c>
      <c r="AZ72" s="409">
        <v>0</v>
      </c>
      <c r="BA72" s="409"/>
      <c r="BB72" s="409">
        <v>0</v>
      </c>
      <c r="BC72" s="409">
        <v>0</v>
      </c>
      <c r="BD72" s="409">
        <v>0</v>
      </c>
      <c r="BE72" s="409">
        <v>0</v>
      </c>
      <c r="BF72" s="409">
        <v>0</v>
      </c>
      <c r="BG72" s="409">
        <v>0.36784262381138405</v>
      </c>
      <c r="BH72" s="409">
        <v>0</v>
      </c>
      <c r="BI72" s="409">
        <v>0.56000000000000005</v>
      </c>
      <c r="BJ72" s="409">
        <v>2.58</v>
      </c>
      <c r="BK72" s="409">
        <v>123.13</v>
      </c>
      <c r="BL72" s="409">
        <v>1</v>
      </c>
      <c r="BM72" s="409"/>
      <c r="BN72" s="409"/>
      <c r="BO72" s="409"/>
      <c r="BP72" s="409"/>
      <c r="BQ72" s="409"/>
      <c r="BR72" s="409"/>
      <c r="BS72" s="409"/>
      <c r="BT72" s="409"/>
      <c r="BU72" s="409"/>
      <c r="BV72" s="409">
        <v>27.741768592786084</v>
      </c>
      <c r="BW72" s="409"/>
      <c r="BX72" s="409"/>
      <c r="BY72" s="409"/>
      <c r="BZ72" s="409"/>
      <c r="CA72" s="409"/>
      <c r="CB72" s="409"/>
      <c r="CC72" s="409"/>
      <c r="CD72" s="409"/>
      <c r="CE72" s="409"/>
      <c r="CF72" s="409"/>
      <c r="CG72" s="409"/>
      <c r="CH72" s="409"/>
      <c r="CI72" s="409">
        <v>61.314000000000007</v>
      </c>
      <c r="CJ72" s="409">
        <v>-1.9519999999999911</v>
      </c>
      <c r="CK72" s="409"/>
      <c r="CL72" s="409"/>
      <c r="CM72" s="409"/>
      <c r="CN72" s="409"/>
      <c r="CO72" s="409">
        <v>-3.2220000000000031</v>
      </c>
      <c r="CP72" s="409">
        <v>1.3</v>
      </c>
      <c r="CQ72" s="409">
        <v>31</v>
      </c>
      <c r="CR72" s="409">
        <v>1.2261880233367748</v>
      </c>
      <c r="CS72" s="409">
        <v>0</v>
      </c>
      <c r="CT72" s="409">
        <v>0</v>
      </c>
      <c r="CU72" s="409">
        <v>0</v>
      </c>
      <c r="CV72" s="409">
        <v>0</v>
      </c>
      <c r="CW72" s="409">
        <v>0</v>
      </c>
      <c r="CX72" s="409">
        <v>0</v>
      </c>
      <c r="CY72" s="409">
        <v>0</v>
      </c>
      <c r="CZ72" s="409">
        <v>0.29509802697543108</v>
      </c>
      <c r="DA72" s="409">
        <v>0</v>
      </c>
      <c r="DB72" s="409">
        <v>0</v>
      </c>
      <c r="DC72" s="409">
        <v>1.4746257400590004</v>
      </c>
      <c r="DD72" s="409">
        <v>0</v>
      </c>
      <c r="DE72" s="409">
        <v>0</v>
      </c>
      <c r="DF72" s="409">
        <v>0</v>
      </c>
      <c r="DG72" s="409">
        <v>1.9815579320916987E-2</v>
      </c>
      <c r="DH72" s="409">
        <v>0</v>
      </c>
      <c r="DI72" s="409">
        <v>-0.38483420176707028</v>
      </c>
      <c r="DJ72" s="409"/>
      <c r="DK72" s="409">
        <v>0</v>
      </c>
      <c r="DL72" s="409">
        <v>0</v>
      </c>
      <c r="DM72" s="409">
        <v>0</v>
      </c>
      <c r="DN72" s="409">
        <v>0</v>
      </c>
      <c r="DO72" s="409">
        <v>-4.8953203962817993E-2</v>
      </c>
      <c r="DP72" s="409">
        <v>-7.0274111406950918E-3</v>
      </c>
      <c r="DQ72" s="409">
        <v>0</v>
      </c>
      <c r="DR72" s="409">
        <v>-0.12253650614799351</v>
      </c>
      <c r="DS72" s="409"/>
      <c r="DT72" s="409"/>
      <c r="DU72" s="409"/>
      <c r="DV72" s="409">
        <v>19.807919204364801</v>
      </c>
      <c r="DW72" s="409">
        <v>0</v>
      </c>
      <c r="DX72" s="409">
        <v>0</v>
      </c>
      <c r="DY72" s="409">
        <v>-3.2220000000000013</v>
      </c>
      <c r="DZ72" s="409">
        <v>1.3000000000000007</v>
      </c>
      <c r="EA72" s="409">
        <v>0</v>
      </c>
      <c r="EB72" s="409">
        <v>0</v>
      </c>
      <c r="EC72" s="409">
        <v>-3.1485278191622008</v>
      </c>
      <c r="ED72" s="409">
        <v>0</v>
      </c>
      <c r="EE72" s="409">
        <v>0</v>
      </c>
      <c r="EF72" s="409">
        <v>0</v>
      </c>
      <c r="EG72" s="409">
        <v>0</v>
      </c>
      <c r="EH72" s="409">
        <v>0</v>
      </c>
      <c r="EI72" s="409">
        <v>0</v>
      </c>
      <c r="EJ72" s="409">
        <v>0</v>
      </c>
      <c r="EK72" s="409">
        <v>0</v>
      </c>
      <c r="EL72" s="409">
        <v>0</v>
      </c>
      <c r="EM72" s="409">
        <v>0</v>
      </c>
      <c r="EN72" s="409">
        <v>0</v>
      </c>
      <c r="EO72" s="409">
        <v>0</v>
      </c>
      <c r="EP72" s="409">
        <v>0</v>
      </c>
      <c r="EQ72" s="409">
        <v>0</v>
      </c>
      <c r="ER72" s="409">
        <v>0</v>
      </c>
      <c r="ES72" s="409">
        <v>0</v>
      </c>
      <c r="ET72" s="409">
        <v>0</v>
      </c>
      <c r="EU72" s="409">
        <v>0</v>
      </c>
      <c r="EV72" s="409">
        <v>210</v>
      </c>
      <c r="EW72" s="409">
        <v>0</v>
      </c>
      <c r="EX72" s="409">
        <v>0</v>
      </c>
      <c r="EY72" s="409">
        <v>0</v>
      </c>
      <c r="EZ72" s="409"/>
      <c r="FA72" s="409">
        <v>0</v>
      </c>
      <c r="FB72" s="409"/>
      <c r="FC72" s="409"/>
      <c r="FD72" s="409"/>
      <c r="FE72" s="409"/>
      <c r="FF72" s="409">
        <v>0</v>
      </c>
      <c r="FG72" s="409">
        <v>0</v>
      </c>
      <c r="FH72" s="409">
        <v>0</v>
      </c>
      <c r="FI72" s="409">
        <v>0</v>
      </c>
    </row>
    <row r="73" spans="1:165" customFormat="1">
      <c r="A73" s="409">
        <v>71</v>
      </c>
      <c r="B73" s="409" t="s">
        <v>1035</v>
      </c>
      <c r="C73" s="409" t="s">
        <v>2246</v>
      </c>
      <c r="D73" s="409" t="s">
        <v>595</v>
      </c>
      <c r="E73" s="409" t="s">
        <v>997</v>
      </c>
      <c r="F73" s="409" t="s">
        <v>1323</v>
      </c>
      <c r="G73" s="409" t="s">
        <v>1323</v>
      </c>
      <c r="H73" s="409" t="s">
        <v>1323</v>
      </c>
      <c r="I73" s="409" t="s">
        <v>972</v>
      </c>
      <c r="J73" s="409" t="s">
        <v>2242</v>
      </c>
      <c r="K73" s="838">
        <v>44378</v>
      </c>
      <c r="L73" s="409">
        <v>0</v>
      </c>
      <c r="M73" s="409">
        <v>0</v>
      </c>
      <c r="N73" s="409">
        <v>0.35199999999999998</v>
      </c>
      <c r="O73" s="409">
        <v>0.35199999999999998</v>
      </c>
      <c r="P73" s="409">
        <v>0.35199999999999998</v>
      </c>
      <c r="Q73" s="409">
        <v>0.35199999999999998</v>
      </c>
      <c r="R73" s="409"/>
      <c r="S73" s="409">
        <v>1856.88</v>
      </c>
      <c r="T73" s="409">
        <v>273.74</v>
      </c>
      <c r="U73" s="409"/>
      <c r="V73" s="409">
        <v>749.97824000000003</v>
      </c>
      <c r="W73" s="409">
        <v>749.97824000000003</v>
      </c>
      <c r="X73" s="409">
        <v>687.19903999999997</v>
      </c>
      <c r="Y73" s="409">
        <v>0</v>
      </c>
      <c r="Z73" s="409">
        <v>18.489059988816066</v>
      </c>
      <c r="AA73" s="409">
        <v>0</v>
      </c>
      <c r="AB73" s="409">
        <v>0</v>
      </c>
      <c r="AC73" s="409">
        <v>0</v>
      </c>
      <c r="AD73" s="409">
        <v>172.51233838972178</v>
      </c>
      <c r="AE73" s="409">
        <v>458.43829537809245</v>
      </c>
      <c r="AF73" s="409">
        <v>96.356219410790928</v>
      </c>
      <c r="AG73" s="409">
        <v>0</v>
      </c>
      <c r="AH73" s="409">
        <v>0</v>
      </c>
      <c r="AI73" s="409">
        <v>0</v>
      </c>
      <c r="AJ73" s="409">
        <v>0</v>
      </c>
      <c r="AK73" s="409">
        <v>0</v>
      </c>
      <c r="AL73" s="409">
        <v>3.2864651921736838</v>
      </c>
      <c r="AM73" s="409"/>
      <c r="AN73" s="409">
        <v>0.30556694437891069</v>
      </c>
      <c r="AO73" s="409">
        <v>0</v>
      </c>
      <c r="AP73" s="409">
        <v>0</v>
      </c>
      <c r="AQ73" s="409">
        <v>0</v>
      </c>
      <c r="AR73" s="409">
        <v>0</v>
      </c>
      <c r="AS73" s="409">
        <v>0</v>
      </c>
      <c r="AT73" s="409">
        <v>0</v>
      </c>
      <c r="AU73" s="409">
        <v>0</v>
      </c>
      <c r="AV73" s="409">
        <v>0</v>
      </c>
      <c r="AW73" s="409">
        <v>0</v>
      </c>
      <c r="AX73" s="409">
        <v>0</v>
      </c>
      <c r="AY73" s="409">
        <v>0</v>
      </c>
      <c r="AZ73" s="409">
        <v>0</v>
      </c>
      <c r="BA73" s="409"/>
      <c r="BB73" s="409">
        <v>0</v>
      </c>
      <c r="BC73" s="409">
        <v>0</v>
      </c>
      <c r="BD73" s="409">
        <v>0</v>
      </c>
      <c r="BE73" s="409">
        <v>0</v>
      </c>
      <c r="BF73" s="409">
        <v>0</v>
      </c>
      <c r="BG73" s="409">
        <v>0.58901070730535965</v>
      </c>
      <c r="BH73" s="409">
        <v>0</v>
      </c>
      <c r="BI73" s="409">
        <v>0</v>
      </c>
      <c r="BJ73" s="409">
        <v>0</v>
      </c>
      <c r="BK73" s="409">
        <v>0</v>
      </c>
      <c r="BL73" s="409">
        <v>0</v>
      </c>
      <c r="BM73" s="409"/>
      <c r="BN73" s="409"/>
      <c r="BO73" s="409"/>
      <c r="BP73" s="409"/>
      <c r="BQ73" s="409"/>
      <c r="BR73" s="409"/>
      <c r="BS73" s="409"/>
      <c r="BT73" s="409"/>
      <c r="BU73" s="409"/>
      <c r="BV73" s="409">
        <v>96.945230118096291</v>
      </c>
      <c r="BW73" s="409"/>
      <c r="BX73" s="409"/>
      <c r="BY73" s="409"/>
      <c r="BZ73" s="409"/>
      <c r="CA73" s="409"/>
      <c r="CB73" s="409"/>
      <c r="CC73" s="409"/>
      <c r="CD73" s="409"/>
      <c r="CE73" s="409"/>
      <c r="CF73" s="409"/>
      <c r="CG73" s="409"/>
      <c r="CH73" s="409"/>
      <c r="CI73" s="409">
        <v>683.29449999999997</v>
      </c>
      <c r="CJ73" s="409">
        <v>-66.71374000000003</v>
      </c>
      <c r="CK73" s="409"/>
      <c r="CL73" s="409"/>
      <c r="CM73" s="409"/>
      <c r="CN73" s="409"/>
      <c r="CO73" s="409">
        <v>-67.355200000000039</v>
      </c>
      <c r="CP73" s="409">
        <v>4.5759999999999996</v>
      </c>
      <c r="CQ73" s="409">
        <v>31</v>
      </c>
      <c r="CR73" s="409">
        <v>10.094717737322981</v>
      </c>
      <c r="CS73" s="409">
        <v>0</v>
      </c>
      <c r="CT73" s="409">
        <v>0</v>
      </c>
      <c r="CU73" s="409">
        <v>0</v>
      </c>
      <c r="CV73" s="409">
        <v>0</v>
      </c>
      <c r="CW73" s="409">
        <v>0</v>
      </c>
      <c r="CX73" s="409">
        <v>0</v>
      </c>
      <c r="CY73" s="409">
        <v>0</v>
      </c>
      <c r="CZ73" s="409">
        <v>5.9134542037253652</v>
      </c>
      <c r="DA73" s="409">
        <v>0</v>
      </c>
      <c r="DB73" s="409">
        <v>0</v>
      </c>
      <c r="DC73" s="409">
        <v>5.1906826050076944</v>
      </c>
      <c r="DD73" s="409">
        <v>0</v>
      </c>
      <c r="DE73" s="409">
        <v>0</v>
      </c>
      <c r="DF73" s="409">
        <v>0</v>
      </c>
      <c r="DG73" s="409">
        <v>3.1729842155172494E-2</v>
      </c>
      <c r="DH73" s="409">
        <v>0</v>
      </c>
      <c r="DI73" s="409">
        <v>-1.1785162594914738</v>
      </c>
      <c r="DJ73" s="409"/>
      <c r="DK73" s="409">
        <v>0</v>
      </c>
      <c r="DL73" s="409">
        <v>0</v>
      </c>
      <c r="DM73" s="409">
        <v>0</v>
      </c>
      <c r="DN73" s="409">
        <v>0</v>
      </c>
      <c r="DO73" s="409">
        <v>-0.17231527794911949</v>
      </c>
      <c r="DP73" s="409">
        <v>-2.0161129902088737E-2</v>
      </c>
      <c r="DQ73" s="409">
        <v>0</v>
      </c>
      <c r="DR73" s="409">
        <v>0.32984375377749675</v>
      </c>
      <c r="DS73" s="409"/>
      <c r="DT73" s="409"/>
      <c r="DU73" s="409"/>
      <c r="DV73" s="409">
        <v>458.43829537809245</v>
      </c>
      <c r="DW73" s="409">
        <v>0</v>
      </c>
      <c r="DX73" s="409">
        <v>0</v>
      </c>
      <c r="DY73" s="409">
        <v>-67.355200000000082</v>
      </c>
      <c r="DZ73" s="409">
        <v>4.5760000000000076</v>
      </c>
      <c r="EA73" s="409">
        <v>0</v>
      </c>
      <c r="EB73" s="409">
        <v>0</v>
      </c>
      <c r="EC73" s="409">
        <v>-72.870133984042582</v>
      </c>
      <c r="ED73" s="409">
        <v>0</v>
      </c>
      <c r="EE73" s="409">
        <v>0</v>
      </c>
      <c r="EF73" s="409">
        <v>0</v>
      </c>
      <c r="EG73" s="409">
        <v>0</v>
      </c>
      <c r="EH73" s="409">
        <v>0</v>
      </c>
      <c r="EI73" s="409">
        <v>0</v>
      </c>
      <c r="EJ73" s="409">
        <v>0</v>
      </c>
      <c r="EK73" s="409">
        <v>0</v>
      </c>
      <c r="EL73" s="409">
        <v>0</v>
      </c>
      <c r="EM73" s="409">
        <v>0</v>
      </c>
      <c r="EN73" s="409">
        <v>0</v>
      </c>
      <c r="EO73" s="409">
        <v>0</v>
      </c>
      <c r="EP73" s="409">
        <v>0</v>
      </c>
      <c r="EQ73" s="409">
        <v>0</v>
      </c>
      <c r="ER73" s="409">
        <v>0</v>
      </c>
      <c r="ES73" s="409">
        <v>0</v>
      </c>
      <c r="ET73" s="409">
        <v>0</v>
      </c>
      <c r="EU73" s="409">
        <v>0</v>
      </c>
      <c r="EV73" s="409">
        <v>210</v>
      </c>
      <c r="EW73" s="409">
        <v>0</v>
      </c>
      <c r="EX73" s="409">
        <v>0</v>
      </c>
      <c r="EY73" s="409">
        <v>0</v>
      </c>
      <c r="EZ73" s="409"/>
      <c r="FA73" s="409">
        <v>0</v>
      </c>
      <c r="FB73" s="409"/>
      <c r="FC73" s="409"/>
      <c r="FD73" s="409"/>
      <c r="FE73" s="409"/>
      <c r="FF73" s="409">
        <v>0</v>
      </c>
      <c r="FG73" s="409">
        <v>0</v>
      </c>
      <c r="FH73" s="409">
        <v>0</v>
      </c>
      <c r="FI73" s="409">
        <v>0</v>
      </c>
    </row>
    <row r="74" spans="1:165" customFormat="1">
      <c r="A74" s="409">
        <v>72</v>
      </c>
      <c r="B74" s="409" t="s">
        <v>1035</v>
      </c>
      <c r="C74" s="409" t="s">
        <v>2246</v>
      </c>
      <c r="D74" s="409" t="s">
        <v>595</v>
      </c>
      <c r="E74" s="409" t="s">
        <v>997</v>
      </c>
      <c r="F74" s="409" t="s">
        <v>1323</v>
      </c>
      <c r="G74" s="409" t="s">
        <v>1323</v>
      </c>
      <c r="H74" s="409" t="s">
        <v>1323</v>
      </c>
      <c r="I74" s="409" t="s">
        <v>2234</v>
      </c>
      <c r="J74" s="409" t="s">
        <v>2242</v>
      </c>
      <c r="K74" s="838">
        <v>44378</v>
      </c>
      <c r="L74" s="409">
        <v>0</v>
      </c>
      <c r="M74" s="409">
        <v>0</v>
      </c>
      <c r="N74" s="409">
        <v>24.89</v>
      </c>
      <c r="O74" s="409">
        <v>24.89</v>
      </c>
      <c r="P74" s="409">
        <v>24.89</v>
      </c>
      <c r="Q74" s="409">
        <v>24.89</v>
      </c>
      <c r="R74" s="409"/>
      <c r="S74" s="409">
        <v>64.400000000000006</v>
      </c>
      <c r="T74" s="409">
        <v>273.74</v>
      </c>
      <c r="U74" s="409"/>
      <c r="V74" s="409">
        <v>8416.3045999999995</v>
      </c>
      <c r="W74" s="409">
        <v>8416.3045999999995</v>
      </c>
      <c r="X74" s="409">
        <v>8647.5327000000016</v>
      </c>
      <c r="Y74" s="409">
        <v>0</v>
      </c>
      <c r="Z74" s="409">
        <v>1307.3656338682724</v>
      </c>
      <c r="AA74" s="409">
        <v>0</v>
      </c>
      <c r="AB74" s="409">
        <v>0</v>
      </c>
      <c r="AC74" s="409">
        <v>0</v>
      </c>
      <c r="AD74" s="409">
        <v>0</v>
      </c>
      <c r="AE74" s="409">
        <v>0</v>
      </c>
      <c r="AF74" s="409">
        <v>6813.3701736778021</v>
      </c>
      <c r="AG74" s="409">
        <v>0</v>
      </c>
      <c r="AH74" s="409">
        <v>0</v>
      </c>
      <c r="AI74" s="409">
        <v>0</v>
      </c>
      <c r="AJ74" s="409">
        <v>0</v>
      </c>
      <c r="AK74" s="409">
        <v>0</v>
      </c>
      <c r="AL74" s="409">
        <v>232.3867006625085</v>
      </c>
      <c r="AM74" s="409"/>
      <c r="AN74" s="409">
        <v>21.606708084065591</v>
      </c>
      <c r="AO74" s="409">
        <v>0</v>
      </c>
      <c r="AP74" s="409">
        <v>0</v>
      </c>
      <c r="AQ74" s="409">
        <v>0</v>
      </c>
      <c r="AR74" s="409">
        <v>0</v>
      </c>
      <c r="AS74" s="409">
        <v>0</v>
      </c>
      <c r="AT74" s="409">
        <v>0</v>
      </c>
      <c r="AU74" s="409">
        <v>0</v>
      </c>
      <c r="AV74" s="409">
        <v>0</v>
      </c>
      <c r="AW74" s="409">
        <v>0</v>
      </c>
      <c r="AX74" s="409">
        <v>0</v>
      </c>
      <c r="AY74" s="409">
        <v>0</v>
      </c>
      <c r="AZ74" s="409">
        <v>0</v>
      </c>
      <c r="BA74" s="409"/>
      <c r="BB74" s="409">
        <v>0</v>
      </c>
      <c r="BC74" s="409">
        <v>0</v>
      </c>
      <c r="BD74" s="409">
        <v>0</v>
      </c>
      <c r="BE74" s="409">
        <v>0</v>
      </c>
      <c r="BF74" s="409">
        <v>0</v>
      </c>
      <c r="BG74" s="409">
        <v>41.649080979631826</v>
      </c>
      <c r="BH74" s="409">
        <v>0</v>
      </c>
      <c r="BI74" s="409">
        <v>0</v>
      </c>
      <c r="BJ74" s="409">
        <v>0</v>
      </c>
      <c r="BK74" s="409">
        <v>0</v>
      </c>
      <c r="BL74" s="409">
        <v>0</v>
      </c>
      <c r="BM74" s="409"/>
      <c r="BN74" s="409"/>
      <c r="BO74" s="409"/>
      <c r="BP74" s="409"/>
      <c r="BQ74" s="409"/>
      <c r="BR74" s="409"/>
      <c r="BS74" s="409"/>
      <c r="BT74" s="409"/>
      <c r="BU74" s="409"/>
      <c r="BV74" s="409">
        <v>6855.0192546574335</v>
      </c>
      <c r="BW74" s="409"/>
      <c r="BX74" s="409"/>
      <c r="BY74" s="409"/>
      <c r="BZ74" s="409"/>
      <c r="CA74" s="409"/>
      <c r="CB74" s="409"/>
      <c r="CC74" s="409"/>
      <c r="CD74" s="409"/>
      <c r="CE74" s="409"/>
      <c r="CF74" s="409"/>
      <c r="CG74" s="409"/>
      <c r="CH74" s="409"/>
      <c r="CI74" s="409">
        <v>8647.5327000000016</v>
      </c>
      <c r="CJ74" s="409">
        <v>231.19810000000143</v>
      </c>
      <c r="CK74" s="409"/>
      <c r="CL74" s="409"/>
      <c r="CM74" s="409"/>
      <c r="CN74" s="409"/>
      <c r="CO74" s="409">
        <v>-92.341900000000194</v>
      </c>
      <c r="CP74" s="409">
        <v>323.57</v>
      </c>
      <c r="CQ74" s="409">
        <v>31</v>
      </c>
      <c r="CR74" s="409">
        <v>231.26605349977217</v>
      </c>
      <c r="CS74" s="409">
        <v>0</v>
      </c>
      <c r="CT74" s="409">
        <v>0</v>
      </c>
      <c r="CU74" s="409">
        <v>0</v>
      </c>
      <c r="CV74" s="409">
        <v>0</v>
      </c>
      <c r="CW74" s="409">
        <v>0</v>
      </c>
      <c r="CX74" s="409">
        <v>0</v>
      </c>
      <c r="CY74" s="409">
        <v>0</v>
      </c>
      <c r="CZ74" s="409">
        <v>0</v>
      </c>
      <c r="DA74" s="409">
        <v>0</v>
      </c>
      <c r="DB74" s="409">
        <v>0</v>
      </c>
      <c r="DC74" s="409">
        <v>367.034346700686</v>
      </c>
      <c r="DD74" s="409">
        <v>0</v>
      </c>
      <c r="DE74" s="409">
        <v>0</v>
      </c>
      <c r="DF74" s="409">
        <v>0</v>
      </c>
      <c r="DG74" s="409">
        <v>2.2436243501200082</v>
      </c>
      <c r="DH74" s="409">
        <v>0</v>
      </c>
      <c r="DI74" s="409">
        <v>-83.333152553246464</v>
      </c>
      <c r="DJ74" s="409"/>
      <c r="DK74" s="409">
        <v>0</v>
      </c>
      <c r="DL74" s="409">
        <v>0</v>
      </c>
      <c r="DM74" s="409">
        <v>0</v>
      </c>
      <c r="DN74" s="409">
        <v>0</v>
      </c>
      <c r="DO74" s="409">
        <v>-12.184452466345419</v>
      </c>
      <c r="DP74" s="409">
        <v>-1.4255980774516743</v>
      </c>
      <c r="DQ74" s="409">
        <v>0</v>
      </c>
      <c r="DR74" s="409">
        <v>-41.06871445398891</v>
      </c>
      <c r="DS74" s="409"/>
      <c r="DT74" s="409"/>
      <c r="DU74" s="409"/>
      <c r="DV74" s="409">
        <v>0</v>
      </c>
      <c r="DW74" s="409">
        <v>0</v>
      </c>
      <c r="DX74" s="409">
        <v>0</v>
      </c>
      <c r="DY74" s="409">
        <v>-92.341900000000123</v>
      </c>
      <c r="DZ74" s="409">
        <v>323.57000000000062</v>
      </c>
      <c r="EA74" s="409">
        <v>0</v>
      </c>
      <c r="EB74" s="409">
        <v>0</v>
      </c>
      <c r="EC74" s="409">
        <v>0</v>
      </c>
      <c r="ED74" s="409">
        <v>0</v>
      </c>
      <c r="EE74" s="409">
        <v>0</v>
      </c>
      <c r="EF74" s="409">
        <v>0</v>
      </c>
      <c r="EG74" s="409">
        <v>0</v>
      </c>
      <c r="EH74" s="409">
        <v>0</v>
      </c>
      <c r="EI74" s="409">
        <v>0</v>
      </c>
      <c r="EJ74" s="409">
        <v>0</v>
      </c>
      <c r="EK74" s="409">
        <v>0</v>
      </c>
      <c r="EL74" s="409">
        <v>0</v>
      </c>
      <c r="EM74" s="409">
        <v>0</v>
      </c>
      <c r="EN74" s="409">
        <v>0</v>
      </c>
      <c r="EO74" s="409">
        <v>0</v>
      </c>
      <c r="EP74" s="409">
        <v>0</v>
      </c>
      <c r="EQ74" s="409">
        <v>0</v>
      </c>
      <c r="ER74" s="409">
        <v>0</v>
      </c>
      <c r="ES74" s="409">
        <v>0</v>
      </c>
      <c r="ET74" s="409">
        <v>0</v>
      </c>
      <c r="EU74" s="409">
        <v>0</v>
      </c>
      <c r="EV74" s="409">
        <v>210</v>
      </c>
      <c r="EW74" s="409">
        <v>0</v>
      </c>
      <c r="EX74" s="409">
        <v>0</v>
      </c>
      <c r="EY74" s="409">
        <v>0</v>
      </c>
      <c r="EZ74" s="409"/>
      <c r="FA74" s="409">
        <v>0</v>
      </c>
      <c r="FB74" s="409"/>
      <c r="FC74" s="409"/>
      <c r="FD74" s="409"/>
      <c r="FE74" s="409"/>
      <c r="FF74" s="409">
        <v>0</v>
      </c>
      <c r="FG74" s="409">
        <v>0</v>
      </c>
      <c r="FH74" s="409">
        <v>0</v>
      </c>
      <c r="FI74" s="409">
        <v>0</v>
      </c>
    </row>
    <row r="75" spans="1:165" customFormat="1">
      <c r="A75" s="409">
        <v>73</v>
      </c>
      <c r="B75" s="409" t="s">
        <v>1035</v>
      </c>
      <c r="C75" s="409" t="s">
        <v>2246</v>
      </c>
      <c r="D75" s="409" t="s">
        <v>595</v>
      </c>
      <c r="E75" s="409" t="s">
        <v>997</v>
      </c>
      <c r="F75" s="409" t="s">
        <v>1323</v>
      </c>
      <c r="G75" s="409" t="s">
        <v>1323</v>
      </c>
      <c r="H75" s="409" t="s">
        <v>1323</v>
      </c>
      <c r="I75" s="409" t="s">
        <v>1323</v>
      </c>
      <c r="J75" s="409" t="s">
        <v>2242</v>
      </c>
      <c r="K75" s="838">
        <v>44378</v>
      </c>
      <c r="L75" s="409">
        <v>215</v>
      </c>
      <c r="M75" s="409">
        <v>215</v>
      </c>
      <c r="N75" s="409">
        <v>0</v>
      </c>
      <c r="O75" s="409">
        <v>0</v>
      </c>
      <c r="P75" s="409">
        <v>0</v>
      </c>
      <c r="Q75" s="409">
        <v>0</v>
      </c>
      <c r="R75" s="409">
        <v>33.6</v>
      </c>
      <c r="S75" s="409"/>
      <c r="T75" s="409"/>
      <c r="U75" s="409">
        <v>7224</v>
      </c>
      <c r="V75" s="409"/>
      <c r="W75" s="409">
        <v>7224</v>
      </c>
      <c r="X75" s="409">
        <v>6828.4000000000005</v>
      </c>
      <c r="Y75" s="409">
        <v>0</v>
      </c>
      <c r="Z75" s="409">
        <v>0</v>
      </c>
      <c r="AA75" s="409">
        <v>0</v>
      </c>
      <c r="AB75" s="409">
        <v>0</v>
      </c>
      <c r="AC75" s="409">
        <v>0</v>
      </c>
      <c r="AD75" s="409">
        <v>3836.7856979005833</v>
      </c>
      <c r="AE75" s="409">
        <v>3387.3572528023742</v>
      </c>
      <c r="AF75" s="409"/>
      <c r="AG75" s="409"/>
      <c r="AH75" s="409"/>
      <c r="AI75" s="409">
        <v>0</v>
      </c>
      <c r="AJ75" s="409">
        <v>0</v>
      </c>
      <c r="AK75" s="409">
        <v>0</v>
      </c>
      <c r="AL75" s="409">
        <v>0</v>
      </c>
      <c r="AM75" s="409"/>
      <c r="AN75" s="409">
        <v>0</v>
      </c>
      <c r="AO75" s="409">
        <v>0</v>
      </c>
      <c r="AP75" s="409">
        <v>0</v>
      </c>
      <c r="AQ75" s="409">
        <v>0</v>
      </c>
      <c r="AR75" s="409">
        <v>0</v>
      </c>
      <c r="AS75" s="409"/>
      <c r="AT75" s="409"/>
      <c r="AU75" s="409">
        <v>0</v>
      </c>
      <c r="AV75" s="409">
        <v>0</v>
      </c>
      <c r="AW75" s="409">
        <v>0</v>
      </c>
      <c r="AX75" s="409"/>
      <c r="AY75" s="409"/>
      <c r="AZ75" s="409">
        <v>0</v>
      </c>
      <c r="BA75" s="409"/>
      <c r="BB75" s="409">
        <v>0</v>
      </c>
      <c r="BC75" s="409">
        <v>0</v>
      </c>
      <c r="BD75" s="409">
        <v>0</v>
      </c>
      <c r="BE75" s="409">
        <v>0</v>
      </c>
      <c r="BF75" s="409"/>
      <c r="BG75" s="409">
        <v>0</v>
      </c>
      <c r="BH75" s="409">
        <v>0</v>
      </c>
      <c r="BI75" s="409">
        <v>145.53</v>
      </c>
      <c r="BJ75" s="409">
        <v>671.73</v>
      </c>
      <c r="BK75" s="409">
        <v>3834.52</v>
      </c>
      <c r="BL75" s="409">
        <v>2</v>
      </c>
      <c r="BM75" s="409"/>
      <c r="BN75" s="409"/>
      <c r="BO75" s="409"/>
      <c r="BP75" s="409"/>
      <c r="BQ75" s="409"/>
      <c r="BR75" s="409"/>
      <c r="BS75" s="409"/>
      <c r="BT75" s="409"/>
      <c r="BU75" s="409"/>
      <c r="BV75" s="409">
        <v>0</v>
      </c>
      <c r="BW75" s="409"/>
      <c r="BX75" s="409"/>
      <c r="BY75" s="409"/>
      <c r="BZ75" s="409"/>
      <c r="CA75" s="409"/>
      <c r="CB75" s="409"/>
      <c r="CC75" s="409"/>
      <c r="CD75" s="409"/>
      <c r="CE75" s="409"/>
      <c r="CF75" s="409"/>
      <c r="CG75" s="409"/>
      <c r="CH75" s="409"/>
      <c r="CI75" s="409">
        <v>6828.4000000000005</v>
      </c>
      <c r="CJ75" s="409">
        <v>-395.63000000000011</v>
      </c>
      <c r="CK75" s="409"/>
      <c r="CL75" s="409"/>
      <c r="CM75" s="409"/>
      <c r="CN75" s="409"/>
      <c r="CO75" s="409">
        <v>-395.59999999999997</v>
      </c>
      <c r="CP75" s="409">
        <v>0</v>
      </c>
      <c r="CQ75" s="409">
        <v>31</v>
      </c>
      <c r="CR75" s="409">
        <v>141.94559312118008</v>
      </c>
      <c r="CS75" s="409">
        <v>0</v>
      </c>
      <c r="CT75" s="409">
        <v>0</v>
      </c>
      <c r="CU75" s="409">
        <v>0</v>
      </c>
      <c r="CV75" s="409">
        <v>0</v>
      </c>
      <c r="CW75" s="409"/>
      <c r="CX75" s="409"/>
      <c r="CY75" s="409"/>
      <c r="CZ75" s="409">
        <v>131.51903641109539</v>
      </c>
      <c r="DA75" s="409">
        <v>0</v>
      </c>
      <c r="DB75" s="409">
        <v>0</v>
      </c>
      <c r="DC75" s="409"/>
      <c r="DD75" s="409"/>
      <c r="DE75" s="409">
        <v>0</v>
      </c>
      <c r="DF75" s="409">
        <v>0</v>
      </c>
      <c r="DG75" s="409">
        <v>0</v>
      </c>
      <c r="DH75" s="409">
        <v>0</v>
      </c>
      <c r="DI75" s="409">
        <v>0</v>
      </c>
      <c r="DJ75" s="409"/>
      <c r="DK75" s="409">
        <v>0</v>
      </c>
      <c r="DL75" s="409">
        <v>0</v>
      </c>
      <c r="DM75" s="409"/>
      <c r="DN75" s="409">
        <v>0</v>
      </c>
      <c r="DO75" s="409">
        <v>0</v>
      </c>
      <c r="DP75" s="409">
        <v>0</v>
      </c>
      <c r="DQ75" s="409">
        <v>0</v>
      </c>
      <c r="DR75" s="409">
        <v>10.426556710084611</v>
      </c>
      <c r="DS75" s="409"/>
      <c r="DT75" s="409"/>
      <c r="DU75" s="409">
        <v>3387.3572528023742</v>
      </c>
      <c r="DV75" s="409"/>
      <c r="DW75" s="409">
        <v>0</v>
      </c>
      <c r="DX75" s="409">
        <v>0</v>
      </c>
      <c r="DY75" s="409">
        <v>-395.59999999999945</v>
      </c>
      <c r="DZ75" s="409"/>
      <c r="EA75" s="409">
        <v>0</v>
      </c>
      <c r="EB75" s="409"/>
      <c r="EC75" s="409">
        <v>-538.43053547688214</v>
      </c>
      <c r="ED75" s="409"/>
      <c r="EE75" s="409">
        <v>0</v>
      </c>
      <c r="EF75" s="409">
        <v>0</v>
      </c>
      <c r="EG75" s="409"/>
      <c r="EH75" s="409">
        <v>0</v>
      </c>
      <c r="EI75" s="409">
        <v>0</v>
      </c>
      <c r="EJ75" s="409">
        <v>0</v>
      </c>
      <c r="EK75" s="409">
        <v>0</v>
      </c>
      <c r="EL75" s="409">
        <v>0</v>
      </c>
      <c r="EM75" s="409"/>
      <c r="EN75" s="409"/>
      <c r="EO75" s="409">
        <v>0</v>
      </c>
      <c r="EP75" s="409">
        <v>0</v>
      </c>
      <c r="EQ75" s="409"/>
      <c r="ER75" s="409">
        <v>0</v>
      </c>
      <c r="ES75" s="409"/>
      <c r="ET75" s="409">
        <v>0</v>
      </c>
      <c r="EU75" s="409"/>
      <c r="EV75" s="409">
        <v>210</v>
      </c>
      <c r="EW75" s="409"/>
      <c r="EX75" s="409"/>
      <c r="EY75" s="409"/>
      <c r="EZ75" s="409"/>
      <c r="FA75" s="409">
        <v>0</v>
      </c>
      <c r="FB75" s="409"/>
      <c r="FC75" s="409"/>
      <c r="FD75" s="409"/>
      <c r="FE75" s="409"/>
      <c r="FF75" s="409">
        <v>0</v>
      </c>
      <c r="FG75" s="409">
        <v>0</v>
      </c>
      <c r="FH75" s="409">
        <v>0</v>
      </c>
      <c r="FI75" s="409">
        <v>0</v>
      </c>
    </row>
    <row r="76" spans="1:165" customFormat="1">
      <c r="A76" s="409">
        <v>74</v>
      </c>
      <c r="B76" s="409" t="s">
        <v>1035</v>
      </c>
      <c r="C76" s="409" t="s">
        <v>2241</v>
      </c>
      <c r="D76" s="409" t="s">
        <v>2247</v>
      </c>
      <c r="E76" s="409" t="s">
        <v>973</v>
      </c>
      <c r="F76" s="409" t="s">
        <v>1323</v>
      </c>
      <c r="G76" s="409" t="s">
        <v>1323</v>
      </c>
      <c r="H76" s="409" t="s">
        <v>1323</v>
      </c>
      <c r="I76" s="409" t="s">
        <v>1323</v>
      </c>
      <c r="J76" s="409" t="s">
        <v>2242</v>
      </c>
      <c r="K76" s="838">
        <v>44378</v>
      </c>
      <c r="L76" s="409">
        <v>0</v>
      </c>
      <c r="M76" s="409">
        <v>0</v>
      </c>
      <c r="N76" s="409">
        <v>380.05799999999999</v>
      </c>
      <c r="O76" s="409">
        <v>380.05799999999999</v>
      </c>
      <c r="P76" s="409">
        <v>380.05799999999999</v>
      </c>
      <c r="Q76" s="409">
        <v>380.05799999999999</v>
      </c>
      <c r="R76" s="409"/>
      <c r="S76" s="409">
        <v>358.62</v>
      </c>
      <c r="T76" s="409">
        <v>273.74</v>
      </c>
      <c r="U76" s="409"/>
      <c r="V76" s="409">
        <v>240333.47688000003</v>
      </c>
      <c r="W76" s="409">
        <v>240333.47688000003</v>
      </c>
      <c r="X76" s="409">
        <v>233028.76212</v>
      </c>
      <c r="Y76" s="409">
        <v>0</v>
      </c>
      <c r="Z76" s="409">
        <v>22945.77834779735</v>
      </c>
      <c r="AA76" s="409">
        <v>0</v>
      </c>
      <c r="AB76" s="409">
        <v>0</v>
      </c>
      <c r="AC76" s="409">
        <v>0</v>
      </c>
      <c r="AD76" s="409">
        <v>32718.629859491819</v>
      </c>
      <c r="AE76" s="409">
        <v>75281.581569724774</v>
      </c>
      <c r="AF76" s="409">
        <v>104036.79555916585</v>
      </c>
      <c r="AG76" s="409">
        <v>0</v>
      </c>
      <c r="AH76" s="409">
        <v>0</v>
      </c>
      <c r="AI76" s="409">
        <v>0</v>
      </c>
      <c r="AJ76" s="409">
        <v>0</v>
      </c>
      <c r="AK76" s="409">
        <v>0</v>
      </c>
      <c r="AL76" s="409">
        <v>3548.4300795657555</v>
      </c>
      <c r="AM76" s="409"/>
      <c r="AN76" s="409">
        <v>404.79649634059331</v>
      </c>
      <c r="AO76" s="409">
        <v>0</v>
      </c>
      <c r="AP76" s="409">
        <v>0</v>
      </c>
      <c r="AQ76" s="409">
        <v>0</v>
      </c>
      <c r="AR76" s="409">
        <v>0</v>
      </c>
      <c r="AS76" s="409">
        <v>0</v>
      </c>
      <c r="AT76" s="409">
        <v>0</v>
      </c>
      <c r="AU76" s="409">
        <v>0</v>
      </c>
      <c r="AV76" s="409">
        <v>0</v>
      </c>
      <c r="AW76" s="409">
        <v>0</v>
      </c>
      <c r="AX76" s="409">
        <v>0</v>
      </c>
      <c r="AY76" s="409">
        <v>0</v>
      </c>
      <c r="AZ76" s="409">
        <v>0</v>
      </c>
      <c r="BA76" s="409"/>
      <c r="BB76" s="409">
        <v>0</v>
      </c>
      <c r="BC76" s="409">
        <v>0</v>
      </c>
      <c r="BD76" s="409">
        <v>0</v>
      </c>
      <c r="BE76" s="409">
        <v>0</v>
      </c>
      <c r="BF76" s="409">
        <v>0</v>
      </c>
      <c r="BG76" s="409">
        <v>1398.0153192050698</v>
      </c>
      <c r="BH76" s="409">
        <v>0</v>
      </c>
      <c r="BI76" s="409">
        <v>650.84</v>
      </c>
      <c r="BJ76" s="409">
        <v>3015.54</v>
      </c>
      <c r="BK76" s="409">
        <v>13721.31</v>
      </c>
      <c r="BL76" s="409">
        <v>1025</v>
      </c>
      <c r="BM76" s="409"/>
      <c r="BN76" s="409"/>
      <c r="BO76" s="409"/>
      <c r="BP76" s="409"/>
      <c r="BQ76" s="409"/>
      <c r="BR76" s="409">
        <v>32624.178719999996</v>
      </c>
      <c r="BS76" s="409"/>
      <c r="BT76" s="409"/>
      <c r="BU76" s="409"/>
      <c r="BV76" s="409">
        <v>105434.81087837092</v>
      </c>
      <c r="BW76" s="409"/>
      <c r="BX76" s="409"/>
      <c r="BY76" s="409"/>
      <c r="BZ76" s="409"/>
      <c r="CA76" s="409"/>
      <c r="CB76" s="409"/>
      <c r="CC76" s="409"/>
      <c r="CD76" s="409"/>
      <c r="CE76" s="409"/>
      <c r="CF76" s="409"/>
      <c r="CG76" s="409"/>
      <c r="CH76" s="409"/>
      <c r="CI76" s="409">
        <v>200405.63799999998</v>
      </c>
      <c r="CJ76" s="409">
        <v>-6285.1347200000309</v>
      </c>
      <c r="CK76" s="409"/>
      <c r="CL76" s="409"/>
      <c r="CM76" s="409"/>
      <c r="CN76" s="409"/>
      <c r="CO76" s="409">
        <v>-12245.468760000011</v>
      </c>
      <c r="CP76" s="409">
        <v>4940.7539999999999</v>
      </c>
      <c r="CQ76" s="409">
        <v>31</v>
      </c>
      <c r="CR76" s="409">
        <v>4660.2256777332805</v>
      </c>
      <c r="CS76" s="409">
        <v>0</v>
      </c>
      <c r="CT76" s="409">
        <v>0</v>
      </c>
      <c r="CU76" s="409">
        <v>0</v>
      </c>
      <c r="CV76" s="409">
        <v>0</v>
      </c>
      <c r="CW76" s="409">
        <v>0</v>
      </c>
      <c r="CX76" s="409">
        <v>0</v>
      </c>
      <c r="CY76" s="409">
        <v>0</v>
      </c>
      <c r="CZ76" s="409">
        <v>1121.5436593622799</v>
      </c>
      <c r="DA76" s="409">
        <v>0</v>
      </c>
      <c r="DB76" s="409">
        <v>0</v>
      </c>
      <c r="DC76" s="409">
        <v>5604.4330951534357</v>
      </c>
      <c r="DD76" s="409">
        <v>0</v>
      </c>
      <c r="DE76" s="409">
        <v>0</v>
      </c>
      <c r="DF76" s="409">
        <v>0</v>
      </c>
      <c r="DG76" s="409">
        <v>75.310694455490648</v>
      </c>
      <c r="DH76" s="409">
        <v>0</v>
      </c>
      <c r="DI76" s="409">
        <v>-1462.5931705518924</v>
      </c>
      <c r="DJ76" s="409"/>
      <c r="DK76" s="409">
        <v>0</v>
      </c>
      <c r="DL76" s="409">
        <v>0</v>
      </c>
      <c r="DM76" s="409">
        <v>0</v>
      </c>
      <c r="DN76" s="409">
        <v>0</v>
      </c>
      <c r="DO76" s="409">
        <v>-186.0505679170069</v>
      </c>
      <c r="DP76" s="409">
        <v>-26.708238233102975</v>
      </c>
      <c r="DQ76" s="409">
        <v>0</v>
      </c>
      <c r="DR76" s="409">
        <v>-465.70979453594111</v>
      </c>
      <c r="DS76" s="409"/>
      <c r="DT76" s="409"/>
      <c r="DU76" s="409"/>
      <c r="DV76" s="409">
        <v>75281.581569724774</v>
      </c>
      <c r="DW76" s="409">
        <v>0</v>
      </c>
      <c r="DX76" s="409">
        <v>0</v>
      </c>
      <c r="DY76" s="409">
        <v>-12245.468760000018</v>
      </c>
      <c r="DZ76" s="409">
        <v>4940.7540000000008</v>
      </c>
      <c r="EA76" s="409">
        <v>0</v>
      </c>
      <c r="EB76" s="409">
        <v>0</v>
      </c>
      <c r="EC76" s="409">
        <v>-11966.231858951483</v>
      </c>
      <c r="ED76" s="409">
        <v>0</v>
      </c>
      <c r="EE76" s="409">
        <v>0</v>
      </c>
      <c r="EF76" s="409">
        <v>0</v>
      </c>
      <c r="EG76" s="409">
        <v>0</v>
      </c>
      <c r="EH76" s="409">
        <v>0</v>
      </c>
      <c r="EI76" s="409">
        <v>0</v>
      </c>
      <c r="EJ76" s="409">
        <v>0</v>
      </c>
      <c r="EK76" s="409">
        <v>0</v>
      </c>
      <c r="EL76" s="409">
        <v>0</v>
      </c>
      <c r="EM76" s="409">
        <v>0</v>
      </c>
      <c r="EN76" s="409">
        <v>0</v>
      </c>
      <c r="EO76" s="409">
        <v>0</v>
      </c>
      <c r="EP76" s="409">
        <v>0</v>
      </c>
      <c r="EQ76" s="409">
        <v>0</v>
      </c>
      <c r="ER76" s="409">
        <v>0</v>
      </c>
      <c r="ES76" s="409">
        <v>0</v>
      </c>
      <c r="ET76" s="409">
        <v>0</v>
      </c>
      <c r="EU76" s="409">
        <v>0</v>
      </c>
      <c r="EV76" s="409">
        <v>210</v>
      </c>
      <c r="EW76" s="409">
        <v>0</v>
      </c>
      <c r="EX76" s="409">
        <v>0</v>
      </c>
      <c r="EY76" s="409">
        <v>0</v>
      </c>
      <c r="EZ76" s="409"/>
      <c r="FA76" s="409">
        <v>0</v>
      </c>
      <c r="FB76" s="409"/>
      <c r="FC76" s="409"/>
      <c r="FD76" s="409"/>
      <c r="FE76" s="409"/>
      <c r="FF76" s="409">
        <v>0</v>
      </c>
      <c r="FG76" s="409">
        <v>0</v>
      </c>
      <c r="FH76" s="409">
        <v>0</v>
      </c>
      <c r="FI76" s="409">
        <v>0</v>
      </c>
    </row>
    <row r="77" spans="1:165" customFormat="1">
      <c r="A77" s="409">
        <v>75</v>
      </c>
      <c r="B77" s="409" t="s">
        <v>2240</v>
      </c>
      <c r="C77" s="409" t="s">
        <v>2241</v>
      </c>
      <c r="D77" s="409" t="s">
        <v>2247</v>
      </c>
      <c r="E77" s="409" t="s">
        <v>973</v>
      </c>
      <c r="F77" s="409" t="s">
        <v>1323</v>
      </c>
      <c r="G77" s="409" t="s">
        <v>1323</v>
      </c>
      <c r="H77" s="409" t="s">
        <v>1323</v>
      </c>
      <c r="I77" s="409" t="s">
        <v>1323</v>
      </c>
      <c r="J77" s="409" t="s">
        <v>2242</v>
      </c>
      <c r="K77" s="838">
        <v>44378</v>
      </c>
      <c r="L77" s="409">
        <v>0</v>
      </c>
      <c r="M77" s="409">
        <v>0</v>
      </c>
      <c r="N77" s="409">
        <v>1.405</v>
      </c>
      <c r="O77" s="409">
        <v>1.405</v>
      </c>
      <c r="P77" s="409">
        <v>1.405</v>
      </c>
      <c r="Q77" s="409">
        <v>1.405</v>
      </c>
      <c r="R77" s="409"/>
      <c r="S77" s="409">
        <v>358.62</v>
      </c>
      <c r="T77" s="409">
        <v>273.74</v>
      </c>
      <c r="U77" s="409"/>
      <c r="V77" s="409">
        <v>888.46580000000006</v>
      </c>
      <c r="W77" s="409">
        <v>888.46580000000006</v>
      </c>
      <c r="X77" s="409">
        <v>861.46170000000006</v>
      </c>
      <c r="Y77" s="409">
        <v>0</v>
      </c>
      <c r="Z77" s="409">
        <v>84.826049125805213</v>
      </c>
      <c r="AA77" s="409">
        <v>0</v>
      </c>
      <c r="AB77" s="409">
        <v>0</v>
      </c>
      <c r="AC77" s="409">
        <v>0</v>
      </c>
      <c r="AD77" s="409">
        <v>120.95436736652302</v>
      </c>
      <c r="AE77" s="409">
        <v>278.30126482132545</v>
      </c>
      <c r="AF77" s="409">
        <v>384.60365986409448</v>
      </c>
      <c r="AG77" s="409">
        <v>0</v>
      </c>
      <c r="AH77" s="409">
        <v>0</v>
      </c>
      <c r="AI77" s="409">
        <v>0</v>
      </c>
      <c r="AJ77" s="409">
        <v>0</v>
      </c>
      <c r="AK77" s="409">
        <v>0</v>
      </c>
      <c r="AL77" s="409">
        <v>13.117851122170528</v>
      </c>
      <c r="AM77" s="409"/>
      <c r="AN77" s="409">
        <v>1.4964533764807835</v>
      </c>
      <c r="AO77" s="409">
        <v>0</v>
      </c>
      <c r="AP77" s="409">
        <v>0</v>
      </c>
      <c r="AQ77" s="409">
        <v>0</v>
      </c>
      <c r="AR77" s="409">
        <v>0</v>
      </c>
      <c r="AS77" s="409">
        <v>0</v>
      </c>
      <c r="AT77" s="409">
        <v>0</v>
      </c>
      <c r="AU77" s="409">
        <v>0</v>
      </c>
      <c r="AV77" s="409">
        <v>0</v>
      </c>
      <c r="AW77" s="409">
        <v>0</v>
      </c>
      <c r="AX77" s="409">
        <v>0</v>
      </c>
      <c r="AY77" s="409">
        <v>0</v>
      </c>
      <c r="AZ77" s="409">
        <v>0</v>
      </c>
      <c r="BA77" s="409"/>
      <c r="BB77" s="409">
        <v>0</v>
      </c>
      <c r="BC77" s="409">
        <v>0</v>
      </c>
      <c r="BD77" s="409">
        <v>0</v>
      </c>
      <c r="BE77" s="409">
        <v>0</v>
      </c>
      <c r="BF77" s="409">
        <v>0</v>
      </c>
      <c r="BG77" s="409">
        <v>5.1681888645499452</v>
      </c>
      <c r="BH77" s="409">
        <v>0</v>
      </c>
      <c r="BI77" s="409">
        <v>1.34</v>
      </c>
      <c r="BJ77" s="409">
        <v>6.21</v>
      </c>
      <c r="BK77" s="409">
        <v>257.88</v>
      </c>
      <c r="BL77" s="409">
        <v>3</v>
      </c>
      <c r="BM77" s="409"/>
      <c r="BN77" s="409"/>
      <c r="BO77" s="409"/>
      <c r="BP77" s="409"/>
      <c r="BQ77" s="409"/>
      <c r="BR77" s="409">
        <v>120.60520000000001</v>
      </c>
      <c r="BS77" s="409"/>
      <c r="BT77" s="409"/>
      <c r="BU77" s="409"/>
      <c r="BV77" s="409">
        <v>389.77184872864444</v>
      </c>
      <c r="BW77" s="409"/>
      <c r="BX77" s="409"/>
      <c r="BY77" s="409"/>
      <c r="BZ77" s="409"/>
      <c r="CA77" s="409"/>
      <c r="CB77" s="409"/>
      <c r="CC77" s="409"/>
      <c r="CD77" s="409"/>
      <c r="CE77" s="409"/>
      <c r="CF77" s="409"/>
      <c r="CG77" s="409"/>
      <c r="CH77" s="409"/>
      <c r="CI77" s="409">
        <v>743.49299999999994</v>
      </c>
      <c r="CJ77" s="409">
        <v>-20.632200000000012</v>
      </c>
      <c r="CK77" s="409"/>
      <c r="CL77" s="409"/>
      <c r="CM77" s="409"/>
      <c r="CN77" s="409"/>
      <c r="CO77" s="409">
        <v>-45.269100000000037</v>
      </c>
      <c r="CP77" s="409">
        <v>18.265000000000001</v>
      </c>
      <c r="CQ77" s="409">
        <v>31</v>
      </c>
      <c r="CR77" s="409">
        <v>17.227941727881671</v>
      </c>
      <c r="CS77" s="409">
        <v>0</v>
      </c>
      <c r="CT77" s="409">
        <v>0</v>
      </c>
      <c r="CU77" s="409">
        <v>0</v>
      </c>
      <c r="CV77" s="409">
        <v>0</v>
      </c>
      <c r="CW77" s="409">
        <v>0</v>
      </c>
      <c r="CX77" s="409">
        <v>0</v>
      </c>
      <c r="CY77" s="409">
        <v>0</v>
      </c>
      <c r="CZ77" s="409">
        <v>4.1461272790048156</v>
      </c>
      <c r="DA77" s="409">
        <v>0</v>
      </c>
      <c r="DB77" s="409">
        <v>0</v>
      </c>
      <c r="DC77" s="409">
        <v>20.718491647829012</v>
      </c>
      <c r="DD77" s="409">
        <v>0</v>
      </c>
      <c r="DE77" s="409">
        <v>0</v>
      </c>
      <c r="DF77" s="409">
        <v>0</v>
      </c>
      <c r="DG77" s="409">
        <v>0.27840888945888409</v>
      </c>
      <c r="DH77" s="409">
        <v>0</v>
      </c>
      <c r="DI77" s="409">
        <v>-5.4069205348273357</v>
      </c>
      <c r="DJ77" s="409"/>
      <c r="DK77" s="409">
        <v>0</v>
      </c>
      <c r="DL77" s="409">
        <v>0</v>
      </c>
      <c r="DM77" s="409">
        <v>0</v>
      </c>
      <c r="DN77" s="409">
        <v>0</v>
      </c>
      <c r="DO77" s="409">
        <v>-0.68779251567759303</v>
      </c>
      <c r="DP77" s="409">
        <v>-9.8735126526765971E-2</v>
      </c>
      <c r="DQ77" s="409">
        <v>0</v>
      </c>
      <c r="DR77" s="409">
        <v>-1.7216379113793088</v>
      </c>
      <c r="DS77" s="409"/>
      <c r="DT77" s="409"/>
      <c r="DU77" s="409"/>
      <c r="DV77" s="409">
        <v>278.30126482132545</v>
      </c>
      <c r="DW77" s="409">
        <v>0</v>
      </c>
      <c r="DX77" s="409">
        <v>0</v>
      </c>
      <c r="DY77" s="409">
        <v>-45.269100000000037</v>
      </c>
      <c r="DZ77" s="409">
        <v>18.264999999999986</v>
      </c>
      <c r="EA77" s="409">
        <v>0</v>
      </c>
      <c r="EB77" s="409">
        <v>0</v>
      </c>
      <c r="EC77" s="409">
        <v>-44.236815859228926</v>
      </c>
      <c r="ED77" s="409">
        <v>0</v>
      </c>
      <c r="EE77" s="409">
        <v>0</v>
      </c>
      <c r="EF77" s="409">
        <v>0</v>
      </c>
      <c r="EG77" s="409">
        <v>0</v>
      </c>
      <c r="EH77" s="409">
        <v>0</v>
      </c>
      <c r="EI77" s="409">
        <v>0</v>
      </c>
      <c r="EJ77" s="409">
        <v>0</v>
      </c>
      <c r="EK77" s="409">
        <v>0</v>
      </c>
      <c r="EL77" s="409">
        <v>0</v>
      </c>
      <c r="EM77" s="409">
        <v>0</v>
      </c>
      <c r="EN77" s="409">
        <v>0</v>
      </c>
      <c r="EO77" s="409">
        <v>0</v>
      </c>
      <c r="EP77" s="409">
        <v>0</v>
      </c>
      <c r="EQ77" s="409">
        <v>0</v>
      </c>
      <c r="ER77" s="409">
        <v>0</v>
      </c>
      <c r="ES77" s="409">
        <v>0</v>
      </c>
      <c r="ET77" s="409">
        <v>0</v>
      </c>
      <c r="EU77" s="409">
        <v>0</v>
      </c>
      <c r="EV77" s="409">
        <v>210</v>
      </c>
      <c r="EW77" s="409">
        <v>0</v>
      </c>
      <c r="EX77" s="409">
        <v>0</v>
      </c>
      <c r="EY77" s="409">
        <v>0</v>
      </c>
      <c r="EZ77" s="409"/>
      <c r="FA77" s="409">
        <v>0</v>
      </c>
      <c r="FB77" s="409"/>
      <c r="FC77" s="409"/>
      <c r="FD77" s="409"/>
      <c r="FE77" s="409"/>
      <c r="FF77" s="409">
        <v>0</v>
      </c>
      <c r="FG77" s="409">
        <v>0</v>
      </c>
      <c r="FH77" s="409">
        <v>0</v>
      </c>
      <c r="FI77" s="409">
        <v>0</v>
      </c>
    </row>
    <row r="78" spans="1:165" customFormat="1">
      <c r="A78" s="409">
        <v>76</v>
      </c>
      <c r="B78" s="409" t="s">
        <v>1035</v>
      </c>
      <c r="C78" s="409" t="s">
        <v>2248</v>
      </c>
      <c r="D78" s="409" t="s">
        <v>2247</v>
      </c>
      <c r="E78" s="409" t="s">
        <v>973</v>
      </c>
      <c r="F78" s="409" t="s">
        <v>1323</v>
      </c>
      <c r="G78" s="409" t="s">
        <v>1323</v>
      </c>
      <c r="H78" s="409" t="s">
        <v>1323</v>
      </c>
      <c r="I78" s="409" t="s">
        <v>2234</v>
      </c>
      <c r="J78" s="409" t="s">
        <v>2242</v>
      </c>
      <c r="K78" s="838">
        <v>44378</v>
      </c>
      <c r="L78" s="409">
        <v>0</v>
      </c>
      <c r="M78" s="409">
        <v>0</v>
      </c>
      <c r="N78" s="409">
        <v>6.0999999999999999E-2</v>
      </c>
      <c r="O78" s="409">
        <v>6.0999999999999999E-2</v>
      </c>
      <c r="P78" s="409">
        <v>6.0999999999999999E-2</v>
      </c>
      <c r="Q78" s="409">
        <v>6.0999999999999999E-2</v>
      </c>
      <c r="R78" s="409"/>
      <c r="S78" s="409">
        <v>203.33</v>
      </c>
      <c r="T78" s="409">
        <v>235.42</v>
      </c>
      <c r="U78" s="409"/>
      <c r="V78" s="409">
        <v>26.763750000000002</v>
      </c>
      <c r="W78" s="409">
        <v>26.763750000000002</v>
      </c>
      <c r="X78" s="409">
        <v>26.38982</v>
      </c>
      <c r="Y78" s="409">
        <v>0</v>
      </c>
      <c r="Z78" s="409">
        <v>3.167241663444651</v>
      </c>
      <c r="AA78" s="409">
        <v>0</v>
      </c>
      <c r="AB78" s="409">
        <v>0</v>
      </c>
      <c r="AC78" s="409">
        <v>0</v>
      </c>
      <c r="AD78" s="409">
        <v>2.5742972112957268</v>
      </c>
      <c r="AE78" s="409">
        <v>5.9230072083769594</v>
      </c>
      <c r="AF78" s="409">
        <v>14.360361563324103</v>
      </c>
      <c r="AG78" s="409">
        <v>0</v>
      </c>
      <c r="AH78" s="409">
        <v>0</v>
      </c>
      <c r="AI78" s="409">
        <v>0</v>
      </c>
      <c r="AJ78" s="409">
        <v>0</v>
      </c>
      <c r="AK78" s="409">
        <v>0</v>
      </c>
      <c r="AL78" s="409">
        <v>0.48979535221997578</v>
      </c>
      <c r="AM78" s="409"/>
      <c r="AN78" s="409">
        <v>5.5874693331090262E-2</v>
      </c>
      <c r="AO78" s="409">
        <v>0</v>
      </c>
      <c r="AP78" s="409">
        <v>0</v>
      </c>
      <c r="AQ78" s="409">
        <v>0</v>
      </c>
      <c r="AR78" s="409">
        <v>0</v>
      </c>
      <c r="AS78" s="409">
        <v>0</v>
      </c>
      <c r="AT78" s="409">
        <v>0</v>
      </c>
      <c r="AU78" s="409">
        <v>0</v>
      </c>
      <c r="AV78" s="409">
        <v>0</v>
      </c>
      <c r="AW78" s="409">
        <v>0</v>
      </c>
      <c r="AX78" s="409">
        <v>0</v>
      </c>
      <c r="AY78" s="409">
        <v>0</v>
      </c>
      <c r="AZ78" s="409">
        <v>0</v>
      </c>
      <c r="BA78" s="409"/>
      <c r="BB78" s="409">
        <v>0</v>
      </c>
      <c r="BC78" s="409">
        <v>0</v>
      </c>
      <c r="BD78" s="409">
        <v>0</v>
      </c>
      <c r="BE78" s="409">
        <v>0</v>
      </c>
      <c r="BF78" s="409">
        <v>0</v>
      </c>
      <c r="BG78" s="409">
        <v>0.19297024045145253</v>
      </c>
      <c r="BH78" s="409">
        <v>0</v>
      </c>
      <c r="BI78" s="409">
        <v>0</v>
      </c>
      <c r="BJ78" s="409">
        <v>0</v>
      </c>
      <c r="BK78" s="409">
        <v>0</v>
      </c>
      <c r="BL78" s="409">
        <v>0</v>
      </c>
      <c r="BM78" s="409"/>
      <c r="BN78" s="409"/>
      <c r="BO78" s="409"/>
      <c r="BP78" s="409"/>
      <c r="BQ78" s="409"/>
      <c r="BR78" s="409"/>
      <c r="BS78" s="409"/>
      <c r="BT78" s="409"/>
      <c r="BU78" s="409"/>
      <c r="BV78" s="409">
        <v>14.553331803775556</v>
      </c>
      <c r="BW78" s="409"/>
      <c r="BX78" s="409"/>
      <c r="BY78" s="409"/>
      <c r="BZ78" s="409"/>
      <c r="CA78" s="409"/>
      <c r="CB78" s="409"/>
      <c r="CC78" s="409"/>
      <c r="CD78" s="409"/>
      <c r="CE78" s="409"/>
      <c r="CF78" s="409"/>
      <c r="CG78" s="409"/>
      <c r="CH78" s="409"/>
      <c r="CI78" s="409">
        <v>25.9572</v>
      </c>
      <c r="CJ78" s="409">
        <v>-0.83654999999999902</v>
      </c>
      <c r="CK78" s="409"/>
      <c r="CL78" s="409"/>
      <c r="CM78" s="409"/>
      <c r="CN78" s="409"/>
      <c r="CO78" s="409">
        <v>-1.0559100000000001</v>
      </c>
      <c r="CP78" s="409">
        <v>0.68198000000000036</v>
      </c>
      <c r="CQ78" s="409">
        <v>31</v>
      </c>
      <c r="CR78" s="409">
        <v>0.56744100744484527</v>
      </c>
      <c r="CS78" s="409">
        <v>0</v>
      </c>
      <c r="CT78" s="409">
        <v>0</v>
      </c>
      <c r="CU78" s="409">
        <v>0</v>
      </c>
      <c r="CV78" s="409">
        <v>0</v>
      </c>
      <c r="CW78" s="409">
        <v>0</v>
      </c>
      <c r="CX78" s="409">
        <v>0</v>
      </c>
      <c r="CY78" s="409">
        <v>0</v>
      </c>
      <c r="CZ78" s="409">
        <v>8.8242897916008811E-2</v>
      </c>
      <c r="DA78" s="409">
        <v>0</v>
      </c>
      <c r="DB78" s="409">
        <v>0</v>
      </c>
      <c r="DC78" s="409">
        <v>0.7735886632349871</v>
      </c>
      <c r="DD78" s="409">
        <v>0</v>
      </c>
      <c r="DE78" s="409">
        <v>0</v>
      </c>
      <c r="DF78" s="409">
        <v>0</v>
      </c>
      <c r="DG78" s="409">
        <v>1.0395252911752667E-2</v>
      </c>
      <c r="DH78" s="409">
        <v>0</v>
      </c>
      <c r="DI78" s="409">
        <v>-0.20188402224699864</v>
      </c>
      <c r="DJ78" s="409"/>
      <c r="DK78" s="409">
        <v>0</v>
      </c>
      <c r="DL78" s="409">
        <v>0</v>
      </c>
      <c r="DM78" s="409">
        <v>0</v>
      </c>
      <c r="DN78" s="409">
        <v>0</v>
      </c>
      <c r="DO78" s="409">
        <v>-2.5680850798894039E-2</v>
      </c>
      <c r="DP78" s="409">
        <v>-3.6865798844085418E-3</v>
      </c>
      <c r="DQ78" s="409">
        <v>0</v>
      </c>
      <c r="DR78" s="409">
        <v>-7.3534353687604415E-2</v>
      </c>
      <c r="DS78" s="409"/>
      <c r="DT78" s="409"/>
      <c r="DU78" s="409"/>
      <c r="DV78" s="409">
        <v>5.9230072083769594</v>
      </c>
      <c r="DW78" s="409">
        <v>0</v>
      </c>
      <c r="DX78" s="409">
        <v>0</v>
      </c>
      <c r="DY78" s="409">
        <v>-1.0559100000000008</v>
      </c>
      <c r="DZ78" s="409">
        <v>0.68198000000000114</v>
      </c>
      <c r="EA78" s="409">
        <v>0</v>
      </c>
      <c r="EB78" s="409">
        <v>0</v>
      </c>
      <c r="EC78" s="409">
        <v>-0.94147965650846732</v>
      </c>
      <c r="ED78" s="409">
        <v>0</v>
      </c>
      <c r="EE78" s="409">
        <v>0</v>
      </c>
      <c r="EF78" s="409">
        <v>0</v>
      </c>
      <c r="EG78" s="409">
        <v>0</v>
      </c>
      <c r="EH78" s="409">
        <v>0</v>
      </c>
      <c r="EI78" s="409">
        <v>0</v>
      </c>
      <c r="EJ78" s="409">
        <v>0</v>
      </c>
      <c r="EK78" s="409">
        <v>0</v>
      </c>
      <c r="EL78" s="409">
        <v>0</v>
      </c>
      <c r="EM78" s="409">
        <v>0</v>
      </c>
      <c r="EN78" s="409">
        <v>0</v>
      </c>
      <c r="EO78" s="409">
        <v>0</v>
      </c>
      <c r="EP78" s="409">
        <v>0</v>
      </c>
      <c r="EQ78" s="409">
        <v>0</v>
      </c>
      <c r="ER78" s="409">
        <v>0</v>
      </c>
      <c r="ES78" s="409">
        <v>0</v>
      </c>
      <c r="ET78" s="409">
        <v>0</v>
      </c>
      <c r="EU78" s="409">
        <v>0</v>
      </c>
      <c r="EV78" s="409">
        <v>210</v>
      </c>
      <c r="EW78" s="409">
        <v>0</v>
      </c>
      <c r="EX78" s="409">
        <v>0</v>
      </c>
      <c r="EY78" s="409">
        <v>0</v>
      </c>
      <c r="EZ78" s="409"/>
      <c r="FA78" s="409">
        <v>0</v>
      </c>
      <c r="FB78" s="409"/>
      <c r="FC78" s="409"/>
      <c r="FD78" s="409"/>
      <c r="FE78" s="409"/>
      <c r="FF78" s="409">
        <v>0</v>
      </c>
      <c r="FG78" s="409">
        <v>0</v>
      </c>
      <c r="FH78" s="409">
        <v>0</v>
      </c>
      <c r="FI78" s="409">
        <v>0</v>
      </c>
    </row>
    <row r="79" spans="1:165" customFormat="1">
      <c r="A79" s="409">
        <v>77</v>
      </c>
      <c r="B79" s="409" t="s">
        <v>1035</v>
      </c>
      <c r="C79" s="409" t="s">
        <v>2248</v>
      </c>
      <c r="D79" s="409" t="s">
        <v>2247</v>
      </c>
      <c r="E79" s="409" t="s">
        <v>973</v>
      </c>
      <c r="F79" s="409" t="s">
        <v>1323</v>
      </c>
      <c r="G79" s="409" t="s">
        <v>1323</v>
      </c>
      <c r="H79" s="409" t="s">
        <v>1323</v>
      </c>
      <c r="I79" s="409" t="s">
        <v>1323</v>
      </c>
      <c r="J79" s="409" t="s">
        <v>2242</v>
      </c>
      <c r="K79" s="838">
        <v>44378</v>
      </c>
      <c r="L79" s="409">
        <v>0</v>
      </c>
      <c r="M79" s="409">
        <v>0</v>
      </c>
      <c r="N79" s="409">
        <v>0</v>
      </c>
      <c r="O79" s="409">
        <v>0</v>
      </c>
      <c r="P79" s="409">
        <v>0</v>
      </c>
      <c r="Q79" s="409">
        <v>0</v>
      </c>
      <c r="R79" s="409"/>
      <c r="S79" s="409"/>
      <c r="T79" s="409"/>
      <c r="U79" s="409"/>
      <c r="V79" s="409"/>
      <c r="W79" s="409"/>
      <c r="X79" s="409"/>
      <c r="Y79" s="409"/>
      <c r="Z79" s="409"/>
      <c r="AA79" s="409">
        <v>0</v>
      </c>
      <c r="AB79" s="409"/>
      <c r="AC79" s="409"/>
      <c r="AD79" s="409"/>
      <c r="AE79" s="409"/>
      <c r="AF79" s="409"/>
      <c r="AG79" s="409"/>
      <c r="AH79" s="409"/>
      <c r="AI79" s="409"/>
      <c r="AJ79" s="409"/>
      <c r="AK79" s="409"/>
      <c r="AL79" s="409"/>
      <c r="AM79" s="409"/>
      <c r="AN79" s="409"/>
      <c r="AO79" s="409"/>
      <c r="AP79" s="409"/>
      <c r="AQ79" s="409"/>
      <c r="AR79" s="409"/>
      <c r="AS79" s="409"/>
      <c r="AT79" s="409"/>
      <c r="AU79" s="409"/>
      <c r="AV79" s="409"/>
      <c r="AW79" s="409"/>
      <c r="AX79" s="409"/>
      <c r="AY79" s="409"/>
      <c r="AZ79" s="409">
        <v>0</v>
      </c>
      <c r="BA79" s="409"/>
      <c r="BB79" s="409"/>
      <c r="BC79" s="409"/>
      <c r="BD79" s="409"/>
      <c r="BE79" s="409"/>
      <c r="BF79" s="409"/>
      <c r="BG79" s="409"/>
      <c r="BH79" s="409"/>
      <c r="BI79" s="409">
        <v>0.2</v>
      </c>
      <c r="BJ79" s="409">
        <v>0.94</v>
      </c>
      <c r="BK79" s="409">
        <v>0</v>
      </c>
      <c r="BL79" s="409">
        <v>1</v>
      </c>
      <c r="BM79" s="409"/>
      <c r="BN79" s="409"/>
      <c r="BO79" s="409"/>
      <c r="BP79" s="409"/>
      <c r="BQ79" s="409"/>
      <c r="BR79" s="409"/>
      <c r="BS79" s="409"/>
      <c r="BT79" s="409"/>
      <c r="BU79" s="409"/>
      <c r="BV79" s="409"/>
      <c r="BW79" s="409"/>
      <c r="BX79" s="409"/>
      <c r="BY79" s="409"/>
      <c r="BZ79" s="409"/>
      <c r="CA79" s="409"/>
      <c r="CB79" s="409"/>
      <c r="CC79" s="409"/>
      <c r="CD79" s="409"/>
      <c r="CE79" s="409"/>
      <c r="CF79" s="409"/>
      <c r="CG79" s="409"/>
      <c r="CH79" s="409"/>
      <c r="CI79" s="409"/>
      <c r="CJ79" s="409">
        <v>-0.03</v>
      </c>
      <c r="CK79" s="409"/>
      <c r="CL79" s="409"/>
      <c r="CM79" s="409"/>
      <c r="CN79" s="409"/>
      <c r="CO79" s="409">
        <v>0</v>
      </c>
      <c r="CP79" s="409">
        <v>0</v>
      </c>
      <c r="CQ79" s="409">
        <v>31</v>
      </c>
      <c r="CR79" s="409"/>
      <c r="CS79" s="409"/>
      <c r="CT79" s="409"/>
      <c r="CU79" s="409"/>
      <c r="CV79" s="409"/>
      <c r="CW79" s="409"/>
      <c r="CX79" s="409"/>
      <c r="CY79" s="409"/>
      <c r="CZ79" s="409"/>
      <c r="DA79" s="409"/>
      <c r="DB79" s="409"/>
      <c r="DC79" s="409"/>
      <c r="DD79" s="409"/>
      <c r="DE79" s="409"/>
      <c r="DF79" s="409"/>
      <c r="DG79" s="409"/>
      <c r="DH79" s="409"/>
      <c r="DI79" s="409"/>
      <c r="DJ79" s="409"/>
      <c r="DK79" s="409">
        <v>0</v>
      </c>
      <c r="DL79" s="409"/>
      <c r="DM79" s="409"/>
      <c r="DN79" s="409"/>
      <c r="DO79" s="409"/>
      <c r="DP79" s="409"/>
      <c r="DQ79" s="409"/>
      <c r="DR79" s="409"/>
      <c r="DS79" s="409"/>
      <c r="DT79" s="409"/>
      <c r="DU79" s="409"/>
      <c r="DV79" s="409"/>
      <c r="DW79" s="409"/>
      <c r="DX79" s="409"/>
      <c r="DY79" s="409"/>
      <c r="DZ79" s="409"/>
      <c r="EA79" s="409"/>
      <c r="EB79" s="409"/>
      <c r="EC79" s="409"/>
      <c r="ED79" s="409"/>
      <c r="EE79" s="409"/>
      <c r="EF79" s="409"/>
      <c r="EG79" s="409"/>
      <c r="EH79" s="409"/>
      <c r="EI79" s="409"/>
      <c r="EJ79" s="409"/>
      <c r="EK79" s="409"/>
      <c r="EL79" s="409"/>
      <c r="EM79" s="409"/>
      <c r="EN79" s="409"/>
      <c r="EO79" s="409"/>
      <c r="EP79" s="409"/>
      <c r="EQ79" s="409"/>
      <c r="ER79" s="409"/>
      <c r="ES79" s="409"/>
      <c r="ET79" s="409"/>
      <c r="EU79" s="409"/>
      <c r="EV79" s="409">
        <v>210</v>
      </c>
      <c r="EW79" s="409"/>
      <c r="EX79" s="409"/>
      <c r="EY79" s="409"/>
      <c r="EZ79" s="409"/>
      <c r="FA79" s="409">
        <v>0</v>
      </c>
      <c r="FB79" s="409"/>
      <c r="FC79" s="409"/>
      <c r="FD79" s="409"/>
      <c r="FE79" s="409"/>
      <c r="FF79" s="409">
        <v>0</v>
      </c>
      <c r="FG79" s="409">
        <v>0</v>
      </c>
      <c r="FH79" s="409">
        <v>0</v>
      </c>
      <c r="FI79" s="409">
        <v>0</v>
      </c>
    </row>
    <row r="80" spans="1:165" customFormat="1">
      <c r="A80" s="409">
        <v>78</v>
      </c>
      <c r="B80" s="409" t="s">
        <v>1035</v>
      </c>
      <c r="C80" s="409" t="s">
        <v>2241</v>
      </c>
      <c r="D80" s="409" t="s">
        <v>1992</v>
      </c>
      <c r="E80" s="409" t="s">
        <v>2249</v>
      </c>
      <c r="F80" s="409" t="s">
        <v>1323</v>
      </c>
      <c r="G80" s="409" t="s">
        <v>1323</v>
      </c>
      <c r="H80" s="409" t="s">
        <v>1323</v>
      </c>
      <c r="I80" s="409" t="s">
        <v>1323</v>
      </c>
      <c r="J80" s="409" t="s">
        <v>2242</v>
      </c>
      <c r="K80" s="838">
        <v>44378</v>
      </c>
      <c r="L80" s="409">
        <v>0</v>
      </c>
      <c r="M80" s="409">
        <v>0</v>
      </c>
      <c r="N80" s="409">
        <v>11.704000000000001</v>
      </c>
      <c r="O80" s="409">
        <v>11.704000000000001</v>
      </c>
      <c r="P80" s="409">
        <v>11.704000000000001</v>
      </c>
      <c r="Q80" s="409">
        <v>11.704000000000001</v>
      </c>
      <c r="R80" s="409"/>
      <c r="S80" s="409">
        <v>358.62</v>
      </c>
      <c r="T80" s="409">
        <v>273.74</v>
      </c>
      <c r="U80" s="409"/>
      <c r="V80" s="409">
        <v>7401.1414400000003</v>
      </c>
      <c r="W80" s="409">
        <v>7401.1414400000003</v>
      </c>
      <c r="X80" s="409">
        <v>7176.19056</v>
      </c>
      <c r="Y80" s="409">
        <v>0</v>
      </c>
      <c r="Z80" s="409">
        <v>706.62212026222358</v>
      </c>
      <c r="AA80" s="409">
        <v>0</v>
      </c>
      <c r="AB80" s="409">
        <v>0</v>
      </c>
      <c r="AC80" s="409">
        <v>0</v>
      </c>
      <c r="AD80" s="409">
        <v>1007.5800111443313</v>
      </c>
      <c r="AE80" s="409">
        <v>2318.3188636788564</v>
      </c>
      <c r="AF80" s="409">
        <v>3203.8442954087986</v>
      </c>
      <c r="AG80" s="409">
        <v>0</v>
      </c>
      <c r="AH80" s="409">
        <v>0</v>
      </c>
      <c r="AI80" s="409">
        <v>0</v>
      </c>
      <c r="AJ80" s="409">
        <v>0</v>
      </c>
      <c r="AK80" s="409">
        <v>0</v>
      </c>
      <c r="AL80" s="409">
        <v>109.274967639775</v>
      </c>
      <c r="AM80" s="409"/>
      <c r="AN80" s="409">
        <v>12.465829408064833</v>
      </c>
      <c r="AO80" s="409">
        <v>0</v>
      </c>
      <c r="AP80" s="409">
        <v>0</v>
      </c>
      <c r="AQ80" s="409">
        <v>0</v>
      </c>
      <c r="AR80" s="409">
        <v>0</v>
      </c>
      <c r="AS80" s="409">
        <v>0</v>
      </c>
      <c r="AT80" s="409">
        <v>0</v>
      </c>
      <c r="AU80" s="409">
        <v>0</v>
      </c>
      <c r="AV80" s="409">
        <v>0</v>
      </c>
      <c r="AW80" s="409">
        <v>0</v>
      </c>
      <c r="AX80" s="409">
        <v>0</v>
      </c>
      <c r="AY80" s="409">
        <v>0</v>
      </c>
      <c r="AZ80" s="409">
        <v>0</v>
      </c>
      <c r="BA80" s="409"/>
      <c r="BB80" s="409">
        <v>0</v>
      </c>
      <c r="BC80" s="409">
        <v>0</v>
      </c>
      <c r="BD80" s="409">
        <v>0</v>
      </c>
      <c r="BE80" s="409">
        <v>0</v>
      </c>
      <c r="BF80" s="409">
        <v>0</v>
      </c>
      <c r="BG80" s="409">
        <v>43.052300690884387</v>
      </c>
      <c r="BH80" s="409">
        <v>0</v>
      </c>
      <c r="BI80" s="409">
        <v>3.58</v>
      </c>
      <c r="BJ80" s="409">
        <v>16.559999999999999</v>
      </c>
      <c r="BK80" s="409">
        <v>1618.83</v>
      </c>
      <c r="BL80" s="409">
        <v>15</v>
      </c>
      <c r="BM80" s="409"/>
      <c r="BN80" s="409"/>
      <c r="BO80" s="409"/>
      <c r="BP80" s="409"/>
      <c r="BQ80" s="409"/>
      <c r="BR80" s="409"/>
      <c r="BS80" s="409"/>
      <c r="BT80" s="409"/>
      <c r="BU80" s="409"/>
      <c r="BV80" s="409">
        <v>3246.8965960996829</v>
      </c>
      <c r="BW80" s="409"/>
      <c r="BX80" s="409"/>
      <c r="BY80" s="409"/>
      <c r="BZ80" s="409"/>
      <c r="CA80" s="409"/>
      <c r="CB80" s="409"/>
      <c r="CC80" s="409"/>
      <c r="CD80" s="409"/>
      <c r="CE80" s="409"/>
      <c r="CF80" s="409"/>
      <c r="CG80" s="409"/>
      <c r="CH80" s="409"/>
      <c r="CI80" s="409">
        <v>7173.7379999999994</v>
      </c>
      <c r="CJ80" s="409">
        <v>-227.43344000000161</v>
      </c>
      <c r="CK80" s="409"/>
      <c r="CL80" s="409"/>
      <c r="CM80" s="409"/>
      <c r="CN80" s="409"/>
      <c r="CO80" s="409">
        <v>-377.10288000000031</v>
      </c>
      <c r="CP80" s="409">
        <v>152.15200000000002</v>
      </c>
      <c r="CQ80" s="409">
        <v>31</v>
      </c>
      <c r="CR80" s="409">
        <v>143.51304625133616</v>
      </c>
      <c r="CS80" s="409">
        <v>0</v>
      </c>
      <c r="CT80" s="409">
        <v>0</v>
      </c>
      <c r="CU80" s="409">
        <v>0</v>
      </c>
      <c r="CV80" s="409">
        <v>0</v>
      </c>
      <c r="CW80" s="409">
        <v>0</v>
      </c>
      <c r="CX80" s="409">
        <v>0</v>
      </c>
      <c r="CY80" s="409">
        <v>0</v>
      </c>
      <c r="CZ80" s="409">
        <v>34.538273077204508</v>
      </c>
      <c r="DA80" s="409">
        <v>0</v>
      </c>
      <c r="DB80" s="409">
        <v>0</v>
      </c>
      <c r="DC80" s="409">
        <v>172.59019661650564</v>
      </c>
      <c r="DD80" s="409">
        <v>0</v>
      </c>
      <c r="DE80" s="409">
        <v>0</v>
      </c>
      <c r="DF80" s="409">
        <v>0</v>
      </c>
      <c r="DG80" s="409">
        <v>2.319215403720122</v>
      </c>
      <c r="DH80" s="409">
        <v>0</v>
      </c>
      <c r="DI80" s="409">
        <v>-45.040994974817863</v>
      </c>
      <c r="DJ80" s="409"/>
      <c r="DK80" s="409">
        <v>0</v>
      </c>
      <c r="DL80" s="409">
        <v>0</v>
      </c>
      <c r="DM80" s="409">
        <v>0</v>
      </c>
      <c r="DN80" s="409">
        <v>0</v>
      </c>
      <c r="DO80" s="409">
        <v>-5.7294829918082257</v>
      </c>
      <c r="DP80" s="409">
        <v>-0.8224881999069531</v>
      </c>
      <c r="DQ80" s="409">
        <v>0</v>
      </c>
      <c r="DR80" s="409">
        <v>-14.34167267956116</v>
      </c>
      <c r="DS80" s="409"/>
      <c r="DT80" s="409"/>
      <c r="DU80" s="409"/>
      <c r="DV80" s="409">
        <v>2318.3188636788564</v>
      </c>
      <c r="DW80" s="409">
        <v>0</v>
      </c>
      <c r="DX80" s="409">
        <v>0</v>
      </c>
      <c r="DY80" s="409">
        <v>-377.10288000000037</v>
      </c>
      <c r="DZ80" s="409">
        <v>152.15200000000004</v>
      </c>
      <c r="EA80" s="409">
        <v>0</v>
      </c>
      <c r="EB80" s="409">
        <v>0</v>
      </c>
      <c r="EC80" s="409">
        <v>-368.50369595474399</v>
      </c>
      <c r="ED80" s="409">
        <v>0</v>
      </c>
      <c r="EE80" s="409">
        <v>0</v>
      </c>
      <c r="EF80" s="409">
        <v>0</v>
      </c>
      <c r="EG80" s="409">
        <v>0</v>
      </c>
      <c r="EH80" s="409">
        <v>0</v>
      </c>
      <c r="EI80" s="409">
        <v>0</v>
      </c>
      <c r="EJ80" s="409">
        <v>0</v>
      </c>
      <c r="EK80" s="409">
        <v>0</v>
      </c>
      <c r="EL80" s="409">
        <v>0</v>
      </c>
      <c r="EM80" s="409">
        <v>0</v>
      </c>
      <c r="EN80" s="409">
        <v>0</v>
      </c>
      <c r="EO80" s="409">
        <v>0</v>
      </c>
      <c r="EP80" s="409">
        <v>0</v>
      </c>
      <c r="EQ80" s="409">
        <v>0</v>
      </c>
      <c r="ER80" s="409">
        <v>0</v>
      </c>
      <c r="ES80" s="409">
        <v>0</v>
      </c>
      <c r="ET80" s="409">
        <v>0</v>
      </c>
      <c r="EU80" s="409">
        <v>0</v>
      </c>
      <c r="EV80" s="409">
        <v>210</v>
      </c>
      <c r="EW80" s="409">
        <v>0</v>
      </c>
      <c r="EX80" s="409">
        <v>0</v>
      </c>
      <c r="EY80" s="409">
        <v>0</v>
      </c>
      <c r="EZ80" s="409"/>
      <c r="FA80" s="409">
        <v>0</v>
      </c>
      <c r="FB80" s="409"/>
      <c r="FC80" s="409"/>
      <c r="FD80" s="409"/>
      <c r="FE80" s="409"/>
      <c r="FF80" s="409">
        <v>0</v>
      </c>
      <c r="FG80" s="409">
        <v>0</v>
      </c>
      <c r="FH80" s="409">
        <v>0</v>
      </c>
      <c r="FI80" s="409">
        <v>0</v>
      </c>
    </row>
    <row r="81" spans="1:165" customFormat="1">
      <c r="A81" s="409">
        <v>79</v>
      </c>
      <c r="B81" s="409" t="s">
        <v>1035</v>
      </c>
      <c r="C81" s="409" t="s">
        <v>2241</v>
      </c>
      <c r="D81" s="409" t="s">
        <v>2250</v>
      </c>
      <c r="E81" s="409" t="s">
        <v>2251</v>
      </c>
      <c r="F81" s="409" t="s">
        <v>2252</v>
      </c>
      <c r="G81" s="409" t="s">
        <v>1323</v>
      </c>
      <c r="H81" s="409" t="s">
        <v>1323</v>
      </c>
      <c r="I81" s="409" t="s">
        <v>1323</v>
      </c>
      <c r="J81" s="409" t="s">
        <v>2242</v>
      </c>
      <c r="K81" s="838">
        <v>44378</v>
      </c>
      <c r="L81" s="409">
        <v>0</v>
      </c>
      <c r="M81" s="409">
        <v>0</v>
      </c>
      <c r="N81" s="409">
        <v>20.052</v>
      </c>
      <c r="O81" s="409">
        <v>20.052</v>
      </c>
      <c r="P81" s="409">
        <v>20.052</v>
      </c>
      <c r="Q81" s="409">
        <v>20.052</v>
      </c>
      <c r="R81" s="409"/>
      <c r="S81" s="409">
        <v>215.17</v>
      </c>
      <c r="T81" s="409">
        <v>164.24</v>
      </c>
      <c r="U81" s="409"/>
      <c r="V81" s="409">
        <v>7607.9293199999993</v>
      </c>
      <c r="W81" s="409">
        <v>7607.9293199999993</v>
      </c>
      <c r="X81" s="409">
        <v>7376.9302800000005</v>
      </c>
      <c r="Y81" s="409">
        <v>0</v>
      </c>
      <c r="Z81" s="409">
        <v>726.37662793052459</v>
      </c>
      <c r="AA81" s="409">
        <v>0</v>
      </c>
      <c r="AB81" s="409">
        <v>0</v>
      </c>
      <c r="AC81" s="409">
        <v>0</v>
      </c>
      <c r="AD81" s="409">
        <v>1035.748174135312</v>
      </c>
      <c r="AE81" s="409">
        <v>2383.1303753155416</v>
      </c>
      <c r="AF81" s="409">
        <v>3293.4117811792798</v>
      </c>
      <c r="AG81" s="409">
        <v>0</v>
      </c>
      <c r="AH81" s="409">
        <v>0</v>
      </c>
      <c r="AI81" s="409">
        <v>0</v>
      </c>
      <c r="AJ81" s="409">
        <v>0</v>
      </c>
      <c r="AK81" s="409">
        <v>0</v>
      </c>
      <c r="AL81" s="409">
        <v>112.32988642068175</v>
      </c>
      <c r="AM81" s="409"/>
      <c r="AN81" s="409">
        <v>12.814327304708593</v>
      </c>
      <c r="AO81" s="409">
        <v>0</v>
      </c>
      <c r="AP81" s="409">
        <v>0</v>
      </c>
      <c r="AQ81" s="409">
        <v>0</v>
      </c>
      <c r="AR81" s="409">
        <v>0</v>
      </c>
      <c r="AS81" s="409">
        <v>0</v>
      </c>
      <c r="AT81" s="409">
        <v>0</v>
      </c>
      <c r="AU81" s="409">
        <v>0</v>
      </c>
      <c r="AV81" s="409">
        <v>0</v>
      </c>
      <c r="AW81" s="409">
        <v>0</v>
      </c>
      <c r="AX81" s="409">
        <v>0</v>
      </c>
      <c r="AY81" s="409">
        <v>0</v>
      </c>
      <c r="AZ81" s="409">
        <v>0</v>
      </c>
      <c r="BA81" s="409"/>
      <c r="BB81" s="409">
        <v>0</v>
      </c>
      <c r="BC81" s="409">
        <v>0</v>
      </c>
      <c r="BD81" s="409">
        <v>0</v>
      </c>
      <c r="BE81" s="409">
        <v>0</v>
      </c>
      <c r="BF81" s="409">
        <v>0</v>
      </c>
      <c r="BG81" s="409">
        <v>44.255881755995354</v>
      </c>
      <c r="BH81" s="409">
        <v>0</v>
      </c>
      <c r="BI81" s="409">
        <v>0</v>
      </c>
      <c r="BJ81" s="409">
        <v>0</v>
      </c>
      <c r="BK81" s="409">
        <v>1894.07</v>
      </c>
      <c r="BL81" s="409">
        <v>6</v>
      </c>
      <c r="BM81" s="409"/>
      <c r="BN81" s="409"/>
      <c r="BO81" s="409"/>
      <c r="BP81" s="409"/>
      <c r="BQ81" s="409"/>
      <c r="BR81" s="409"/>
      <c r="BS81" s="409"/>
      <c r="BT81" s="409"/>
      <c r="BU81" s="409"/>
      <c r="BV81" s="409">
        <v>3337.6676629352751</v>
      </c>
      <c r="BW81" s="409"/>
      <c r="BX81" s="409"/>
      <c r="BY81" s="409"/>
      <c r="BZ81" s="409"/>
      <c r="CA81" s="409"/>
      <c r="CB81" s="409"/>
      <c r="CC81" s="409"/>
      <c r="CD81" s="409"/>
      <c r="CE81" s="409"/>
      <c r="CF81" s="409"/>
      <c r="CG81" s="409"/>
      <c r="CH81" s="409"/>
      <c r="CI81" s="409">
        <v>7376.1945000000005</v>
      </c>
      <c r="CJ81" s="409">
        <v>-231.76481999999942</v>
      </c>
      <c r="CK81" s="409"/>
      <c r="CL81" s="409"/>
      <c r="CM81" s="409"/>
      <c r="CN81" s="409"/>
      <c r="CO81" s="409">
        <v>-387.60515999999967</v>
      </c>
      <c r="CP81" s="409">
        <v>156.60612000000003</v>
      </c>
      <c r="CQ81" s="409">
        <v>31</v>
      </c>
      <c r="CR81" s="409">
        <v>147.52513346369142</v>
      </c>
      <c r="CS81" s="409">
        <v>0</v>
      </c>
      <c r="CT81" s="409">
        <v>0</v>
      </c>
      <c r="CU81" s="409">
        <v>0</v>
      </c>
      <c r="CV81" s="409">
        <v>0</v>
      </c>
      <c r="CW81" s="409">
        <v>0</v>
      </c>
      <c r="CX81" s="409">
        <v>0</v>
      </c>
      <c r="CY81" s="409">
        <v>0</v>
      </c>
      <c r="CZ81" s="409">
        <v>35.503833821466515</v>
      </c>
      <c r="DA81" s="409">
        <v>0</v>
      </c>
      <c r="DB81" s="409">
        <v>0</v>
      </c>
      <c r="DC81" s="409">
        <v>177.41517203797866</v>
      </c>
      <c r="DD81" s="409">
        <v>0</v>
      </c>
      <c r="DE81" s="409">
        <v>0</v>
      </c>
      <c r="DF81" s="409">
        <v>0</v>
      </c>
      <c r="DG81" s="409">
        <v>2.3840519792581176</v>
      </c>
      <c r="DH81" s="409">
        <v>0</v>
      </c>
      <c r="DI81" s="409">
        <v>-46.300172482999415</v>
      </c>
      <c r="DJ81" s="409"/>
      <c r="DK81" s="409">
        <v>0</v>
      </c>
      <c r="DL81" s="409">
        <v>0</v>
      </c>
      <c r="DM81" s="409">
        <v>0</v>
      </c>
      <c r="DN81" s="409">
        <v>0</v>
      </c>
      <c r="DO81" s="409">
        <v>-5.8896578751743789</v>
      </c>
      <c r="DP81" s="409">
        <v>-0.84548188915927547</v>
      </c>
      <c r="DQ81" s="409">
        <v>0</v>
      </c>
      <c r="DR81" s="409">
        <v>-14.742612127677354</v>
      </c>
      <c r="DS81" s="409"/>
      <c r="DT81" s="409"/>
      <c r="DU81" s="409"/>
      <c r="DV81" s="409">
        <v>2383.1303753155416</v>
      </c>
      <c r="DW81" s="409">
        <v>0</v>
      </c>
      <c r="DX81" s="409">
        <v>0</v>
      </c>
      <c r="DY81" s="409">
        <v>-387.60515999999961</v>
      </c>
      <c r="DZ81" s="409">
        <v>156.60611999999992</v>
      </c>
      <c r="EA81" s="409">
        <v>0</v>
      </c>
      <c r="EB81" s="409">
        <v>0</v>
      </c>
      <c r="EC81" s="409">
        <v>-378.80567897904029</v>
      </c>
      <c r="ED81" s="409">
        <v>0</v>
      </c>
      <c r="EE81" s="409">
        <v>0</v>
      </c>
      <c r="EF81" s="409">
        <v>0</v>
      </c>
      <c r="EG81" s="409">
        <v>0</v>
      </c>
      <c r="EH81" s="409">
        <v>0</v>
      </c>
      <c r="EI81" s="409">
        <v>0</v>
      </c>
      <c r="EJ81" s="409">
        <v>0</v>
      </c>
      <c r="EK81" s="409">
        <v>0</v>
      </c>
      <c r="EL81" s="409">
        <v>0</v>
      </c>
      <c r="EM81" s="409">
        <v>0</v>
      </c>
      <c r="EN81" s="409">
        <v>0</v>
      </c>
      <c r="EO81" s="409">
        <v>0</v>
      </c>
      <c r="EP81" s="409">
        <v>0</v>
      </c>
      <c r="EQ81" s="409">
        <v>0</v>
      </c>
      <c r="ER81" s="409">
        <v>0</v>
      </c>
      <c r="ES81" s="409">
        <v>0</v>
      </c>
      <c r="ET81" s="409">
        <v>0</v>
      </c>
      <c r="EU81" s="409">
        <v>0</v>
      </c>
      <c r="EV81" s="409">
        <v>210</v>
      </c>
      <c r="EW81" s="409">
        <v>0</v>
      </c>
      <c r="EX81" s="409">
        <v>0</v>
      </c>
      <c r="EY81" s="409">
        <v>0</v>
      </c>
      <c r="EZ81" s="409"/>
      <c r="FA81" s="409">
        <v>0</v>
      </c>
      <c r="FB81" s="409"/>
      <c r="FC81" s="409"/>
      <c r="FD81" s="409"/>
      <c r="FE81" s="409"/>
      <c r="FF81" s="409">
        <v>0</v>
      </c>
      <c r="FG81" s="409">
        <v>0</v>
      </c>
      <c r="FH81" s="409">
        <v>0</v>
      </c>
      <c r="FI81" s="409">
        <v>0</v>
      </c>
    </row>
    <row r="82" spans="1:165" customFormat="1">
      <c r="A82" s="409">
        <v>80</v>
      </c>
      <c r="B82" s="409" t="s">
        <v>1035</v>
      </c>
      <c r="C82" s="409" t="s">
        <v>2241</v>
      </c>
      <c r="D82" s="409" t="s">
        <v>1992</v>
      </c>
      <c r="E82" s="409" t="s">
        <v>1000</v>
      </c>
      <c r="F82" s="409" t="s">
        <v>2253</v>
      </c>
      <c r="G82" s="409" t="s">
        <v>1323</v>
      </c>
      <c r="H82" s="409" t="s">
        <v>1323</v>
      </c>
      <c r="I82" s="409" t="s">
        <v>1323</v>
      </c>
      <c r="J82" s="409" t="s">
        <v>2242</v>
      </c>
      <c r="K82" s="838">
        <v>44378</v>
      </c>
      <c r="L82" s="409">
        <v>0</v>
      </c>
      <c r="M82" s="409">
        <v>0</v>
      </c>
      <c r="N82" s="409">
        <v>2.923</v>
      </c>
      <c r="O82" s="409">
        <v>2.74762</v>
      </c>
      <c r="P82" s="409">
        <v>2.923</v>
      </c>
      <c r="Q82" s="409">
        <v>2.74762</v>
      </c>
      <c r="R82" s="409"/>
      <c r="S82" s="409">
        <v>358.62</v>
      </c>
      <c r="T82" s="409">
        <v>273.74</v>
      </c>
      <c r="U82" s="409"/>
      <c r="V82" s="409">
        <v>1848.3882800000001</v>
      </c>
      <c r="W82" s="409">
        <v>1848.3882800000001</v>
      </c>
      <c r="X82" s="409">
        <v>1792.20822</v>
      </c>
      <c r="Y82" s="409">
        <v>0</v>
      </c>
      <c r="Z82" s="409">
        <v>176.47440682898835</v>
      </c>
      <c r="AA82" s="409">
        <v>0</v>
      </c>
      <c r="AB82" s="409">
        <v>0</v>
      </c>
      <c r="AC82" s="409">
        <v>0</v>
      </c>
      <c r="AD82" s="409">
        <v>251.63673723298703</v>
      </c>
      <c r="AE82" s="409">
        <v>578.98547834358305</v>
      </c>
      <c r="AF82" s="409">
        <v>800.13985607313043</v>
      </c>
      <c r="AG82" s="409">
        <v>0</v>
      </c>
      <c r="AH82" s="409">
        <v>0</v>
      </c>
      <c r="AI82" s="409">
        <v>0</v>
      </c>
      <c r="AJ82" s="409">
        <v>0</v>
      </c>
      <c r="AK82" s="409">
        <v>0</v>
      </c>
      <c r="AL82" s="409">
        <v>27.290732263419539</v>
      </c>
      <c r="AM82" s="409"/>
      <c r="AN82" s="409">
        <v>3.1132620779027262</v>
      </c>
      <c r="AO82" s="409">
        <v>0</v>
      </c>
      <c r="AP82" s="409">
        <v>0</v>
      </c>
      <c r="AQ82" s="409">
        <v>0</v>
      </c>
      <c r="AR82" s="409">
        <v>0</v>
      </c>
      <c r="AS82" s="409">
        <v>0</v>
      </c>
      <c r="AT82" s="409">
        <v>0</v>
      </c>
      <c r="AU82" s="409">
        <v>0</v>
      </c>
      <c r="AV82" s="409">
        <v>0</v>
      </c>
      <c r="AW82" s="409">
        <v>0</v>
      </c>
      <c r="AX82" s="409">
        <v>0</v>
      </c>
      <c r="AY82" s="409">
        <v>0</v>
      </c>
      <c r="AZ82" s="409">
        <v>0</v>
      </c>
      <c r="BA82" s="409"/>
      <c r="BB82" s="409">
        <v>0</v>
      </c>
      <c r="BC82" s="409">
        <v>0</v>
      </c>
      <c r="BD82" s="409">
        <v>0</v>
      </c>
      <c r="BE82" s="409">
        <v>0</v>
      </c>
      <c r="BF82" s="409">
        <v>0</v>
      </c>
      <c r="BG82" s="409">
        <v>10.752039894006755</v>
      </c>
      <c r="BH82" s="409">
        <v>0</v>
      </c>
      <c r="BI82" s="409">
        <v>0</v>
      </c>
      <c r="BJ82" s="409">
        <v>0</v>
      </c>
      <c r="BK82" s="409">
        <v>368.42</v>
      </c>
      <c r="BL82" s="409">
        <v>3</v>
      </c>
      <c r="BM82" s="409"/>
      <c r="BN82" s="409"/>
      <c r="BO82" s="409"/>
      <c r="BP82" s="409"/>
      <c r="BQ82" s="409">
        <v>107.53249320000006</v>
      </c>
      <c r="BR82" s="409"/>
      <c r="BS82" s="409"/>
      <c r="BT82" s="409"/>
      <c r="BU82" s="409"/>
      <c r="BV82" s="409">
        <v>810.8918959671372</v>
      </c>
      <c r="BW82" s="409"/>
      <c r="BX82" s="409"/>
      <c r="BY82" s="409"/>
      <c r="BZ82" s="409"/>
      <c r="CA82" s="409"/>
      <c r="CB82" s="409"/>
      <c r="CC82" s="409"/>
      <c r="CD82" s="409"/>
      <c r="CE82" s="409"/>
      <c r="CF82" s="409"/>
      <c r="CG82" s="409"/>
      <c r="CH82" s="409"/>
      <c r="CI82" s="409">
        <v>1686.135</v>
      </c>
      <c r="CJ82" s="409">
        <v>-51.37998319999997</v>
      </c>
      <c r="CK82" s="409"/>
      <c r="CL82" s="409"/>
      <c r="CM82" s="409"/>
      <c r="CN82" s="409"/>
      <c r="CO82" s="409">
        <v>-94.179060000000078</v>
      </c>
      <c r="CP82" s="409">
        <v>37.999000000000002</v>
      </c>
      <c r="CQ82" s="409">
        <v>31</v>
      </c>
      <c r="CR82" s="409">
        <v>35.84147592213435</v>
      </c>
      <c r="CS82" s="409">
        <v>0</v>
      </c>
      <c r="CT82" s="409">
        <v>0</v>
      </c>
      <c r="CU82" s="409">
        <v>0</v>
      </c>
      <c r="CV82" s="409">
        <v>0</v>
      </c>
      <c r="CW82" s="409">
        <v>0</v>
      </c>
      <c r="CX82" s="409">
        <v>0</v>
      </c>
      <c r="CY82" s="409">
        <v>0</v>
      </c>
      <c r="CZ82" s="409">
        <v>8.6257153284918502</v>
      </c>
      <c r="DA82" s="409">
        <v>0</v>
      </c>
      <c r="DB82" s="409">
        <v>0</v>
      </c>
      <c r="DC82" s="409">
        <v>43.103310381924643</v>
      </c>
      <c r="DD82" s="409">
        <v>0</v>
      </c>
      <c r="DE82" s="409">
        <v>0</v>
      </c>
      <c r="DF82" s="409">
        <v>0</v>
      </c>
      <c r="DG82" s="409">
        <v>0.57920938355040263</v>
      </c>
      <c r="DH82" s="409">
        <v>0</v>
      </c>
      <c r="DI82" s="409">
        <v>-11.248703717651466</v>
      </c>
      <c r="DJ82" s="409"/>
      <c r="DK82" s="409">
        <v>0</v>
      </c>
      <c r="DL82" s="409">
        <v>0</v>
      </c>
      <c r="DM82" s="409">
        <v>0</v>
      </c>
      <c r="DN82" s="409">
        <v>0</v>
      </c>
      <c r="DO82" s="409">
        <v>-1.4309021518331697</v>
      </c>
      <c r="DP82" s="409">
        <v>-0.20541122764251796</v>
      </c>
      <c r="DQ82" s="409">
        <v>0</v>
      </c>
      <c r="DR82" s="409">
        <v>-3.5817420747058506</v>
      </c>
      <c r="DS82" s="409"/>
      <c r="DT82" s="409"/>
      <c r="DU82" s="409"/>
      <c r="DV82" s="409">
        <v>578.98547834358305</v>
      </c>
      <c r="DW82" s="409">
        <v>0</v>
      </c>
      <c r="DX82" s="409">
        <v>0</v>
      </c>
      <c r="DY82" s="409">
        <v>-94.179060000000163</v>
      </c>
      <c r="DZ82" s="409">
        <v>37.999000000000024</v>
      </c>
      <c r="EA82" s="409">
        <v>0</v>
      </c>
      <c r="EB82" s="409">
        <v>0</v>
      </c>
      <c r="EC82" s="409">
        <v>-92.031468154111053</v>
      </c>
      <c r="ED82" s="409">
        <v>0</v>
      </c>
      <c r="EE82" s="409">
        <v>0</v>
      </c>
      <c r="EF82" s="409">
        <v>0</v>
      </c>
      <c r="EG82" s="409">
        <v>0</v>
      </c>
      <c r="EH82" s="409">
        <v>0</v>
      </c>
      <c r="EI82" s="409">
        <v>0</v>
      </c>
      <c r="EJ82" s="409">
        <v>0</v>
      </c>
      <c r="EK82" s="409">
        <v>0</v>
      </c>
      <c r="EL82" s="409">
        <v>0</v>
      </c>
      <c r="EM82" s="409">
        <v>0</v>
      </c>
      <c r="EN82" s="409">
        <v>0</v>
      </c>
      <c r="EO82" s="409">
        <v>0</v>
      </c>
      <c r="EP82" s="409">
        <v>0</v>
      </c>
      <c r="EQ82" s="409">
        <v>0</v>
      </c>
      <c r="ER82" s="409">
        <v>0</v>
      </c>
      <c r="ES82" s="409">
        <v>0</v>
      </c>
      <c r="ET82" s="409">
        <v>0</v>
      </c>
      <c r="EU82" s="409">
        <v>0</v>
      </c>
      <c r="EV82" s="409">
        <v>210</v>
      </c>
      <c r="EW82" s="409">
        <v>0</v>
      </c>
      <c r="EX82" s="409">
        <v>0</v>
      </c>
      <c r="EY82" s="409">
        <v>0</v>
      </c>
      <c r="EZ82" s="409"/>
      <c r="FA82" s="409">
        <v>0</v>
      </c>
      <c r="FB82" s="409"/>
      <c r="FC82" s="409"/>
      <c r="FD82" s="409"/>
      <c r="FE82" s="409"/>
      <c r="FF82" s="409">
        <v>0</v>
      </c>
      <c r="FG82" s="409">
        <v>0</v>
      </c>
      <c r="FH82" s="409">
        <v>0</v>
      </c>
      <c r="FI82" s="409">
        <v>0</v>
      </c>
    </row>
    <row r="83" spans="1:165" s="877" customFormat="1">
      <c r="A83" s="409">
        <v>81</v>
      </c>
      <c r="B83" s="409" t="s">
        <v>1035</v>
      </c>
      <c r="C83" s="409" t="s">
        <v>2246</v>
      </c>
      <c r="D83" s="409" t="s">
        <v>595</v>
      </c>
      <c r="E83" s="409" t="s">
        <v>1000</v>
      </c>
      <c r="F83" s="409" t="s">
        <v>2253</v>
      </c>
      <c r="G83" s="409" t="s">
        <v>1323</v>
      </c>
      <c r="H83" s="409" t="s">
        <v>1323</v>
      </c>
      <c r="I83" s="409" t="s">
        <v>972</v>
      </c>
      <c r="J83" s="409" t="s">
        <v>2242</v>
      </c>
      <c r="K83" s="838">
        <v>44378</v>
      </c>
      <c r="L83" s="409">
        <v>0</v>
      </c>
      <c r="M83" s="409">
        <v>0</v>
      </c>
      <c r="N83" s="409">
        <v>5.71</v>
      </c>
      <c r="O83" s="409">
        <v>5.3673999999999999</v>
      </c>
      <c r="P83" s="409">
        <v>5.71</v>
      </c>
      <c r="Q83" s="409">
        <v>5.3673999999999999</v>
      </c>
      <c r="R83" s="409"/>
      <c r="S83" s="409">
        <v>1856.88</v>
      </c>
      <c r="T83" s="409">
        <v>273.74</v>
      </c>
      <c r="U83" s="409"/>
      <c r="V83" s="409">
        <v>12165.840200000001</v>
      </c>
      <c r="W83" s="409">
        <v>12165.840200000001</v>
      </c>
      <c r="X83" s="409">
        <v>11147.4617</v>
      </c>
      <c r="Y83" s="409">
        <v>0</v>
      </c>
      <c r="Z83" s="409">
        <v>299.92196743221518</v>
      </c>
      <c r="AA83" s="409">
        <v>0</v>
      </c>
      <c r="AB83" s="409">
        <v>0</v>
      </c>
      <c r="AC83" s="409">
        <v>0</v>
      </c>
      <c r="AD83" s="409">
        <v>2798.4245801287257</v>
      </c>
      <c r="AE83" s="409">
        <v>7436.5984846843976</v>
      </c>
      <c r="AF83" s="409">
        <v>1563.0511728284553</v>
      </c>
      <c r="AG83" s="409">
        <v>0</v>
      </c>
      <c r="AH83" s="409">
        <v>0</v>
      </c>
      <c r="AI83" s="409">
        <v>0</v>
      </c>
      <c r="AJ83" s="409">
        <v>0</v>
      </c>
      <c r="AK83" s="409">
        <v>0</v>
      </c>
      <c r="AL83" s="409">
        <v>53.311693884408335</v>
      </c>
      <c r="AM83" s="409"/>
      <c r="AN83" s="409">
        <v>4.9567819670556252</v>
      </c>
      <c r="AO83" s="409">
        <v>0</v>
      </c>
      <c r="AP83" s="409">
        <v>0</v>
      </c>
      <c r="AQ83" s="409">
        <v>0</v>
      </c>
      <c r="AR83" s="409">
        <v>0</v>
      </c>
      <c r="AS83" s="409">
        <v>0</v>
      </c>
      <c r="AT83" s="409">
        <v>0</v>
      </c>
      <c r="AU83" s="409">
        <v>0</v>
      </c>
      <c r="AV83" s="409">
        <v>0</v>
      </c>
      <c r="AW83" s="409">
        <v>0</v>
      </c>
      <c r="AX83" s="409">
        <v>0</v>
      </c>
      <c r="AY83" s="409">
        <v>0</v>
      </c>
      <c r="AZ83" s="409">
        <v>0</v>
      </c>
      <c r="BA83" s="409"/>
      <c r="BB83" s="409">
        <v>0</v>
      </c>
      <c r="BC83" s="409">
        <v>0</v>
      </c>
      <c r="BD83" s="409">
        <v>0</v>
      </c>
      <c r="BE83" s="409">
        <v>0</v>
      </c>
      <c r="BF83" s="409">
        <v>0</v>
      </c>
      <c r="BG83" s="409">
        <v>9.5546907349818291</v>
      </c>
      <c r="BH83" s="409">
        <v>0</v>
      </c>
      <c r="BI83" s="409">
        <v>0</v>
      </c>
      <c r="BJ83" s="409">
        <v>0</v>
      </c>
      <c r="BK83" s="409">
        <v>0</v>
      </c>
      <c r="BL83" s="409">
        <v>0</v>
      </c>
      <c r="BM83" s="409"/>
      <c r="BN83" s="409"/>
      <c r="BO83" s="409"/>
      <c r="BP83" s="409"/>
      <c r="BQ83" s="409">
        <v>668.84770200000003</v>
      </c>
      <c r="BR83" s="409"/>
      <c r="BS83" s="409"/>
      <c r="BT83" s="409"/>
      <c r="BU83" s="409"/>
      <c r="BV83" s="409">
        <v>1572.6058635634372</v>
      </c>
      <c r="BW83" s="409"/>
      <c r="BX83" s="409"/>
      <c r="BY83" s="409"/>
      <c r="BZ83" s="409"/>
      <c r="CA83" s="409"/>
      <c r="CB83" s="409"/>
      <c r="CC83" s="409"/>
      <c r="CD83" s="409"/>
      <c r="CE83" s="409"/>
      <c r="CF83" s="409"/>
      <c r="CG83" s="409"/>
      <c r="CH83" s="409"/>
      <c r="CI83" s="409">
        <v>10483.689899999999</v>
      </c>
      <c r="CJ83" s="409">
        <v>-952.22988800000167</v>
      </c>
      <c r="CK83" s="409"/>
      <c r="CL83" s="409"/>
      <c r="CM83" s="409"/>
      <c r="CN83" s="409"/>
      <c r="CO83" s="409">
        <v>-1092.6085000000007</v>
      </c>
      <c r="CP83" s="409">
        <v>74.23</v>
      </c>
      <c r="CQ83" s="409">
        <v>31</v>
      </c>
      <c r="CR83" s="409">
        <v>163.75238147759683</v>
      </c>
      <c r="CS83" s="409">
        <v>0</v>
      </c>
      <c r="CT83" s="409">
        <v>0</v>
      </c>
      <c r="CU83" s="409">
        <v>0</v>
      </c>
      <c r="CV83" s="409">
        <v>0</v>
      </c>
      <c r="CW83" s="409">
        <v>0</v>
      </c>
      <c r="CX83" s="409">
        <v>0</v>
      </c>
      <c r="CY83" s="409">
        <v>0</v>
      </c>
      <c r="CZ83" s="409">
        <v>95.925634952476685</v>
      </c>
      <c r="DA83" s="409">
        <v>0</v>
      </c>
      <c r="DB83" s="409">
        <v>0</v>
      </c>
      <c r="DC83" s="409">
        <v>84.201129757369017</v>
      </c>
      <c r="DD83" s="409">
        <v>0</v>
      </c>
      <c r="DE83" s="409">
        <v>0</v>
      </c>
      <c r="DF83" s="409">
        <v>0</v>
      </c>
      <c r="DG83" s="409">
        <v>0.5147085190512346</v>
      </c>
      <c r="DH83" s="409">
        <v>0</v>
      </c>
      <c r="DI83" s="409">
        <v>-19.117408641182692</v>
      </c>
      <c r="DJ83" s="409"/>
      <c r="DK83" s="409">
        <v>0</v>
      </c>
      <c r="DL83" s="409">
        <v>0</v>
      </c>
      <c r="DM83" s="409">
        <v>0</v>
      </c>
      <c r="DN83" s="409">
        <v>0</v>
      </c>
      <c r="DO83" s="409">
        <v>-2.7952279462769098</v>
      </c>
      <c r="DP83" s="409">
        <v>-0.32704560153672357</v>
      </c>
      <c r="DQ83" s="409">
        <v>0</v>
      </c>
      <c r="DR83" s="409">
        <v>5.3505904376974609</v>
      </c>
      <c r="DS83" s="409"/>
      <c r="DT83" s="409"/>
      <c r="DU83" s="409"/>
      <c r="DV83" s="409">
        <v>7436.5984846843976</v>
      </c>
      <c r="DW83" s="409">
        <v>0</v>
      </c>
      <c r="DX83" s="409">
        <v>0</v>
      </c>
      <c r="DY83" s="409">
        <v>-1092.6085000000021</v>
      </c>
      <c r="DZ83" s="409">
        <v>74.230000000000018</v>
      </c>
      <c r="EA83" s="409">
        <v>0</v>
      </c>
      <c r="EB83" s="409">
        <v>0</v>
      </c>
      <c r="EC83" s="409">
        <v>-1182.0695029797816</v>
      </c>
      <c r="ED83" s="409">
        <v>0</v>
      </c>
      <c r="EE83" s="409">
        <v>0</v>
      </c>
      <c r="EF83" s="409">
        <v>0</v>
      </c>
      <c r="EG83" s="409">
        <v>0</v>
      </c>
      <c r="EH83" s="409">
        <v>0</v>
      </c>
      <c r="EI83" s="409">
        <v>0</v>
      </c>
      <c r="EJ83" s="409">
        <v>0</v>
      </c>
      <c r="EK83" s="409">
        <v>0</v>
      </c>
      <c r="EL83" s="409">
        <v>0</v>
      </c>
      <c r="EM83" s="409">
        <v>0</v>
      </c>
      <c r="EN83" s="409">
        <v>0</v>
      </c>
      <c r="EO83" s="409">
        <v>0</v>
      </c>
      <c r="EP83" s="409">
        <v>0</v>
      </c>
      <c r="EQ83" s="409">
        <v>0</v>
      </c>
      <c r="ER83" s="409">
        <v>0</v>
      </c>
      <c r="ES83" s="409">
        <v>0</v>
      </c>
      <c r="ET83" s="409">
        <v>0</v>
      </c>
      <c r="EU83" s="409">
        <v>0</v>
      </c>
      <c r="EV83" s="409">
        <v>210</v>
      </c>
      <c r="EW83" s="409">
        <v>0</v>
      </c>
      <c r="EX83" s="409">
        <v>0</v>
      </c>
      <c r="EY83" s="409">
        <v>0</v>
      </c>
      <c r="EZ83" s="409"/>
      <c r="FA83" s="409">
        <v>0</v>
      </c>
      <c r="FB83" s="409"/>
      <c r="FC83" s="409"/>
      <c r="FD83" s="409"/>
      <c r="FE83" s="409"/>
      <c r="FF83" s="409">
        <v>0</v>
      </c>
      <c r="FG83" s="409">
        <v>0</v>
      </c>
      <c r="FH83" s="409">
        <v>0</v>
      </c>
      <c r="FI83" s="409">
        <v>0</v>
      </c>
    </row>
    <row r="84" spans="1:165" s="877" customFormat="1">
      <c r="A84" s="409">
        <v>82</v>
      </c>
      <c r="B84" s="409" t="s">
        <v>1035</v>
      </c>
      <c r="C84" s="409" t="s">
        <v>2246</v>
      </c>
      <c r="D84" s="409" t="s">
        <v>595</v>
      </c>
      <c r="E84" s="409" t="s">
        <v>1000</v>
      </c>
      <c r="F84" s="409" t="s">
        <v>2253</v>
      </c>
      <c r="G84" s="409" t="s">
        <v>1323</v>
      </c>
      <c r="H84" s="409" t="s">
        <v>1323</v>
      </c>
      <c r="I84" s="409" t="s">
        <v>2234</v>
      </c>
      <c r="J84" s="409" t="s">
        <v>2242</v>
      </c>
      <c r="K84" s="838">
        <v>44378</v>
      </c>
      <c r="L84" s="409">
        <v>0</v>
      </c>
      <c r="M84" s="409">
        <v>0</v>
      </c>
      <c r="N84" s="409">
        <v>61.795999999999999</v>
      </c>
      <c r="O84" s="409">
        <v>58.088239999999999</v>
      </c>
      <c r="P84" s="409">
        <v>61.795999999999999</v>
      </c>
      <c r="Q84" s="409">
        <v>58.088239999999999</v>
      </c>
      <c r="R84" s="409"/>
      <c r="S84" s="409">
        <v>64.400000000000006</v>
      </c>
      <c r="T84" s="409">
        <v>273.74</v>
      </c>
      <c r="U84" s="409"/>
      <c r="V84" s="409">
        <v>20895.69944</v>
      </c>
      <c r="W84" s="409">
        <v>20895.69944</v>
      </c>
      <c r="X84" s="409">
        <v>21469.78428</v>
      </c>
      <c r="Y84" s="409">
        <v>0</v>
      </c>
      <c r="Z84" s="409">
        <v>3245.8805428093115</v>
      </c>
      <c r="AA84" s="409">
        <v>0</v>
      </c>
      <c r="AB84" s="409">
        <v>0</v>
      </c>
      <c r="AC84" s="409">
        <v>0</v>
      </c>
      <c r="AD84" s="409">
        <v>0</v>
      </c>
      <c r="AE84" s="409">
        <v>0</v>
      </c>
      <c r="AF84" s="409">
        <v>16915.991291787603</v>
      </c>
      <c r="AG84" s="409">
        <v>0</v>
      </c>
      <c r="AH84" s="409">
        <v>0</v>
      </c>
      <c r="AI84" s="409">
        <v>0</v>
      </c>
      <c r="AJ84" s="409">
        <v>0</v>
      </c>
      <c r="AK84" s="409">
        <v>0</v>
      </c>
      <c r="AL84" s="409">
        <v>576.96137220330957</v>
      </c>
      <c r="AM84" s="409"/>
      <c r="AN84" s="409">
        <v>53.644360496702177</v>
      </c>
      <c r="AO84" s="409">
        <v>0</v>
      </c>
      <c r="AP84" s="409">
        <v>0</v>
      </c>
      <c r="AQ84" s="409">
        <v>0</v>
      </c>
      <c r="AR84" s="409">
        <v>0</v>
      </c>
      <c r="AS84" s="409">
        <v>0</v>
      </c>
      <c r="AT84" s="409">
        <v>0</v>
      </c>
      <c r="AU84" s="409">
        <v>0</v>
      </c>
      <c r="AV84" s="409">
        <v>0</v>
      </c>
      <c r="AW84" s="409">
        <v>0</v>
      </c>
      <c r="AX84" s="409">
        <v>0</v>
      </c>
      <c r="AY84" s="409">
        <v>0</v>
      </c>
      <c r="AZ84" s="409">
        <v>0</v>
      </c>
      <c r="BA84" s="409"/>
      <c r="BB84" s="409">
        <v>0</v>
      </c>
      <c r="BC84" s="409">
        <v>0</v>
      </c>
      <c r="BD84" s="409">
        <v>0</v>
      </c>
      <c r="BE84" s="409">
        <v>0</v>
      </c>
      <c r="BF84" s="409">
        <v>0</v>
      </c>
      <c r="BG84" s="409">
        <v>103.40484564955116</v>
      </c>
      <c r="BH84" s="409">
        <v>0</v>
      </c>
      <c r="BI84" s="409">
        <v>0</v>
      </c>
      <c r="BJ84" s="409">
        <v>0</v>
      </c>
      <c r="BK84" s="409">
        <v>0</v>
      </c>
      <c r="BL84" s="409">
        <v>0</v>
      </c>
      <c r="BM84" s="409"/>
      <c r="BN84" s="409"/>
      <c r="BO84" s="409"/>
      <c r="BP84" s="409"/>
      <c r="BQ84" s="409">
        <v>1288.1870568000002</v>
      </c>
      <c r="BR84" s="409"/>
      <c r="BS84" s="409"/>
      <c r="BT84" s="409"/>
      <c r="BU84" s="409"/>
      <c r="BV84" s="409">
        <v>17019.396137437154</v>
      </c>
      <c r="BW84" s="409"/>
      <c r="BX84" s="409"/>
      <c r="BY84" s="409"/>
      <c r="BZ84" s="409"/>
      <c r="CA84" s="409"/>
      <c r="CB84" s="409"/>
      <c r="CC84" s="409"/>
      <c r="CD84" s="409"/>
      <c r="CE84" s="409"/>
      <c r="CF84" s="409"/>
      <c r="CG84" s="409"/>
      <c r="CH84" s="409"/>
      <c r="CI84" s="409">
        <v>20182.208700000003</v>
      </c>
      <c r="CJ84" s="409">
        <v>540.22122640000453</v>
      </c>
      <c r="CK84" s="409"/>
      <c r="CL84" s="409"/>
      <c r="CM84" s="409"/>
      <c r="CN84" s="409"/>
      <c r="CO84" s="409">
        <v>-229.26316000000048</v>
      </c>
      <c r="CP84" s="409">
        <v>803.34799999999996</v>
      </c>
      <c r="CQ84" s="409">
        <v>31</v>
      </c>
      <c r="CR84" s="409">
        <v>574.1790695890777</v>
      </c>
      <c r="CS84" s="409">
        <v>0</v>
      </c>
      <c r="CT84" s="409">
        <v>0</v>
      </c>
      <c r="CU84" s="409">
        <v>0</v>
      </c>
      <c r="CV84" s="409">
        <v>0</v>
      </c>
      <c r="CW84" s="409">
        <v>0</v>
      </c>
      <c r="CX84" s="409">
        <v>0</v>
      </c>
      <c r="CY84" s="409">
        <v>0</v>
      </c>
      <c r="CZ84" s="409">
        <v>0</v>
      </c>
      <c r="DA84" s="409">
        <v>0</v>
      </c>
      <c r="DB84" s="409">
        <v>0</v>
      </c>
      <c r="DC84" s="409">
        <v>911.25972232686399</v>
      </c>
      <c r="DD84" s="409">
        <v>0</v>
      </c>
      <c r="DE84" s="409">
        <v>0</v>
      </c>
      <c r="DF84" s="409">
        <v>0</v>
      </c>
      <c r="DG84" s="409">
        <v>5.5703901301733936</v>
      </c>
      <c r="DH84" s="409">
        <v>0</v>
      </c>
      <c r="DI84" s="409">
        <v>-206.89656469186093</v>
      </c>
      <c r="DJ84" s="409"/>
      <c r="DK84" s="409">
        <v>0</v>
      </c>
      <c r="DL84" s="409">
        <v>0</v>
      </c>
      <c r="DM84" s="409">
        <v>0</v>
      </c>
      <c r="DN84" s="409">
        <v>0</v>
      </c>
      <c r="DO84" s="409">
        <v>-30.251121920863056</v>
      </c>
      <c r="DP84" s="409">
        <v>-3.5394238165610119</v>
      </c>
      <c r="DQ84" s="409">
        <v>0</v>
      </c>
      <c r="DR84" s="409">
        <v>-101.96393243867814</v>
      </c>
      <c r="DS84" s="409"/>
      <c r="DT84" s="409"/>
      <c r="DU84" s="409"/>
      <c r="DV84" s="409">
        <v>0</v>
      </c>
      <c r="DW84" s="409">
        <v>0</v>
      </c>
      <c r="DX84" s="409">
        <v>0</v>
      </c>
      <c r="DY84" s="409">
        <v>-229.26316000000043</v>
      </c>
      <c r="DZ84" s="409">
        <v>803.34800000000178</v>
      </c>
      <c r="EA84" s="409">
        <v>0</v>
      </c>
      <c r="EB84" s="409">
        <v>0</v>
      </c>
      <c r="EC84" s="409">
        <v>0</v>
      </c>
      <c r="ED84" s="409">
        <v>0</v>
      </c>
      <c r="EE84" s="409">
        <v>0</v>
      </c>
      <c r="EF84" s="409">
        <v>0</v>
      </c>
      <c r="EG84" s="409">
        <v>0</v>
      </c>
      <c r="EH84" s="409">
        <v>0</v>
      </c>
      <c r="EI84" s="409">
        <v>0</v>
      </c>
      <c r="EJ84" s="409">
        <v>0</v>
      </c>
      <c r="EK84" s="409">
        <v>0</v>
      </c>
      <c r="EL84" s="409">
        <v>0</v>
      </c>
      <c r="EM84" s="409">
        <v>0</v>
      </c>
      <c r="EN84" s="409">
        <v>0</v>
      </c>
      <c r="EO84" s="409">
        <v>0</v>
      </c>
      <c r="EP84" s="409">
        <v>0</v>
      </c>
      <c r="EQ84" s="409">
        <v>0</v>
      </c>
      <c r="ER84" s="409">
        <v>0</v>
      </c>
      <c r="ES84" s="409">
        <v>0</v>
      </c>
      <c r="ET84" s="409">
        <v>0</v>
      </c>
      <c r="EU84" s="409">
        <v>0</v>
      </c>
      <c r="EV84" s="409">
        <v>210</v>
      </c>
      <c r="EW84" s="409">
        <v>0</v>
      </c>
      <c r="EX84" s="409">
        <v>0</v>
      </c>
      <c r="EY84" s="409">
        <v>0</v>
      </c>
      <c r="EZ84" s="409"/>
      <c r="FA84" s="409">
        <v>0</v>
      </c>
      <c r="FB84" s="409"/>
      <c r="FC84" s="409"/>
      <c r="FD84" s="409"/>
      <c r="FE84" s="409"/>
      <c r="FF84" s="409">
        <v>0</v>
      </c>
      <c r="FG84" s="409">
        <v>0</v>
      </c>
      <c r="FH84" s="409">
        <v>0</v>
      </c>
      <c r="FI84" s="409">
        <v>0</v>
      </c>
    </row>
    <row r="85" spans="1:165" s="877" customFormat="1">
      <c r="A85" s="409">
        <v>83</v>
      </c>
      <c r="B85" s="409" t="s">
        <v>1035</v>
      </c>
      <c r="C85" s="409" t="s">
        <v>2246</v>
      </c>
      <c r="D85" s="409" t="s">
        <v>595</v>
      </c>
      <c r="E85" s="409" t="s">
        <v>1000</v>
      </c>
      <c r="F85" s="409" t="s">
        <v>2253</v>
      </c>
      <c r="G85" s="409" t="s">
        <v>1323</v>
      </c>
      <c r="H85" s="409" t="s">
        <v>1323</v>
      </c>
      <c r="I85" s="409" t="s">
        <v>1323</v>
      </c>
      <c r="J85" s="409" t="s">
        <v>2242</v>
      </c>
      <c r="K85" s="838">
        <v>44378</v>
      </c>
      <c r="L85" s="409">
        <v>140</v>
      </c>
      <c r="M85" s="409">
        <v>131.6</v>
      </c>
      <c r="N85" s="409">
        <v>0</v>
      </c>
      <c r="O85" s="409">
        <v>0</v>
      </c>
      <c r="P85" s="409">
        <v>0</v>
      </c>
      <c r="Q85" s="409">
        <v>0</v>
      </c>
      <c r="R85" s="409">
        <v>33.6</v>
      </c>
      <c r="S85" s="409"/>
      <c r="T85" s="409"/>
      <c r="U85" s="409">
        <v>4704</v>
      </c>
      <c r="V85" s="409"/>
      <c r="W85" s="409">
        <v>4704</v>
      </c>
      <c r="X85" s="409">
        <v>4446.4000000000005</v>
      </c>
      <c r="Y85" s="409">
        <v>0</v>
      </c>
      <c r="Z85" s="409">
        <v>0</v>
      </c>
      <c r="AA85" s="409">
        <v>0</v>
      </c>
      <c r="AB85" s="409">
        <v>0</v>
      </c>
      <c r="AC85" s="409">
        <v>0</v>
      </c>
      <c r="AD85" s="409">
        <v>2498.3720823538683</v>
      </c>
      <c r="AE85" s="409">
        <v>2205.721001824802</v>
      </c>
      <c r="AF85" s="409"/>
      <c r="AG85" s="409"/>
      <c r="AH85" s="409"/>
      <c r="AI85" s="409">
        <v>0</v>
      </c>
      <c r="AJ85" s="409">
        <v>0</v>
      </c>
      <c r="AK85" s="409">
        <v>0</v>
      </c>
      <c r="AL85" s="409">
        <v>0</v>
      </c>
      <c r="AM85" s="409"/>
      <c r="AN85" s="409">
        <v>0</v>
      </c>
      <c r="AO85" s="409">
        <v>0</v>
      </c>
      <c r="AP85" s="409">
        <v>0</v>
      </c>
      <c r="AQ85" s="409">
        <v>0</v>
      </c>
      <c r="AR85" s="409">
        <v>0</v>
      </c>
      <c r="AS85" s="409"/>
      <c r="AT85" s="409"/>
      <c r="AU85" s="409">
        <v>0</v>
      </c>
      <c r="AV85" s="409">
        <v>0</v>
      </c>
      <c r="AW85" s="409">
        <v>0</v>
      </c>
      <c r="AX85" s="409"/>
      <c r="AY85" s="409"/>
      <c r="AZ85" s="409">
        <v>0</v>
      </c>
      <c r="BA85" s="409"/>
      <c r="BB85" s="409">
        <v>0</v>
      </c>
      <c r="BC85" s="409">
        <v>0</v>
      </c>
      <c r="BD85" s="409">
        <v>0</v>
      </c>
      <c r="BE85" s="409">
        <v>0</v>
      </c>
      <c r="BF85" s="409"/>
      <c r="BG85" s="409">
        <v>0</v>
      </c>
      <c r="BH85" s="409">
        <v>0</v>
      </c>
      <c r="BI85" s="409">
        <v>0</v>
      </c>
      <c r="BJ85" s="409">
        <v>0</v>
      </c>
      <c r="BK85" s="409">
        <v>7680.69</v>
      </c>
      <c r="BL85" s="409">
        <v>1</v>
      </c>
      <c r="BM85" s="409"/>
      <c r="BN85" s="409"/>
      <c r="BO85" s="409"/>
      <c r="BP85" s="409"/>
      <c r="BQ85" s="409">
        <v>266.78400000000022</v>
      </c>
      <c r="BR85" s="409"/>
      <c r="BS85" s="409"/>
      <c r="BT85" s="409"/>
      <c r="BU85" s="409"/>
      <c r="BV85" s="409">
        <v>0</v>
      </c>
      <c r="BW85" s="409"/>
      <c r="BX85" s="409"/>
      <c r="BY85" s="409"/>
      <c r="BZ85" s="409"/>
      <c r="CA85" s="409"/>
      <c r="CB85" s="409"/>
      <c r="CC85" s="409"/>
      <c r="CD85" s="409"/>
      <c r="CE85" s="409"/>
      <c r="CF85" s="409"/>
      <c r="CG85" s="409"/>
      <c r="CH85" s="409"/>
      <c r="CI85" s="409">
        <v>4179.616</v>
      </c>
      <c r="CJ85" s="409">
        <v>-242.17400000000089</v>
      </c>
      <c r="CK85" s="409"/>
      <c r="CL85" s="409"/>
      <c r="CM85" s="409"/>
      <c r="CN85" s="409"/>
      <c r="CO85" s="409">
        <v>-257.59999999999997</v>
      </c>
      <c r="CP85" s="409">
        <v>0</v>
      </c>
      <c r="CQ85" s="409">
        <v>31</v>
      </c>
      <c r="CR85" s="409">
        <v>92.429688544023975</v>
      </c>
      <c r="CS85" s="409">
        <v>0</v>
      </c>
      <c r="CT85" s="409">
        <v>0</v>
      </c>
      <c r="CU85" s="409">
        <v>0</v>
      </c>
      <c r="CV85" s="409">
        <v>0</v>
      </c>
      <c r="CW85" s="409"/>
      <c r="CX85" s="409"/>
      <c r="CY85" s="409"/>
      <c r="CZ85" s="409">
        <v>85.640302779317608</v>
      </c>
      <c r="DA85" s="409">
        <v>0</v>
      </c>
      <c r="DB85" s="409">
        <v>0</v>
      </c>
      <c r="DC85" s="409"/>
      <c r="DD85" s="409"/>
      <c r="DE85" s="409">
        <v>0</v>
      </c>
      <c r="DF85" s="409">
        <v>0</v>
      </c>
      <c r="DG85" s="409">
        <v>0</v>
      </c>
      <c r="DH85" s="409">
        <v>0</v>
      </c>
      <c r="DI85" s="409">
        <v>0</v>
      </c>
      <c r="DJ85" s="409"/>
      <c r="DK85" s="409">
        <v>0</v>
      </c>
      <c r="DL85" s="409">
        <v>0</v>
      </c>
      <c r="DM85" s="409"/>
      <c r="DN85" s="409">
        <v>0</v>
      </c>
      <c r="DO85" s="409">
        <v>0</v>
      </c>
      <c r="DP85" s="409">
        <v>0</v>
      </c>
      <c r="DQ85" s="409">
        <v>0</v>
      </c>
      <c r="DR85" s="409">
        <v>6.7893857647062585</v>
      </c>
      <c r="DS85" s="409"/>
      <c r="DT85" s="409"/>
      <c r="DU85" s="409">
        <v>2205.721001824802</v>
      </c>
      <c r="DV85" s="409"/>
      <c r="DW85" s="409">
        <v>0</v>
      </c>
      <c r="DX85" s="409">
        <v>0</v>
      </c>
      <c r="DY85" s="409">
        <v>-257.59999999999945</v>
      </c>
      <c r="DZ85" s="409"/>
      <c r="EA85" s="409">
        <v>0</v>
      </c>
      <c r="EB85" s="409"/>
      <c r="EC85" s="409">
        <v>-350.60593007797002</v>
      </c>
      <c r="ED85" s="409"/>
      <c r="EE85" s="409">
        <v>0</v>
      </c>
      <c r="EF85" s="409">
        <v>0</v>
      </c>
      <c r="EG85" s="409"/>
      <c r="EH85" s="409">
        <v>0</v>
      </c>
      <c r="EI85" s="409">
        <v>0</v>
      </c>
      <c r="EJ85" s="409">
        <v>0</v>
      </c>
      <c r="EK85" s="409">
        <v>0</v>
      </c>
      <c r="EL85" s="409">
        <v>0</v>
      </c>
      <c r="EM85" s="409"/>
      <c r="EN85" s="409"/>
      <c r="EO85" s="409">
        <v>0</v>
      </c>
      <c r="EP85" s="409">
        <v>0</v>
      </c>
      <c r="EQ85" s="409"/>
      <c r="ER85" s="409">
        <v>0</v>
      </c>
      <c r="ES85" s="409"/>
      <c r="ET85" s="409">
        <v>0</v>
      </c>
      <c r="EU85" s="409"/>
      <c r="EV85" s="409">
        <v>210</v>
      </c>
      <c r="EW85" s="409"/>
      <c r="EX85" s="409"/>
      <c r="EY85" s="409"/>
      <c r="EZ85" s="409"/>
      <c r="FA85" s="409">
        <v>0</v>
      </c>
      <c r="FB85" s="409"/>
      <c r="FC85" s="409"/>
      <c r="FD85" s="409"/>
      <c r="FE85" s="409"/>
      <c r="FF85" s="409">
        <v>0</v>
      </c>
      <c r="FG85" s="409">
        <v>0</v>
      </c>
      <c r="FH85" s="409">
        <v>0</v>
      </c>
      <c r="FI85" s="409">
        <v>0</v>
      </c>
    </row>
    <row r="86" spans="1:165" s="877" customFormat="1">
      <c r="A86" s="409">
        <v>84</v>
      </c>
      <c r="B86" s="409" t="s">
        <v>1035</v>
      </c>
      <c r="C86" s="409" t="s">
        <v>2241</v>
      </c>
      <c r="D86" s="409" t="s">
        <v>2247</v>
      </c>
      <c r="E86" s="409" t="s">
        <v>973</v>
      </c>
      <c r="F86" s="409" t="s">
        <v>2254</v>
      </c>
      <c r="G86" s="409" t="s">
        <v>2255</v>
      </c>
      <c r="H86" s="409" t="s">
        <v>1323</v>
      </c>
      <c r="I86" s="409" t="s">
        <v>1323</v>
      </c>
      <c r="J86" s="409" t="s">
        <v>2242</v>
      </c>
      <c r="K86" s="838">
        <v>44378</v>
      </c>
      <c r="L86" s="409">
        <v>0</v>
      </c>
      <c r="M86" s="409">
        <v>0</v>
      </c>
      <c r="N86" s="409">
        <v>0</v>
      </c>
      <c r="O86" s="409">
        <v>0</v>
      </c>
      <c r="P86" s="409">
        <v>0</v>
      </c>
      <c r="Q86" s="409">
        <v>0</v>
      </c>
      <c r="R86" s="409"/>
      <c r="S86" s="409"/>
      <c r="T86" s="409"/>
      <c r="U86" s="409"/>
      <c r="V86" s="409"/>
      <c r="W86" s="409"/>
      <c r="X86" s="409"/>
      <c r="Y86" s="409"/>
      <c r="Z86" s="409"/>
      <c r="AA86" s="409">
        <v>0</v>
      </c>
      <c r="AB86" s="409"/>
      <c r="AC86" s="409"/>
      <c r="AD86" s="409"/>
      <c r="AE86" s="409"/>
      <c r="AF86" s="409"/>
      <c r="AG86" s="409"/>
      <c r="AH86" s="409"/>
      <c r="AI86" s="409"/>
      <c r="AJ86" s="409"/>
      <c r="AK86" s="409"/>
      <c r="AL86" s="409"/>
      <c r="AM86" s="409"/>
      <c r="AN86" s="409"/>
      <c r="AO86" s="409"/>
      <c r="AP86" s="409"/>
      <c r="AQ86" s="409"/>
      <c r="AR86" s="409"/>
      <c r="AS86" s="409"/>
      <c r="AT86" s="409"/>
      <c r="AU86" s="409"/>
      <c r="AV86" s="409"/>
      <c r="AW86" s="409"/>
      <c r="AX86" s="409"/>
      <c r="AY86" s="409"/>
      <c r="AZ86" s="409">
        <v>0</v>
      </c>
      <c r="BA86" s="409"/>
      <c r="BB86" s="409"/>
      <c r="BC86" s="409"/>
      <c r="BD86" s="409"/>
      <c r="BE86" s="409"/>
      <c r="BF86" s="409"/>
      <c r="BG86" s="409"/>
      <c r="BH86" s="409"/>
      <c r="BI86" s="409">
        <v>77.319999999999993</v>
      </c>
      <c r="BJ86" s="409">
        <v>357.14</v>
      </c>
      <c r="BK86" s="409">
        <v>902.09</v>
      </c>
      <c r="BL86" s="409">
        <v>34</v>
      </c>
      <c r="BM86" s="409"/>
      <c r="BN86" s="409"/>
      <c r="BO86" s="409"/>
      <c r="BP86" s="409"/>
      <c r="BQ86" s="409"/>
      <c r="BR86" s="409"/>
      <c r="BS86" s="409"/>
      <c r="BT86" s="409"/>
      <c r="BU86" s="409"/>
      <c r="BV86" s="409"/>
      <c r="BW86" s="409"/>
      <c r="BX86" s="409"/>
      <c r="BY86" s="409"/>
      <c r="BZ86" s="409"/>
      <c r="CA86" s="409"/>
      <c r="CB86" s="409"/>
      <c r="CC86" s="409"/>
      <c r="CD86" s="409"/>
      <c r="CE86" s="409"/>
      <c r="CF86" s="409"/>
      <c r="CG86" s="409"/>
      <c r="CH86" s="409"/>
      <c r="CI86" s="409"/>
      <c r="CJ86" s="409">
        <v>-0.03</v>
      </c>
      <c r="CK86" s="409"/>
      <c r="CL86" s="409"/>
      <c r="CM86" s="409"/>
      <c r="CN86" s="409"/>
      <c r="CO86" s="409">
        <v>0</v>
      </c>
      <c r="CP86" s="409">
        <v>0</v>
      </c>
      <c r="CQ86" s="409">
        <v>31</v>
      </c>
      <c r="CR86" s="409"/>
      <c r="CS86" s="409"/>
      <c r="CT86" s="409"/>
      <c r="CU86" s="409"/>
      <c r="CV86" s="409"/>
      <c r="CW86" s="409"/>
      <c r="CX86" s="409"/>
      <c r="CY86" s="409"/>
      <c r="CZ86" s="409"/>
      <c r="DA86" s="409"/>
      <c r="DB86" s="409"/>
      <c r="DC86" s="409"/>
      <c r="DD86" s="409"/>
      <c r="DE86" s="409"/>
      <c r="DF86" s="409"/>
      <c r="DG86" s="409"/>
      <c r="DH86" s="409"/>
      <c r="DI86" s="409"/>
      <c r="DJ86" s="409"/>
      <c r="DK86" s="409">
        <v>0</v>
      </c>
      <c r="DL86" s="409"/>
      <c r="DM86" s="409"/>
      <c r="DN86" s="409"/>
      <c r="DO86" s="409"/>
      <c r="DP86" s="409"/>
      <c r="DQ86" s="409"/>
      <c r="DR86" s="409"/>
      <c r="DS86" s="409"/>
      <c r="DT86" s="409"/>
      <c r="DU86" s="409"/>
      <c r="DV86" s="409"/>
      <c r="DW86" s="409"/>
      <c r="DX86" s="409"/>
      <c r="DY86" s="409"/>
      <c r="DZ86" s="409"/>
      <c r="EA86" s="409"/>
      <c r="EB86" s="409"/>
      <c r="EC86" s="409"/>
      <c r="ED86" s="409"/>
      <c r="EE86" s="409"/>
      <c r="EF86" s="409"/>
      <c r="EG86" s="409"/>
      <c r="EH86" s="409"/>
      <c r="EI86" s="409"/>
      <c r="EJ86" s="409"/>
      <c r="EK86" s="409"/>
      <c r="EL86" s="409"/>
      <c r="EM86" s="409"/>
      <c r="EN86" s="409"/>
      <c r="EO86" s="409"/>
      <c r="EP86" s="409"/>
      <c r="EQ86" s="409"/>
      <c r="ER86" s="409"/>
      <c r="ES86" s="409"/>
      <c r="ET86" s="409"/>
      <c r="EU86" s="409"/>
      <c r="EV86" s="409">
        <v>210</v>
      </c>
      <c r="EW86" s="409"/>
      <c r="EX86" s="409"/>
      <c r="EY86" s="409"/>
      <c r="EZ86" s="409"/>
      <c r="FA86" s="409">
        <v>0</v>
      </c>
      <c r="FB86" s="409"/>
      <c r="FC86" s="409"/>
      <c r="FD86" s="409"/>
      <c r="FE86" s="409"/>
      <c r="FF86" s="409">
        <v>0</v>
      </c>
      <c r="FG86" s="409">
        <v>0</v>
      </c>
      <c r="FH86" s="409">
        <v>0</v>
      </c>
      <c r="FI86" s="409">
        <v>0</v>
      </c>
    </row>
    <row r="87" spans="1:165" s="877" customFormat="1">
      <c r="A87" s="409">
        <v>85</v>
      </c>
      <c r="B87" s="409" t="s">
        <v>1035</v>
      </c>
      <c r="C87" s="409" t="s">
        <v>2241</v>
      </c>
      <c r="D87" s="409" t="s">
        <v>2247</v>
      </c>
      <c r="E87" s="409" t="s">
        <v>973</v>
      </c>
      <c r="F87" s="409" t="s">
        <v>2254</v>
      </c>
      <c r="G87" s="409" t="s">
        <v>2255</v>
      </c>
      <c r="H87" s="409" t="s">
        <v>1323</v>
      </c>
      <c r="I87" s="409" t="s">
        <v>1323</v>
      </c>
      <c r="J87" s="409" t="s">
        <v>2242</v>
      </c>
      <c r="K87" s="838">
        <v>44378</v>
      </c>
      <c r="L87" s="409">
        <v>0</v>
      </c>
      <c r="M87" s="409">
        <v>0</v>
      </c>
      <c r="N87" s="409">
        <v>21.966999999999999</v>
      </c>
      <c r="O87" s="409">
        <v>21.966999999999999</v>
      </c>
      <c r="P87" s="409">
        <v>21.966999999999999</v>
      </c>
      <c r="Q87" s="409">
        <v>21.966999999999999</v>
      </c>
      <c r="R87" s="409"/>
      <c r="S87" s="409">
        <v>358.62</v>
      </c>
      <c r="T87" s="409">
        <v>273.74</v>
      </c>
      <c r="U87" s="409"/>
      <c r="V87" s="409">
        <v>13891.05212</v>
      </c>
      <c r="W87" s="409">
        <v>13891.05212</v>
      </c>
      <c r="X87" s="409">
        <v>13468.846379999999</v>
      </c>
      <c r="Y87" s="409">
        <v>0</v>
      </c>
      <c r="Z87" s="409">
        <v>1326.2447125598312</v>
      </c>
      <c r="AA87" s="409">
        <v>0</v>
      </c>
      <c r="AB87" s="409">
        <v>0</v>
      </c>
      <c r="AC87" s="409">
        <v>0</v>
      </c>
      <c r="AD87" s="409">
        <v>1891.1064682849901</v>
      </c>
      <c r="AE87" s="409">
        <v>4351.205611622815</v>
      </c>
      <c r="AF87" s="409">
        <v>6013.2303176046717</v>
      </c>
      <c r="AG87" s="409">
        <v>0</v>
      </c>
      <c r="AH87" s="409">
        <v>0</v>
      </c>
      <c r="AI87" s="409">
        <v>0</v>
      </c>
      <c r="AJ87" s="409">
        <v>0</v>
      </c>
      <c r="AK87" s="409">
        <v>0</v>
      </c>
      <c r="AL87" s="409">
        <v>205.09596839908895</v>
      </c>
      <c r="AM87" s="409"/>
      <c r="AN87" s="409">
        <v>23.396862150287095</v>
      </c>
      <c r="AO87" s="409">
        <v>0</v>
      </c>
      <c r="AP87" s="409">
        <v>0</v>
      </c>
      <c r="AQ87" s="409">
        <v>0</v>
      </c>
      <c r="AR87" s="409">
        <v>0</v>
      </c>
      <c r="AS87" s="409">
        <v>0</v>
      </c>
      <c r="AT87" s="409">
        <v>0</v>
      </c>
      <c r="AU87" s="409">
        <v>0</v>
      </c>
      <c r="AV87" s="409">
        <v>0</v>
      </c>
      <c r="AW87" s="409">
        <v>0</v>
      </c>
      <c r="AX87" s="409">
        <v>0</v>
      </c>
      <c r="AY87" s="409">
        <v>0</v>
      </c>
      <c r="AZ87" s="409">
        <v>0</v>
      </c>
      <c r="BA87" s="409"/>
      <c r="BB87" s="409">
        <v>0</v>
      </c>
      <c r="BC87" s="409">
        <v>0</v>
      </c>
      <c r="BD87" s="409">
        <v>0</v>
      </c>
      <c r="BE87" s="409">
        <v>0</v>
      </c>
      <c r="BF87" s="409">
        <v>0</v>
      </c>
      <c r="BG87" s="409">
        <v>80.803989172646723</v>
      </c>
      <c r="BH87" s="409">
        <v>0</v>
      </c>
      <c r="BI87" s="409">
        <v>0</v>
      </c>
      <c r="BJ87" s="409">
        <v>0</v>
      </c>
      <c r="BK87" s="409">
        <v>0</v>
      </c>
      <c r="BL87" s="409">
        <v>0</v>
      </c>
      <c r="BM87" s="409"/>
      <c r="BN87" s="409"/>
      <c r="BO87" s="409"/>
      <c r="BP87" s="409"/>
      <c r="BQ87" s="409"/>
      <c r="BR87" s="409">
        <v>1885.6472800000001</v>
      </c>
      <c r="BS87" s="409"/>
      <c r="BT87" s="409"/>
      <c r="BU87" s="409"/>
      <c r="BV87" s="409">
        <v>6094.0343067773183</v>
      </c>
      <c r="BW87" s="409"/>
      <c r="BX87" s="409"/>
      <c r="BY87" s="409"/>
      <c r="BZ87" s="409"/>
      <c r="CA87" s="409"/>
      <c r="CB87" s="409"/>
      <c r="CC87" s="409"/>
      <c r="CD87" s="409"/>
      <c r="CE87" s="409"/>
      <c r="CF87" s="409"/>
      <c r="CG87" s="409"/>
      <c r="CH87" s="409"/>
      <c r="CI87" s="409">
        <v>11584.780999999999</v>
      </c>
      <c r="CJ87" s="409">
        <v>-361.78228000000126</v>
      </c>
      <c r="CK87" s="409"/>
      <c r="CL87" s="409"/>
      <c r="CM87" s="409"/>
      <c r="CN87" s="409"/>
      <c r="CO87" s="409">
        <v>-707.77674000000059</v>
      </c>
      <c r="CP87" s="409">
        <v>285.57099999999997</v>
      </c>
      <c r="CQ87" s="409">
        <v>31</v>
      </c>
      <c r="CR87" s="409">
        <v>269.35672308638823</v>
      </c>
      <c r="CS87" s="409">
        <v>0</v>
      </c>
      <c r="CT87" s="409">
        <v>0</v>
      </c>
      <c r="CU87" s="409">
        <v>0</v>
      </c>
      <c r="CV87" s="409">
        <v>0</v>
      </c>
      <c r="CW87" s="409">
        <v>0</v>
      </c>
      <c r="CX87" s="409">
        <v>0</v>
      </c>
      <c r="CY87" s="409">
        <v>0</v>
      </c>
      <c r="CZ87" s="409">
        <v>64.824183585692936</v>
      </c>
      <c r="DA87" s="409">
        <v>0</v>
      </c>
      <c r="DB87" s="409">
        <v>0</v>
      </c>
      <c r="DC87" s="409">
        <v>323.93103631876056</v>
      </c>
      <c r="DD87" s="409">
        <v>0</v>
      </c>
      <c r="DE87" s="409">
        <v>0</v>
      </c>
      <c r="DF87" s="409">
        <v>0</v>
      </c>
      <c r="DG87" s="409">
        <v>4.3528883094258362</v>
      </c>
      <c r="DH87" s="409">
        <v>0</v>
      </c>
      <c r="DI87" s="409">
        <v>-84.536529102172381</v>
      </c>
      <c r="DJ87" s="409"/>
      <c r="DK87" s="409">
        <v>0</v>
      </c>
      <c r="DL87" s="409">
        <v>0</v>
      </c>
      <c r="DM87" s="409">
        <v>0</v>
      </c>
      <c r="DN87" s="409">
        <v>0</v>
      </c>
      <c r="DO87" s="409">
        <v>-10.753550314512239</v>
      </c>
      <c r="DP87" s="409">
        <v>-1.5437114052764933</v>
      </c>
      <c r="DQ87" s="409">
        <v>0</v>
      </c>
      <c r="DR87" s="409">
        <v>-26.917594305529732</v>
      </c>
      <c r="DS87" s="409"/>
      <c r="DT87" s="409"/>
      <c r="DU87" s="409"/>
      <c r="DV87" s="409">
        <v>4351.205611622815</v>
      </c>
      <c r="DW87" s="409">
        <v>0</v>
      </c>
      <c r="DX87" s="409">
        <v>0</v>
      </c>
      <c r="DY87" s="409">
        <v>-707.77674000000025</v>
      </c>
      <c r="DZ87" s="409">
        <v>285.57099999999991</v>
      </c>
      <c r="EA87" s="409">
        <v>0</v>
      </c>
      <c r="EB87" s="409">
        <v>0</v>
      </c>
      <c r="EC87" s="409">
        <v>-691.63710603536038</v>
      </c>
      <c r="ED87" s="409">
        <v>0</v>
      </c>
      <c r="EE87" s="409">
        <v>0</v>
      </c>
      <c r="EF87" s="409">
        <v>0</v>
      </c>
      <c r="EG87" s="409">
        <v>0</v>
      </c>
      <c r="EH87" s="409">
        <v>0</v>
      </c>
      <c r="EI87" s="409">
        <v>0</v>
      </c>
      <c r="EJ87" s="409">
        <v>0</v>
      </c>
      <c r="EK87" s="409">
        <v>0</v>
      </c>
      <c r="EL87" s="409">
        <v>0</v>
      </c>
      <c r="EM87" s="409">
        <v>0</v>
      </c>
      <c r="EN87" s="409">
        <v>0</v>
      </c>
      <c r="EO87" s="409">
        <v>0</v>
      </c>
      <c r="EP87" s="409">
        <v>0</v>
      </c>
      <c r="EQ87" s="409">
        <v>0</v>
      </c>
      <c r="ER87" s="409">
        <v>0</v>
      </c>
      <c r="ES87" s="409">
        <v>0</v>
      </c>
      <c r="ET87" s="409">
        <v>0</v>
      </c>
      <c r="EU87" s="409">
        <v>0</v>
      </c>
      <c r="EV87" s="409">
        <v>210</v>
      </c>
      <c r="EW87" s="409">
        <v>0</v>
      </c>
      <c r="EX87" s="409">
        <v>0</v>
      </c>
      <c r="EY87" s="409">
        <v>0</v>
      </c>
      <c r="EZ87" s="409"/>
      <c r="FA87" s="409">
        <v>0</v>
      </c>
      <c r="FB87" s="409"/>
      <c r="FC87" s="409"/>
      <c r="FD87" s="409"/>
      <c r="FE87" s="409"/>
      <c r="FF87" s="409">
        <v>0</v>
      </c>
      <c r="FG87" s="409">
        <v>0</v>
      </c>
      <c r="FH87" s="409">
        <v>0</v>
      </c>
      <c r="FI87" s="409">
        <v>0</v>
      </c>
    </row>
    <row r="88" spans="1:165" s="877" customFormat="1">
      <c r="A88" s="409">
        <v>86</v>
      </c>
      <c r="B88" s="409" t="s">
        <v>1035</v>
      </c>
      <c r="C88" s="409" t="s">
        <v>2241</v>
      </c>
      <c r="D88" s="409" t="s">
        <v>2247</v>
      </c>
      <c r="E88" s="409" t="s">
        <v>973</v>
      </c>
      <c r="F88" s="409" t="s">
        <v>2254</v>
      </c>
      <c r="G88" s="409" t="s">
        <v>2256</v>
      </c>
      <c r="H88" s="409" t="s">
        <v>1323</v>
      </c>
      <c r="I88" s="409" t="s">
        <v>1323</v>
      </c>
      <c r="J88" s="409" t="s">
        <v>2242</v>
      </c>
      <c r="K88" s="838">
        <v>44378</v>
      </c>
      <c r="L88" s="409">
        <v>0</v>
      </c>
      <c r="M88" s="409">
        <v>0</v>
      </c>
      <c r="N88" s="409">
        <v>24.509</v>
      </c>
      <c r="O88" s="409">
        <v>9.8035999999999994</v>
      </c>
      <c r="P88" s="409">
        <v>24.509</v>
      </c>
      <c r="Q88" s="409">
        <v>9.8035999999999994</v>
      </c>
      <c r="R88" s="409"/>
      <c r="S88" s="409">
        <v>358.62</v>
      </c>
      <c r="T88" s="409">
        <v>273.74</v>
      </c>
      <c r="U88" s="409"/>
      <c r="V88" s="409">
        <v>15498.51124</v>
      </c>
      <c r="W88" s="409">
        <v>15498.51124</v>
      </c>
      <c r="X88" s="409">
        <v>15027.448260000001</v>
      </c>
      <c r="Y88" s="409">
        <v>0</v>
      </c>
      <c r="Z88" s="409">
        <v>1479.7164683447402</v>
      </c>
      <c r="AA88" s="409">
        <v>0</v>
      </c>
      <c r="AB88" s="409">
        <v>0</v>
      </c>
      <c r="AC88" s="409">
        <v>0</v>
      </c>
      <c r="AD88" s="409">
        <v>2109.9434802748133</v>
      </c>
      <c r="AE88" s="409">
        <v>4854.7229177977688</v>
      </c>
      <c r="AF88" s="409">
        <v>6709.075515736009</v>
      </c>
      <c r="AG88" s="409">
        <v>0</v>
      </c>
      <c r="AH88" s="409">
        <v>0</v>
      </c>
      <c r="AI88" s="409">
        <v>0</v>
      </c>
      <c r="AJ88" s="409">
        <v>0</v>
      </c>
      <c r="AK88" s="409">
        <v>0</v>
      </c>
      <c r="AL88" s="409">
        <v>228.82947555393415</v>
      </c>
      <c r="AM88" s="409"/>
      <c r="AN88" s="409">
        <v>26.104324415777597</v>
      </c>
      <c r="AO88" s="409">
        <v>0</v>
      </c>
      <c r="AP88" s="409">
        <v>0</v>
      </c>
      <c r="AQ88" s="409">
        <v>0</v>
      </c>
      <c r="AR88" s="409">
        <v>0</v>
      </c>
      <c r="AS88" s="409">
        <v>0</v>
      </c>
      <c r="AT88" s="409">
        <v>0</v>
      </c>
      <c r="AU88" s="409">
        <v>0</v>
      </c>
      <c r="AV88" s="409">
        <v>0</v>
      </c>
      <c r="AW88" s="409">
        <v>0</v>
      </c>
      <c r="AX88" s="409">
        <v>0</v>
      </c>
      <c r="AY88" s="409">
        <v>0</v>
      </c>
      <c r="AZ88" s="409">
        <v>0</v>
      </c>
      <c r="BA88" s="409"/>
      <c r="BB88" s="409">
        <v>0</v>
      </c>
      <c r="BC88" s="409">
        <v>0</v>
      </c>
      <c r="BD88" s="409">
        <v>0</v>
      </c>
      <c r="BE88" s="409">
        <v>0</v>
      </c>
      <c r="BF88" s="409">
        <v>0</v>
      </c>
      <c r="BG88" s="409">
        <v>90.154548669932112</v>
      </c>
      <c r="BH88" s="409">
        <v>0</v>
      </c>
      <c r="BI88" s="409">
        <v>0</v>
      </c>
      <c r="BJ88" s="409">
        <v>0</v>
      </c>
      <c r="BK88" s="409">
        <v>0</v>
      </c>
      <c r="BL88" s="409">
        <v>0</v>
      </c>
      <c r="BM88" s="409"/>
      <c r="BN88" s="409"/>
      <c r="BO88" s="409"/>
      <c r="BP88" s="409"/>
      <c r="BQ88" s="409"/>
      <c r="BR88" s="409"/>
      <c r="BS88" s="409">
        <v>9858.0099799999989</v>
      </c>
      <c r="BT88" s="409"/>
      <c r="BU88" s="409"/>
      <c r="BV88" s="409">
        <v>6799.2300644059414</v>
      </c>
      <c r="BW88" s="409"/>
      <c r="BX88" s="409"/>
      <c r="BY88" s="409"/>
      <c r="BZ88" s="409"/>
      <c r="CA88" s="409"/>
      <c r="CB88" s="409"/>
      <c r="CC88" s="409"/>
      <c r="CD88" s="409"/>
      <c r="CE88" s="409"/>
      <c r="CF88" s="409"/>
      <c r="CG88" s="409"/>
      <c r="CH88" s="409"/>
      <c r="CI88" s="409">
        <v>5167.5400000000009</v>
      </c>
      <c r="CJ88" s="409">
        <v>-164.07982399999946</v>
      </c>
      <c r="CK88" s="409"/>
      <c r="CL88" s="409"/>
      <c r="CM88" s="409"/>
      <c r="CN88" s="409"/>
      <c r="CO88" s="409">
        <v>-789.67998000000068</v>
      </c>
      <c r="CP88" s="409">
        <v>318.61700000000002</v>
      </c>
      <c r="CQ88" s="409">
        <v>31</v>
      </c>
      <c r="CR88" s="409">
        <v>300.52642263961025</v>
      </c>
      <c r="CS88" s="409">
        <v>0</v>
      </c>
      <c r="CT88" s="409">
        <v>0</v>
      </c>
      <c r="CU88" s="409">
        <v>0</v>
      </c>
      <c r="CV88" s="409">
        <v>0</v>
      </c>
      <c r="CW88" s="409">
        <v>0</v>
      </c>
      <c r="CX88" s="409">
        <v>0</v>
      </c>
      <c r="CY88" s="409">
        <v>0</v>
      </c>
      <c r="CZ88" s="409">
        <v>72.325575431408197</v>
      </c>
      <c r="DA88" s="409">
        <v>0</v>
      </c>
      <c r="DB88" s="409">
        <v>0</v>
      </c>
      <c r="DC88" s="409">
        <v>361.41602263106051</v>
      </c>
      <c r="DD88" s="409">
        <v>0</v>
      </c>
      <c r="DE88" s="409">
        <v>0</v>
      </c>
      <c r="DF88" s="409">
        <v>0</v>
      </c>
      <c r="DG88" s="409">
        <v>4.8566003357635452</v>
      </c>
      <c r="DH88" s="409">
        <v>0</v>
      </c>
      <c r="DI88" s="409">
        <v>-94.319014511091382</v>
      </c>
      <c r="DJ88" s="409"/>
      <c r="DK88" s="409">
        <v>0</v>
      </c>
      <c r="DL88" s="409">
        <v>0</v>
      </c>
      <c r="DM88" s="409">
        <v>0</v>
      </c>
      <c r="DN88" s="409">
        <v>0</v>
      </c>
      <c r="DO88" s="409">
        <v>-11.997940759247086</v>
      </c>
      <c r="DP88" s="409">
        <v>-1.7223481964729608</v>
      </c>
      <c r="DQ88" s="409">
        <v>0</v>
      </c>
      <c r="DR88" s="409">
        <v>-30.032472291811722</v>
      </c>
      <c r="DS88" s="409"/>
      <c r="DT88" s="409"/>
      <c r="DU88" s="409"/>
      <c r="DV88" s="409">
        <v>4854.7229177977688</v>
      </c>
      <c r="DW88" s="409">
        <v>0</v>
      </c>
      <c r="DX88" s="409">
        <v>0</v>
      </c>
      <c r="DY88" s="409">
        <v>-789.67997999999989</v>
      </c>
      <c r="DZ88" s="409">
        <v>318.61700000000019</v>
      </c>
      <c r="EA88" s="409">
        <v>0</v>
      </c>
      <c r="EB88" s="409">
        <v>0</v>
      </c>
      <c r="EC88" s="409">
        <v>-771.6726831984638</v>
      </c>
      <c r="ED88" s="409">
        <v>0</v>
      </c>
      <c r="EE88" s="409">
        <v>0</v>
      </c>
      <c r="EF88" s="409">
        <v>0</v>
      </c>
      <c r="EG88" s="409">
        <v>0</v>
      </c>
      <c r="EH88" s="409">
        <v>0</v>
      </c>
      <c r="EI88" s="409">
        <v>0</v>
      </c>
      <c r="EJ88" s="409">
        <v>0</v>
      </c>
      <c r="EK88" s="409">
        <v>0</v>
      </c>
      <c r="EL88" s="409">
        <v>0</v>
      </c>
      <c r="EM88" s="409">
        <v>0</v>
      </c>
      <c r="EN88" s="409">
        <v>0</v>
      </c>
      <c r="EO88" s="409">
        <v>0</v>
      </c>
      <c r="EP88" s="409">
        <v>0</v>
      </c>
      <c r="EQ88" s="409">
        <v>0</v>
      </c>
      <c r="ER88" s="409">
        <v>0</v>
      </c>
      <c r="ES88" s="409">
        <v>0</v>
      </c>
      <c r="ET88" s="409">
        <v>0</v>
      </c>
      <c r="EU88" s="409">
        <v>0</v>
      </c>
      <c r="EV88" s="409">
        <v>210</v>
      </c>
      <c r="EW88" s="409">
        <v>0</v>
      </c>
      <c r="EX88" s="409">
        <v>0</v>
      </c>
      <c r="EY88" s="409">
        <v>0</v>
      </c>
      <c r="EZ88" s="409"/>
      <c r="FA88" s="409">
        <v>0</v>
      </c>
      <c r="FB88" s="409"/>
      <c r="FC88" s="409"/>
      <c r="FD88" s="409"/>
      <c r="FE88" s="409"/>
      <c r="FF88" s="409">
        <v>0</v>
      </c>
      <c r="FG88" s="409">
        <v>0</v>
      </c>
      <c r="FH88" s="409">
        <v>0</v>
      </c>
      <c r="FI88" s="409">
        <v>0</v>
      </c>
    </row>
    <row r="89" spans="1:165" s="877" customFormat="1">
      <c r="A89" s="409">
        <v>87</v>
      </c>
      <c r="B89" s="409" t="s">
        <v>1035</v>
      </c>
      <c r="C89" s="409" t="s">
        <v>2241</v>
      </c>
      <c r="D89" s="409" t="s">
        <v>1989</v>
      </c>
      <c r="E89" s="409" t="s">
        <v>968</v>
      </c>
      <c r="F89" s="409" t="s">
        <v>968</v>
      </c>
      <c r="G89" s="409" t="s">
        <v>1323</v>
      </c>
      <c r="H89" s="409" t="s">
        <v>1323</v>
      </c>
      <c r="I89" s="409" t="s">
        <v>1323</v>
      </c>
      <c r="J89" s="409" t="s">
        <v>2242</v>
      </c>
      <c r="K89" s="838">
        <v>44409</v>
      </c>
      <c r="L89" s="409">
        <v>0</v>
      </c>
      <c r="M89" s="409">
        <v>0</v>
      </c>
      <c r="N89" s="409">
        <v>76.126000000000005</v>
      </c>
      <c r="O89" s="409">
        <v>76.126000000000005</v>
      </c>
      <c r="P89" s="409">
        <v>76.126000000000005</v>
      </c>
      <c r="Q89" s="409">
        <v>76.126000000000005</v>
      </c>
      <c r="R89" s="409"/>
      <c r="S89" s="409">
        <v>358.62</v>
      </c>
      <c r="T89" s="409">
        <v>273.74</v>
      </c>
      <c r="U89" s="409"/>
      <c r="V89" s="409">
        <v>48139.037360000002</v>
      </c>
      <c r="W89" s="409">
        <v>48139.037360000002</v>
      </c>
      <c r="X89" s="409">
        <v>46675.895640000002</v>
      </c>
      <c r="Y89" s="409">
        <v>0</v>
      </c>
      <c r="Z89" s="409">
        <v>4596.0625023139128</v>
      </c>
      <c r="AA89" s="409">
        <v>0</v>
      </c>
      <c r="AB89" s="409">
        <v>0</v>
      </c>
      <c r="AC89" s="409">
        <v>0</v>
      </c>
      <c r="AD89" s="409">
        <v>6553.5744983230834</v>
      </c>
      <c r="AE89" s="409">
        <v>15078.976573514748</v>
      </c>
      <c r="AF89" s="409">
        <v>20838.674883141681</v>
      </c>
      <c r="AG89" s="409">
        <v>0</v>
      </c>
      <c r="AH89" s="409">
        <v>0</v>
      </c>
      <c r="AI89" s="409">
        <v>0</v>
      </c>
      <c r="AJ89" s="409">
        <v>0</v>
      </c>
      <c r="AK89" s="409">
        <v>0</v>
      </c>
      <c r="AL89" s="409">
        <v>710.75411710060757</v>
      </c>
      <c r="AM89" s="409"/>
      <c r="AN89" s="409">
        <v>81.08114572097945</v>
      </c>
      <c r="AO89" s="409">
        <v>0</v>
      </c>
      <c r="AP89" s="409">
        <v>0</v>
      </c>
      <c r="AQ89" s="409">
        <v>0</v>
      </c>
      <c r="AR89" s="409">
        <v>0</v>
      </c>
      <c r="AS89" s="409">
        <v>0</v>
      </c>
      <c r="AT89" s="409">
        <v>0</v>
      </c>
      <c r="AU89" s="409">
        <v>0</v>
      </c>
      <c r="AV89" s="409">
        <v>0</v>
      </c>
      <c r="AW89" s="409">
        <v>0</v>
      </c>
      <c r="AX89" s="409">
        <v>0</v>
      </c>
      <c r="AY89" s="409">
        <v>0</v>
      </c>
      <c r="AZ89" s="409">
        <v>0</v>
      </c>
      <c r="BA89" s="409"/>
      <c r="BB89" s="409">
        <v>0</v>
      </c>
      <c r="BC89" s="409">
        <v>0</v>
      </c>
      <c r="BD89" s="409">
        <v>0</v>
      </c>
      <c r="BE89" s="409">
        <v>0</v>
      </c>
      <c r="BF89" s="409">
        <v>0</v>
      </c>
      <c r="BG89" s="409">
        <v>280.02387580265423</v>
      </c>
      <c r="BH89" s="409">
        <v>0</v>
      </c>
      <c r="BI89" s="409">
        <v>407.3</v>
      </c>
      <c r="BJ89" s="409">
        <v>1901.71</v>
      </c>
      <c r="BK89" s="409">
        <v>8569.34</v>
      </c>
      <c r="BL89" s="409">
        <v>730</v>
      </c>
      <c r="BM89" s="409"/>
      <c r="BN89" s="409"/>
      <c r="BO89" s="409"/>
      <c r="BP89" s="409"/>
      <c r="BQ89" s="409"/>
      <c r="BR89" s="409"/>
      <c r="BS89" s="409"/>
      <c r="BT89" s="409"/>
      <c r="BU89" s="409"/>
      <c r="BV89" s="409">
        <v>21118.698758944334</v>
      </c>
      <c r="BW89" s="409"/>
      <c r="BX89" s="409"/>
      <c r="BY89" s="409"/>
      <c r="BZ89" s="409"/>
      <c r="CA89" s="409"/>
      <c r="CB89" s="409"/>
      <c r="CC89" s="409"/>
      <c r="CD89" s="409"/>
      <c r="CE89" s="409"/>
      <c r="CF89" s="409"/>
      <c r="CG89" s="409"/>
      <c r="CH89" s="409"/>
      <c r="CI89" s="409">
        <v>46678.348199999993</v>
      </c>
      <c r="CJ89" s="409">
        <v>-1460.7191600000078</v>
      </c>
      <c r="CK89" s="409"/>
      <c r="CL89" s="409"/>
      <c r="CM89" s="409"/>
      <c r="CN89" s="409"/>
      <c r="CO89" s="409">
        <v>-2452.7797200000023</v>
      </c>
      <c r="CP89" s="409">
        <v>989.63800000000003</v>
      </c>
      <c r="CQ89" s="409">
        <v>31</v>
      </c>
      <c r="CR89" s="409">
        <v>933.44789464535279</v>
      </c>
      <c r="CS89" s="409">
        <v>0</v>
      </c>
      <c r="CT89" s="409">
        <v>0</v>
      </c>
      <c r="CU89" s="409">
        <v>0</v>
      </c>
      <c r="CV89" s="409">
        <v>0</v>
      </c>
      <c r="CW89" s="409">
        <v>0</v>
      </c>
      <c r="CX89" s="409">
        <v>0</v>
      </c>
      <c r="CY89" s="409">
        <v>0</v>
      </c>
      <c r="CZ89" s="409">
        <v>224.64632401531617</v>
      </c>
      <c r="DA89" s="409">
        <v>0</v>
      </c>
      <c r="DB89" s="409">
        <v>0</v>
      </c>
      <c r="DC89" s="409">
        <v>1122.5735908773131</v>
      </c>
      <c r="DD89" s="409">
        <v>0</v>
      </c>
      <c r="DE89" s="409">
        <v>0</v>
      </c>
      <c r="DF89" s="409">
        <v>0</v>
      </c>
      <c r="DG89" s="409">
        <v>15.084807913841246</v>
      </c>
      <c r="DH89" s="409">
        <v>0</v>
      </c>
      <c r="DI89" s="409">
        <v>-292.95888443720014</v>
      </c>
      <c r="DJ89" s="409"/>
      <c r="DK89" s="409">
        <v>0</v>
      </c>
      <c r="DL89" s="409">
        <v>0</v>
      </c>
      <c r="DM89" s="409">
        <v>0</v>
      </c>
      <c r="DN89" s="409">
        <v>0</v>
      </c>
      <c r="DO89" s="409">
        <v>-37.26611604873483</v>
      </c>
      <c r="DP89" s="409">
        <v>-5.3496870049655456</v>
      </c>
      <c r="DQ89" s="409">
        <v>0</v>
      </c>
      <c r="DR89" s="409">
        <v>-93.282140670221537</v>
      </c>
      <c r="DS89" s="409"/>
      <c r="DT89" s="409"/>
      <c r="DU89" s="409"/>
      <c r="DV89" s="409">
        <v>15078.976573514748</v>
      </c>
      <c r="DW89" s="409">
        <v>0</v>
      </c>
      <c r="DX89" s="409">
        <v>0</v>
      </c>
      <c r="DY89" s="409">
        <v>-2452.7797200000023</v>
      </c>
      <c r="DZ89" s="409">
        <v>989.63800000000265</v>
      </c>
      <c r="EA89" s="409">
        <v>0</v>
      </c>
      <c r="EB89" s="409">
        <v>0</v>
      </c>
      <c r="EC89" s="409">
        <v>-2396.8482876154176</v>
      </c>
      <c r="ED89" s="409">
        <v>0</v>
      </c>
      <c r="EE89" s="409">
        <v>0</v>
      </c>
      <c r="EF89" s="409">
        <v>0</v>
      </c>
      <c r="EG89" s="409">
        <v>0</v>
      </c>
      <c r="EH89" s="409">
        <v>0</v>
      </c>
      <c r="EI89" s="409">
        <v>0</v>
      </c>
      <c r="EJ89" s="409">
        <v>0</v>
      </c>
      <c r="EK89" s="409">
        <v>0</v>
      </c>
      <c r="EL89" s="409">
        <v>0</v>
      </c>
      <c r="EM89" s="409">
        <v>0</v>
      </c>
      <c r="EN89" s="409">
        <v>0</v>
      </c>
      <c r="EO89" s="409">
        <v>0</v>
      </c>
      <c r="EP89" s="409">
        <v>0</v>
      </c>
      <c r="EQ89" s="409">
        <v>0</v>
      </c>
      <c r="ER89" s="409">
        <v>0</v>
      </c>
      <c r="ES89" s="409">
        <v>0</v>
      </c>
      <c r="ET89" s="409">
        <v>0</v>
      </c>
      <c r="EU89" s="409">
        <v>0</v>
      </c>
      <c r="EV89" s="409">
        <v>210</v>
      </c>
      <c r="EW89" s="409">
        <v>0</v>
      </c>
      <c r="EX89" s="409">
        <v>0</v>
      </c>
      <c r="EY89" s="409">
        <v>0</v>
      </c>
      <c r="EZ89" s="409"/>
      <c r="FA89" s="409">
        <v>0</v>
      </c>
      <c r="FB89" s="409"/>
      <c r="FC89" s="409"/>
      <c r="FD89" s="409"/>
      <c r="FE89" s="409"/>
      <c r="FF89" s="409">
        <v>0</v>
      </c>
      <c r="FG89" s="409">
        <v>0</v>
      </c>
      <c r="FH89" s="409">
        <v>0</v>
      </c>
      <c r="FI89" s="409">
        <v>0</v>
      </c>
    </row>
    <row r="90" spans="1:165" s="877" customFormat="1">
      <c r="A90" s="409">
        <v>88</v>
      </c>
      <c r="B90" s="409" t="s">
        <v>2257</v>
      </c>
      <c r="C90" s="409" t="s">
        <v>2241</v>
      </c>
      <c r="D90" s="409" t="s">
        <v>1989</v>
      </c>
      <c r="E90" s="409" t="s">
        <v>968</v>
      </c>
      <c r="F90" s="409" t="s">
        <v>968</v>
      </c>
      <c r="G90" s="409" t="s">
        <v>1323</v>
      </c>
      <c r="H90" s="409" t="s">
        <v>1323</v>
      </c>
      <c r="I90" s="409" t="s">
        <v>1323</v>
      </c>
      <c r="J90" s="409" t="s">
        <v>2242</v>
      </c>
      <c r="K90" s="838">
        <v>44409</v>
      </c>
      <c r="L90" s="409">
        <v>0</v>
      </c>
      <c r="M90" s="409">
        <v>0</v>
      </c>
      <c r="N90" s="409">
        <v>-0.17399999999999999</v>
      </c>
      <c r="O90" s="409">
        <v>-0.17399999999999999</v>
      </c>
      <c r="P90" s="409">
        <v>-0.17399999999999999</v>
      </c>
      <c r="Q90" s="409">
        <v>-0.17399999999999999</v>
      </c>
      <c r="R90" s="409"/>
      <c r="S90" s="409">
        <v>358.62</v>
      </c>
      <c r="T90" s="409">
        <v>273.74</v>
      </c>
      <c r="U90" s="409"/>
      <c r="V90" s="409">
        <v>-110.03063999999999</v>
      </c>
      <c r="W90" s="409">
        <v>-110.03063999999999</v>
      </c>
      <c r="X90" s="409">
        <v>-106.68635999999998</v>
      </c>
      <c r="Y90" s="409">
        <v>0</v>
      </c>
      <c r="Z90" s="409">
        <v>-10.505147720918224</v>
      </c>
      <c r="AA90" s="409">
        <v>0</v>
      </c>
      <c r="AB90" s="409">
        <v>0</v>
      </c>
      <c r="AC90" s="409">
        <v>0</v>
      </c>
      <c r="AD90" s="409">
        <v>-14.979402079555163</v>
      </c>
      <c r="AE90" s="409">
        <v>-34.465779415594746</v>
      </c>
      <c r="AF90" s="409">
        <v>-47.630631186015968</v>
      </c>
      <c r="AG90" s="409">
        <v>0</v>
      </c>
      <c r="AH90" s="409">
        <v>0</v>
      </c>
      <c r="AI90" s="409">
        <v>0</v>
      </c>
      <c r="AJ90" s="409">
        <v>0</v>
      </c>
      <c r="AK90" s="409">
        <v>0</v>
      </c>
      <c r="AL90" s="409">
        <v>-1.6245594984040368</v>
      </c>
      <c r="AM90" s="409"/>
      <c r="AN90" s="409">
        <v>-0.18532589858196177</v>
      </c>
      <c r="AO90" s="409">
        <v>0</v>
      </c>
      <c r="AP90" s="409">
        <v>0</v>
      </c>
      <c r="AQ90" s="409">
        <v>0</v>
      </c>
      <c r="AR90" s="409">
        <v>0</v>
      </c>
      <c r="AS90" s="409">
        <v>0</v>
      </c>
      <c r="AT90" s="409">
        <v>0</v>
      </c>
      <c r="AU90" s="409">
        <v>0</v>
      </c>
      <c r="AV90" s="409">
        <v>0</v>
      </c>
      <c r="AW90" s="409">
        <v>0</v>
      </c>
      <c r="AX90" s="409">
        <v>0</v>
      </c>
      <c r="AY90" s="409">
        <v>0</v>
      </c>
      <c r="AZ90" s="409">
        <v>0</v>
      </c>
      <c r="BA90" s="409"/>
      <c r="BB90" s="409">
        <v>0</v>
      </c>
      <c r="BC90" s="409">
        <v>0</v>
      </c>
      <c r="BD90" s="409">
        <v>0</v>
      </c>
      <c r="BE90" s="409">
        <v>0</v>
      </c>
      <c r="BF90" s="409">
        <v>0</v>
      </c>
      <c r="BG90" s="409">
        <v>-0.64004616543180815</v>
      </c>
      <c r="BH90" s="409">
        <v>0</v>
      </c>
      <c r="BI90" s="409">
        <v>-1.1599999999999999</v>
      </c>
      <c r="BJ90" s="409">
        <v>-5.39</v>
      </c>
      <c r="BK90" s="409">
        <v>-55.52</v>
      </c>
      <c r="BL90" s="409">
        <v>0</v>
      </c>
      <c r="BM90" s="409"/>
      <c r="BN90" s="409"/>
      <c r="BO90" s="409"/>
      <c r="BP90" s="409"/>
      <c r="BQ90" s="409"/>
      <c r="BR90" s="409"/>
      <c r="BS90" s="409"/>
      <c r="BT90" s="409"/>
      <c r="BU90" s="409"/>
      <c r="BV90" s="409">
        <v>-48.270677351447773</v>
      </c>
      <c r="BW90" s="409"/>
      <c r="BX90" s="409"/>
      <c r="BY90" s="409"/>
      <c r="BZ90" s="409"/>
      <c r="CA90" s="409"/>
      <c r="CB90" s="409"/>
      <c r="CC90" s="409"/>
      <c r="CD90" s="409"/>
      <c r="CE90" s="409"/>
      <c r="CF90" s="409"/>
      <c r="CG90" s="409"/>
      <c r="CH90" s="409"/>
      <c r="CI90" s="409">
        <v>-104.2338</v>
      </c>
      <c r="CJ90" s="409">
        <v>5.7668399999999878</v>
      </c>
      <c r="CK90" s="409"/>
      <c r="CL90" s="409"/>
      <c r="CM90" s="409"/>
      <c r="CN90" s="409"/>
      <c r="CO90" s="409">
        <v>5.6062800000000044</v>
      </c>
      <c r="CP90" s="409">
        <v>-2.262</v>
      </c>
      <c r="CQ90" s="409">
        <v>31</v>
      </c>
      <c r="CR90" s="409">
        <v>-2.1335671606059776</v>
      </c>
      <c r="CS90" s="409">
        <v>0</v>
      </c>
      <c r="CT90" s="409">
        <v>0</v>
      </c>
      <c r="CU90" s="409">
        <v>0</v>
      </c>
      <c r="CV90" s="409">
        <v>0</v>
      </c>
      <c r="CW90" s="409">
        <v>0</v>
      </c>
      <c r="CX90" s="409">
        <v>0</v>
      </c>
      <c r="CY90" s="409">
        <v>0</v>
      </c>
      <c r="CZ90" s="409">
        <v>-0.51347056693725079</v>
      </c>
      <c r="DA90" s="409">
        <v>0</v>
      </c>
      <c r="DB90" s="409">
        <v>0</v>
      </c>
      <c r="DC90" s="409">
        <v>-2.565848787702663</v>
      </c>
      <c r="DD90" s="409">
        <v>0</v>
      </c>
      <c r="DE90" s="409">
        <v>0</v>
      </c>
      <c r="DF90" s="409">
        <v>0</v>
      </c>
      <c r="DG90" s="409">
        <v>-3.4479108018395488E-2</v>
      </c>
      <c r="DH90" s="409">
        <v>0</v>
      </c>
      <c r="DI90" s="409">
        <v>0.66961151107470229</v>
      </c>
      <c r="DJ90" s="409"/>
      <c r="DK90" s="409">
        <v>0</v>
      </c>
      <c r="DL90" s="409">
        <v>0</v>
      </c>
      <c r="DM90" s="409">
        <v>0</v>
      </c>
      <c r="DN90" s="409">
        <v>0</v>
      </c>
      <c r="DO90" s="409">
        <v>8.5178574895303338E-2</v>
      </c>
      <c r="DP90" s="409">
        <v>1.2227695384809445E-2</v>
      </c>
      <c r="DQ90" s="409">
        <v>0</v>
      </c>
      <c r="DR90" s="409">
        <v>0.21321352069750865</v>
      </c>
      <c r="DS90" s="409"/>
      <c r="DT90" s="409"/>
      <c r="DU90" s="409"/>
      <c r="DV90" s="409">
        <v>-34.465779415594746</v>
      </c>
      <c r="DW90" s="409">
        <v>0</v>
      </c>
      <c r="DX90" s="409">
        <v>0</v>
      </c>
      <c r="DY90" s="409">
        <v>5.6062800000000053</v>
      </c>
      <c r="DZ90" s="409">
        <v>-2.2620000000000005</v>
      </c>
      <c r="EA90" s="409">
        <v>0</v>
      </c>
      <c r="EB90" s="409">
        <v>0</v>
      </c>
      <c r="EC90" s="409">
        <v>5.4784384053422244</v>
      </c>
      <c r="ED90" s="409">
        <v>0</v>
      </c>
      <c r="EE90" s="409">
        <v>0</v>
      </c>
      <c r="EF90" s="409">
        <v>0</v>
      </c>
      <c r="EG90" s="409">
        <v>0</v>
      </c>
      <c r="EH90" s="409">
        <v>0</v>
      </c>
      <c r="EI90" s="409">
        <v>0</v>
      </c>
      <c r="EJ90" s="409">
        <v>0</v>
      </c>
      <c r="EK90" s="409">
        <v>0</v>
      </c>
      <c r="EL90" s="409">
        <v>0</v>
      </c>
      <c r="EM90" s="409">
        <v>0</v>
      </c>
      <c r="EN90" s="409">
        <v>0</v>
      </c>
      <c r="EO90" s="409">
        <v>0</v>
      </c>
      <c r="EP90" s="409">
        <v>0</v>
      </c>
      <c r="EQ90" s="409">
        <v>0</v>
      </c>
      <c r="ER90" s="409">
        <v>0</v>
      </c>
      <c r="ES90" s="409">
        <v>0</v>
      </c>
      <c r="ET90" s="409">
        <v>0</v>
      </c>
      <c r="EU90" s="409">
        <v>0</v>
      </c>
      <c r="EV90" s="409">
        <v>210</v>
      </c>
      <c r="EW90" s="409">
        <v>0</v>
      </c>
      <c r="EX90" s="409">
        <v>0</v>
      </c>
      <c r="EY90" s="409">
        <v>0</v>
      </c>
      <c r="EZ90" s="409"/>
      <c r="FA90" s="409">
        <v>0</v>
      </c>
      <c r="FB90" s="409"/>
      <c r="FC90" s="409"/>
      <c r="FD90" s="409"/>
      <c r="FE90" s="409"/>
      <c r="FF90" s="409">
        <v>0</v>
      </c>
      <c r="FG90" s="409">
        <v>0</v>
      </c>
      <c r="FH90" s="409">
        <v>0</v>
      </c>
      <c r="FI90" s="409">
        <v>0</v>
      </c>
    </row>
    <row r="91" spans="1:165" s="877" customFormat="1">
      <c r="A91" s="409">
        <v>89</v>
      </c>
      <c r="B91" s="409" t="s">
        <v>2240</v>
      </c>
      <c r="C91" s="409" t="s">
        <v>2241</v>
      </c>
      <c r="D91" s="409" t="s">
        <v>1989</v>
      </c>
      <c r="E91" s="409" t="s">
        <v>968</v>
      </c>
      <c r="F91" s="409" t="s">
        <v>968</v>
      </c>
      <c r="G91" s="409" t="s">
        <v>1323</v>
      </c>
      <c r="H91" s="409" t="s">
        <v>1323</v>
      </c>
      <c r="I91" s="409" t="s">
        <v>1323</v>
      </c>
      <c r="J91" s="409" t="s">
        <v>2242</v>
      </c>
      <c r="K91" s="838">
        <v>44409</v>
      </c>
      <c r="L91" s="409">
        <v>0</v>
      </c>
      <c r="M91" s="409">
        <v>0</v>
      </c>
      <c r="N91" s="409">
        <v>0.2</v>
      </c>
      <c r="O91" s="409">
        <v>0.2</v>
      </c>
      <c r="P91" s="409">
        <v>0.2</v>
      </c>
      <c r="Q91" s="409">
        <v>0.2</v>
      </c>
      <c r="R91" s="409"/>
      <c r="S91" s="409">
        <v>358.62</v>
      </c>
      <c r="T91" s="409">
        <v>273.74</v>
      </c>
      <c r="U91" s="409"/>
      <c r="V91" s="409">
        <v>126.47200000000001</v>
      </c>
      <c r="W91" s="409">
        <v>126.47200000000001</v>
      </c>
      <c r="X91" s="409">
        <v>122.62800000000001</v>
      </c>
      <c r="Y91" s="409">
        <v>0</v>
      </c>
      <c r="Z91" s="409">
        <v>12.07488243783704</v>
      </c>
      <c r="AA91" s="409">
        <v>0</v>
      </c>
      <c r="AB91" s="409">
        <v>0</v>
      </c>
      <c r="AC91" s="409">
        <v>0</v>
      </c>
      <c r="AD91" s="409">
        <v>17.217703539718581</v>
      </c>
      <c r="AE91" s="409">
        <v>39.615838408729601</v>
      </c>
      <c r="AF91" s="409">
        <v>54.747851937949399</v>
      </c>
      <c r="AG91" s="409">
        <v>0</v>
      </c>
      <c r="AH91" s="409">
        <v>0</v>
      </c>
      <c r="AI91" s="409">
        <v>0</v>
      </c>
      <c r="AJ91" s="409">
        <v>0</v>
      </c>
      <c r="AK91" s="409">
        <v>0</v>
      </c>
      <c r="AL91" s="409">
        <v>1.8673097682805022</v>
      </c>
      <c r="AM91" s="409"/>
      <c r="AN91" s="409">
        <v>0.21301827423214001</v>
      </c>
      <c r="AO91" s="409">
        <v>0</v>
      </c>
      <c r="AP91" s="409">
        <v>0</v>
      </c>
      <c r="AQ91" s="409">
        <v>0</v>
      </c>
      <c r="AR91" s="409">
        <v>0</v>
      </c>
      <c r="AS91" s="409">
        <v>0</v>
      </c>
      <c r="AT91" s="409">
        <v>0</v>
      </c>
      <c r="AU91" s="409">
        <v>0</v>
      </c>
      <c r="AV91" s="409">
        <v>0</v>
      </c>
      <c r="AW91" s="409">
        <v>0</v>
      </c>
      <c r="AX91" s="409">
        <v>0</v>
      </c>
      <c r="AY91" s="409">
        <v>0</v>
      </c>
      <c r="AZ91" s="409">
        <v>0</v>
      </c>
      <c r="BA91" s="409"/>
      <c r="BB91" s="409">
        <v>0</v>
      </c>
      <c r="BC91" s="409">
        <v>0</v>
      </c>
      <c r="BD91" s="409">
        <v>0</v>
      </c>
      <c r="BE91" s="409">
        <v>0</v>
      </c>
      <c r="BF91" s="409">
        <v>0</v>
      </c>
      <c r="BG91" s="409">
        <v>0.7356852476227681</v>
      </c>
      <c r="BH91" s="409">
        <v>0</v>
      </c>
      <c r="BI91" s="409">
        <v>1.1299999999999999</v>
      </c>
      <c r="BJ91" s="409">
        <v>5.27</v>
      </c>
      <c r="BK91" s="409">
        <v>76.08</v>
      </c>
      <c r="BL91" s="409">
        <v>3</v>
      </c>
      <c r="BM91" s="409"/>
      <c r="BN91" s="409"/>
      <c r="BO91" s="409"/>
      <c r="BP91" s="409"/>
      <c r="BQ91" s="409"/>
      <c r="BR91" s="409"/>
      <c r="BS91" s="409"/>
      <c r="BT91" s="409"/>
      <c r="BU91" s="409"/>
      <c r="BV91" s="409">
        <v>55.483537185572168</v>
      </c>
      <c r="BW91" s="409"/>
      <c r="BX91" s="409"/>
      <c r="BY91" s="409"/>
      <c r="BZ91" s="409"/>
      <c r="CA91" s="409"/>
      <c r="CB91" s="409"/>
      <c r="CC91" s="409"/>
      <c r="CD91" s="409"/>
      <c r="CE91" s="409"/>
      <c r="CF91" s="409"/>
      <c r="CG91" s="409"/>
      <c r="CH91" s="409"/>
      <c r="CI91" s="409">
        <v>122.62800000000001</v>
      </c>
      <c r="CJ91" s="409">
        <v>-3.8740000000000094</v>
      </c>
      <c r="CK91" s="409"/>
      <c r="CL91" s="409"/>
      <c r="CM91" s="409"/>
      <c r="CN91" s="409"/>
      <c r="CO91" s="409">
        <v>-6.4440000000000062</v>
      </c>
      <c r="CP91" s="409">
        <v>2.6</v>
      </c>
      <c r="CQ91" s="409">
        <v>31</v>
      </c>
      <c r="CR91" s="409">
        <v>2.4523760466735496</v>
      </c>
      <c r="CS91" s="409">
        <v>0</v>
      </c>
      <c r="CT91" s="409">
        <v>0</v>
      </c>
      <c r="CU91" s="409">
        <v>0</v>
      </c>
      <c r="CV91" s="409">
        <v>0</v>
      </c>
      <c r="CW91" s="409">
        <v>0</v>
      </c>
      <c r="CX91" s="409">
        <v>0</v>
      </c>
      <c r="CY91" s="409">
        <v>0</v>
      </c>
      <c r="CZ91" s="409">
        <v>0.59019605395086217</v>
      </c>
      <c r="DA91" s="409">
        <v>0</v>
      </c>
      <c r="DB91" s="409">
        <v>0</v>
      </c>
      <c r="DC91" s="409">
        <v>2.9492514801180008</v>
      </c>
      <c r="DD91" s="409">
        <v>0</v>
      </c>
      <c r="DE91" s="409">
        <v>0</v>
      </c>
      <c r="DF91" s="409">
        <v>0</v>
      </c>
      <c r="DG91" s="409">
        <v>3.9631158641833975E-2</v>
      </c>
      <c r="DH91" s="409">
        <v>0</v>
      </c>
      <c r="DI91" s="409">
        <v>-0.76966840353414057</v>
      </c>
      <c r="DJ91" s="409"/>
      <c r="DK91" s="409">
        <v>0</v>
      </c>
      <c r="DL91" s="409">
        <v>0</v>
      </c>
      <c r="DM91" s="409">
        <v>0</v>
      </c>
      <c r="DN91" s="409">
        <v>0</v>
      </c>
      <c r="DO91" s="409">
        <v>-9.7906407925635985E-2</v>
      </c>
      <c r="DP91" s="409">
        <v>-1.4054822281390184E-2</v>
      </c>
      <c r="DQ91" s="409">
        <v>0</v>
      </c>
      <c r="DR91" s="409">
        <v>-0.24507301229598702</v>
      </c>
      <c r="DS91" s="409"/>
      <c r="DT91" s="409"/>
      <c r="DU91" s="409"/>
      <c r="DV91" s="409">
        <v>39.615838408729601</v>
      </c>
      <c r="DW91" s="409">
        <v>0</v>
      </c>
      <c r="DX91" s="409">
        <v>0</v>
      </c>
      <c r="DY91" s="409">
        <v>-6.4440000000000026</v>
      </c>
      <c r="DZ91" s="409">
        <v>2.6000000000000014</v>
      </c>
      <c r="EA91" s="409">
        <v>0</v>
      </c>
      <c r="EB91" s="409">
        <v>0</v>
      </c>
      <c r="EC91" s="409">
        <v>-6.2970556383244016</v>
      </c>
      <c r="ED91" s="409">
        <v>0</v>
      </c>
      <c r="EE91" s="409">
        <v>0</v>
      </c>
      <c r="EF91" s="409">
        <v>0</v>
      </c>
      <c r="EG91" s="409">
        <v>0</v>
      </c>
      <c r="EH91" s="409">
        <v>0</v>
      </c>
      <c r="EI91" s="409">
        <v>0</v>
      </c>
      <c r="EJ91" s="409">
        <v>0</v>
      </c>
      <c r="EK91" s="409">
        <v>0</v>
      </c>
      <c r="EL91" s="409">
        <v>0</v>
      </c>
      <c r="EM91" s="409">
        <v>0</v>
      </c>
      <c r="EN91" s="409">
        <v>0</v>
      </c>
      <c r="EO91" s="409">
        <v>0</v>
      </c>
      <c r="EP91" s="409">
        <v>0</v>
      </c>
      <c r="EQ91" s="409">
        <v>0</v>
      </c>
      <c r="ER91" s="409">
        <v>0</v>
      </c>
      <c r="ES91" s="409">
        <v>0</v>
      </c>
      <c r="ET91" s="409">
        <v>0</v>
      </c>
      <c r="EU91" s="409">
        <v>0</v>
      </c>
      <c r="EV91" s="409">
        <v>210</v>
      </c>
      <c r="EW91" s="409">
        <v>0</v>
      </c>
      <c r="EX91" s="409">
        <v>0</v>
      </c>
      <c r="EY91" s="409">
        <v>0</v>
      </c>
      <c r="EZ91" s="409"/>
      <c r="FA91" s="409">
        <v>0</v>
      </c>
      <c r="FB91" s="409"/>
      <c r="FC91" s="409"/>
      <c r="FD91" s="409"/>
      <c r="FE91" s="409"/>
      <c r="FF91" s="409">
        <v>0</v>
      </c>
      <c r="FG91" s="409">
        <v>0</v>
      </c>
      <c r="FH91" s="409">
        <v>0</v>
      </c>
      <c r="FI91" s="409">
        <v>0</v>
      </c>
    </row>
    <row r="92" spans="1:165" s="877" customFormat="1">
      <c r="A92" s="409">
        <v>90</v>
      </c>
      <c r="B92" s="409" t="s">
        <v>1035</v>
      </c>
      <c r="C92" s="409" t="s">
        <v>2241</v>
      </c>
      <c r="D92" s="409" t="s">
        <v>1989</v>
      </c>
      <c r="E92" s="409" t="s">
        <v>968</v>
      </c>
      <c r="F92" s="409" t="s">
        <v>2243</v>
      </c>
      <c r="G92" s="409" t="s">
        <v>1323</v>
      </c>
      <c r="H92" s="409" t="s">
        <v>1323</v>
      </c>
      <c r="I92" s="409" t="s">
        <v>1323</v>
      </c>
      <c r="J92" s="409" t="s">
        <v>2242</v>
      </c>
      <c r="K92" s="838">
        <v>44409</v>
      </c>
      <c r="L92" s="409">
        <v>0</v>
      </c>
      <c r="M92" s="409">
        <v>0</v>
      </c>
      <c r="N92" s="409">
        <v>0.3</v>
      </c>
      <c r="O92" s="409">
        <v>0.3</v>
      </c>
      <c r="P92" s="409">
        <v>0.3</v>
      </c>
      <c r="Q92" s="409">
        <v>0.3</v>
      </c>
      <c r="R92" s="409"/>
      <c r="S92" s="409">
        <v>288.91000000000003</v>
      </c>
      <c r="T92" s="409">
        <v>273.74</v>
      </c>
      <c r="U92" s="409"/>
      <c r="V92" s="409">
        <v>168.79500000000002</v>
      </c>
      <c r="W92" s="409">
        <v>168.79500000000002</v>
      </c>
      <c r="X92" s="409">
        <v>164.298</v>
      </c>
      <c r="Y92" s="409">
        <v>0</v>
      </c>
      <c r="Z92" s="409">
        <v>0</v>
      </c>
      <c r="AA92" s="409">
        <v>0</v>
      </c>
      <c r="AB92" s="409">
        <v>0</v>
      </c>
      <c r="AC92" s="409">
        <v>0</v>
      </c>
      <c r="AD92" s="409">
        <v>25.826555309577866</v>
      </c>
      <c r="AE92" s="409">
        <v>59.423757613094395</v>
      </c>
      <c r="AF92" s="409">
        <v>82.121777906924095</v>
      </c>
      <c r="AG92" s="409">
        <v>0</v>
      </c>
      <c r="AH92" s="409">
        <v>0</v>
      </c>
      <c r="AI92" s="409">
        <v>0</v>
      </c>
      <c r="AJ92" s="409">
        <v>0</v>
      </c>
      <c r="AK92" s="409">
        <v>0</v>
      </c>
      <c r="AL92" s="409">
        <v>0</v>
      </c>
      <c r="AM92" s="409"/>
      <c r="AN92" s="409">
        <v>0.31952741134821</v>
      </c>
      <c r="AO92" s="409">
        <v>0</v>
      </c>
      <c r="AP92" s="409">
        <v>0</v>
      </c>
      <c r="AQ92" s="409">
        <v>0</v>
      </c>
      <c r="AR92" s="409">
        <v>0</v>
      </c>
      <c r="AS92" s="409">
        <v>0</v>
      </c>
      <c r="AT92" s="409">
        <v>0</v>
      </c>
      <c r="AU92" s="409">
        <v>0</v>
      </c>
      <c r="AV92" s="409">
        <v>0</v>
      </c>
      <c r="AW92" s="409">
        <v>0</v>
      </c>
      <c r="AX92" s="409">
        <v>0</v>
      </c>
      <c r="AY92" s="409">
        <v>0</v>
      </c>
      <c r="AZ92" s="409">
        <v>0</v>
      </c>
      <c r="BA92" s="409"/>
      <c r="BB92" s="409">
        <v>0</v>
      </c>
      <c r="BC92" s="409">
        <v>0</v>
      </c>
      <c r="BD92" s="409">
        <v>0</v>
      </c>
      <c r="BE92" s="409">
        <v>0</v>
      </c>
      <c r="BF92" s="409">
        <v>0</v>
      </c>
      <c r="BG92" s="409">
        <v>1.1035278714341521</v>
      </c>
      <c r="BH92" s="409">
        <v>0</v>
      </c>
      <c r="BI92" s="409">
        <v>0.43</v>
      </c>
      <c r="BJ92" s="409">
        <v>2.14</v>
      </c>
      <c r="BK92" s="409">
        <v>10.08</v>
      </c>
      <c r="BL92" s="409">
        <v>2</v>
      </c>
      <c r="BM92" s="409"/>
      <c r="BN92" s="409"/>
      <c r="BO92" s="409"/>
      <c r="BP92" s="409"/>
      <c r="BQ92" s="409"/>
      <c r="BR92" s="409"/>
      <c r="BS92" s="409"/>
      <c r="BT92" s="409">
        <v>106.794</v>
      </c>
      <c r="BU92" s="409"/>
      <c r="BV92" s="409">
        <v>83.225305778358248</v>
      </c>
      <c r="BW92" s="409"/>
      <c r="BX92" s="409"/>
      <c r="BY92" s="409"/>
      <c r="BZ92" s="409"/>
      <c r="CA92" s="409"/>
      <c r="CB92" s="409"/>
      <c r="CC92" s="409"/>
      <c r="CD92" s="409"/>
      <c r="CE92" s="409"/>
      <c r="CF92" s="409"/>
      <c r="CG92" s="409"/>
      <c r="CH92" s="409"/>
      <c r="CI92" s="409">
        <v>57.503999999999991</v>
      </c>
      <c r="CJ92" s="409">
        <v>-1.6050000000000111</v>
      </c>
      <c r="CK92" s="409"/>
      <c r="CL92" s="409"/>
      <c r="CM92" s="409"/>
      <c r="CN92" s="409"/>
      <c r="CO92" s="409">
        <v>-8.397000000000002</v>
      </c>
      <c r="CP92" s="409">
        <v>3.9</v>
      </c>
      <c r="CQ92" s="409">
        <v>31</v>
      </c>
      <c r="CR92" s="409">
        <v>4.9497422794861308</v>
      </c>
      <c r="CS92" s="409">
        <v>0</v>
      </c>
      <c r="CT92" s="409">
        <v>0</v>
      </c>
      <c r="CU92" s="409">
        <v>0</v>
      </c>
      <c r="CV92" s="409">
        <v>0</v>
      </c>
      <c r="CW92" s="409">
        <v>0</v>
      </c>
      <c r="CX92" s="409">
        <v>0</v>
      </c>
      <c r="CY92" s="409">
        <v>0</v>
      </c>
      <c r="CZ92" s="409">
        <v>0.88529408092629325</v>
      </c>
      <c r="DA92" s="409">
        <v>0</v>
      </c>
      <c r="DB92" s="409">
        <v>0</v>
      </c>
      <c r="DC92" s="409">
        <v>4.4238772201770047</v>
      </c>
      <c r="DD92" s="409">
        <v>0</v>
      </c>
      <c r="DE92" s="409">
        <v>0</v>
      </c>
      <c r="DF92" s="409">
        <v>0</v>
      </c>
      <c r="DG92" s="409">
        <v>5.9446737962750795E-2</v>
      </c>
      <c r="DH92" s="409">
        <v>0</v>
      </c>
      <c r="DI92" s="409">
        <v>0</v>
      </c>
      <c r="DJ92" s="409"/>
      <c r="DK92" s="409">
        <v>0</v>
      </c>
      <c r="DL92" s="409">
        <v>0</v>
      </c>
      <c r="DM92" s="409">
        <v>0</v>
      </c>
      <c r="DN92" s="409">
        <v>0</v>
      </c>
      <c r="DO92" s="409">
        <v>0</v>
      </c>
      <c r="DP92" s="409">
        <v>-2.1082233422085317E-2</v>
      </c>
      <c r="DQ92" s="409">
        <v>0</v>
      </c>
      <c r="DR92" s="409">
        <v>-0.39779352615783092</v>
      </c>
      <c r="DS92" s="409"/>
      <c r="DT92" s="409"/>
      <c r="DU92" s="409"/>
      <c r="DV92" s="409">
        <v>59.423757613094395</v>
      </c>
      <c r="DW92" s="409">
        <v>0</v>
      </c>
      <c r="DX92" s="409">
        <v>0</v>
      </c>
      <c r="DY92" s="409">
        <v>-8.3970000000000056</v>
      </c>
      <c r="DZ92" s="409">
        <v>3.9000000000000057</v>
      </c>
      <c r="EA92" s="409">
        <v>0</v>
      </c>
      <c r="EB92" s="409">
        <v>0</v>
      </c>
      <c r="EC92" s="409">
        <v>-9.4455834574865989</v>
      </c>
      <c r="ED92" s="409">
        <v>0</v>
      </c>
      <c r="EE92" s="409">
        <v>0</v>
      </c>
      <c r="EF92" s="409">
        <v>0</v>
      </c>
      <c r="EG92" s="409">
        <v>0</v>
      </c>
      <c r="EH92" s="409">
        <v>0</v>
      </c>
      <c r="EI92" s="409">
        <v>0</v>
      </c>
      <c r="EJ92" s="409">
        <v>0</v>
      </c>
      <c r="EK92" s="409">
        <v>0</v>
      </c>
      <c r="EL92" s="409">
        <v>0</v>
      </c>
      <c r="EM92" s="409">
        <v>0</v>
      </c>
      <c r="EN92" s="409">
        <v>0</v>
      </c>
      <c r="EO92" s="409">
        <v>0</v>
      </c>
      <c r="EP92" s="409">
        <v>0</v>
      </c>
      <c r="EQ92" s="409">
        <v>0</v>
      </c>
      <c r="ER92" s="409">
        <v>0</v>
      </c>
      <c r="ES92" s="409">
        <v>0</v>
      </c>
      <c r="ET92" s="409">
        <v>0</v>
      </c>
      <c r="EU92" s="409">
        <v>0</v>
      </c>
      <c r="EV92" s="409">
        <v>210</v>
      </c>
      <c r="EW92" s="409">
        <v>0</v>
      </c>
      <c r="EX92" s="409">
        <v>0</v>
      </c>
      <c r="EY92" s="409">
        <v>0</v>
      </c>
      <c r="EZ92" s="409"/>
      <c r="FA92" s="409">
        <v>0</v>
      </c>
      <c r="FB92" s="409"/>
      <c r="FC92" s="409"/>
      <c r="FD92" s="409"/>
      <c r="FE92" s="409"/>
      <c r="FF92" s="409">
        <v>0</v>
      </c>
      <c r="FG92" s="409">
        <v>0</v>
      </c>
      <c r="FH92" s="409">
        <v>0</v>
      </c>
      <c r="FI92" s="409">
        <v>0</v>
      </c>
    </row>
    <row r="93" spans="1:165" s="877" customFormat="1">
      <c r="A93" s="409">
        <v>91</v>
      </c>
      <c r="B93" s="409" t="s">
        <v>1035</v>
      </c>
      <c r="C93" s="409" t="s">
        <v>2241</v>
      </c>
      <c r="D93" s="409" t="s">
        <v>1989</v>
      </c>
      <c r="E93" s="409" t="s">
        <v>968</v>
      </c>
      <c r="F93" s="409" t="s">
        <v>2244</v>
      </c>
      <c r="G93" s="409" t="s">
        <v>1323</v>
      </c>
      <c r="H93" s="409" t="s">
        <v>1323</v>
      </c>
      <c r="I93" s="409" t="s">
        <v>1323</v>
      </c>
      <c r="J93" s="409" t="s">
        <v>2242</v>
      </c>
      <c r="K93" s="838">
        <v>44409</v>
      </c>
      <c r="L93" s="409">
        <v>0</v>
      </c>
      <c r="M93" s="409">
        <v>0</v>
      </c>
      <c r="N93" s="409">
        <v>0.55800000000000005</v>
      </c>
      <c r="O93" s="409">
        <v>0.55800000000000005</v>
      </c>
      <c r="P93" s="409">
        <v>0.55800000000000005</v>
      </c>
      <c r="Q93" s="409">
        <v>0.55800000000000005</v>
      </c>
      <c r="R93" s="409"/>
      <c r="S93" s="409">
        <v>288.91000000000003</v>
      </c>
      <c r="T93" s="409">
        <v>273.74</v>
      </c>
      <c r="U93" s="409"/>
      <c r="V93" s="409">
        <v>313.95870000000002</v>
      </c>
      <c r="W93" s="409">
        <v>313.95870000000002</v>
      </c>
      <c r="X93" s="409">
        <v>305.59428000000003</v>
      </c>
      <c r="Y93" s="409">
        <v>0</v>
      </c>
      <c r="Z93" s="409">
        <v>0</v>
      </c>
      <c r="AA93" s="409">
        <v>0</v>
      </c>
      <c r="AB93" s="409">
        <v>0</v>
      </c>
      <c r="AC93" s="409">
        <v>0</v>
      </c>
      <c r="AD93" s="409">
        <v>48.037392875814838</v>
      </c>
      <c r="AE93" s="409">
        <v>110.52818916035559</v>
      </c>
      <c r="AF93" s="409">
        <v>152.74650690687884</v>
      </c>
      <c r="AG93" s="409">
        <v>0</v>
      </c>
      <c r="AH93" s="409">
        <v>0</v>
      </c>
      <c r="AI93" s="409">
        <v>0</v>
      </c>
      <c r="AJ93" s="409">
        <v>0</v>
      </c>
      <c r="AK93" s="409">
        <v>0</v>
      </c>
      <c r="AL93" s="409">
        <v>0</v>
      </c>
      <c r="AM93" s="409"/>
      <c r="AN93" s="409">
        <v>0.59432098510767062</v>
      </c>
      <c r="AO93" s="409">
        <v>0</v>
      </c>
      <c r="AP93" s="409">
        <v>0</v>
      </c>
      <c r="AQ93" s="409">
        <v>0</v>
      </c>
      <c r="AR93" s="409">
        <v>0</v>
      </c>
      <c r="AS93" s="409">
        <v>0</v>
      </c>
      <c r="AT93" s="409">
        <v>0</v>
      </c>
      <c r="AU93" s="409">
        <v>0</v>
      </c>
      <c r="AV93" s="409">
        <v>0</v>
      </c>
      <c r="AW93" s="409">
        <v>0</v>
      </c>
      <c r="AX93" s="409">
        <v>0</v>
      </c>
      <c r="AY93" s="409">
        <v>0</v>
      </c>
      <c r="AZ93" s="409">
        <v>0</v>
      </c>
      <c r="BA93" s="409"/>
      <c r="BB93" s="409">
        <v>0</v>
      </c>
      <c r="BC93" s="409">
        <v>0</v>
      </c>
      <c r="BD93" s="409">
        <v>0</v>
      </c>
      <c r="BE93" s="409">
        <v>0</v>
      </c>
      <c r="BF93" s="409">
        <v>0</v>
      </c>
      <c r="BG93" s="409">
        <v>2.052561840867523</v>
      </c>
      <c r="BH93" s="409">
        <v>0</v>
      </c>
      <c r="BI93" s="409">
        <v>1.56</v>
      </c>
      <c r="BJ93" s="409">
        <v>7.16</v>
      </c>
      <c r="BK93" s="409">
        <v>41.13</v>
      </c>
      <c r="BL93" s="409">
        <v>1</v>
      </c>
      <c r="BM93" s="409"/>
      <c r="BN93" s="409"/>
      <c r="BO93" s="409"/>
      <c r="BP93" s="409"/>
      <c r="BQ93" s="409"/>
      <c r="BR93" s="409"/>
      <c r="BS93" s="409"/>
      <c r="BT93" s="409">
        <v>122.23548000000002</v>
      </c>
      <c r="BU93" s="409"/>
      <c r="BV93" s="409">
        <v>154.79906874774636</v>
      </c>
      <c r="BW93" s="409"/>
      <c r="BX93" s="409"/>
      <c r="BY93" s="409"/>
      <c r="BZ93" s="409"/>
      <c r="CA93" s="409"/>
      <c r="CB93" s="409"/>
      <c r="CC93" s="409"/>
      <c r="CD93" s="409"/>
      <c r="CE93" s="409"/>
      <c r="CF93" s="409"/>
      <c r="CG93" s="409"/>
      <c r="CH93" s="409"/>
      <c r="CI93" s="409">
        <v>184.01600000000002</v>
      </c>
      <c r="CJ93" s="409">
        <v>-4.389220000000023</v>
      </c>
      <c r="CK93" s="409"/>
      <c r="CL93" s="409"/>
      <c r="CM93" s="409"/>
      <c r="CN93" s="409"/>
      <c r="CO93" s="409">
        <v>-15.618420000000006</v>
      </c>
      <c r="CP93" s="409">
        <v>7.2540000000000004</v>
      </c>
      <c r="CQ93" s="409">
        <v>31</v>
      </c>
      <c r="CR93" s="409">
        <v>9.2065206398442285</v>
      </c>
      <c r="CS93" s="409">
        <v>0</v>
      </c>
      <c r="CT93" s="409">
        <v>0</v>
      </c>
      <c r="CU93" s="409">
        <v>0</v>
      </c>
      <c r="CV93" s="409">
        <v>0</v>
      </c>
      <c r="CW93" s="409">
        <v>0</v>
      </c>
      <c r="CX93" s="409">
        <v>0</v>
      </c>
      <c r="CY93" s="409">
        <v>0</v>
      </c>
      <c r="CZ93" s="409">
        <v>1.6466469905229104</v>
      </c>
      <c r="DA93" s="409">
        <v>0</v>
      </c>
      <c r="DB93" s="409">
        <v>0</v>
      </c>
      <c r="DC93" s="409">
        <v>8.2284116295292336</v>
      </c>
      <c r="DD93" s="409">
        <v>0</v>
      </c>
      <c r="DE93" s="409">
        <v>0</v>
      </c>
      <c r="DF93" s="409">
        <v>0</v>
      </c>
      <c r="DG93" s="409">
        <v>0.11057093261071671</v>
      </c>
      <c r="DH93" s="409">
        <v>0</v>
      </c>
      <c r="DI93" s="409">
        <v>0</v>
      </c>
      <c r="DJ93" s="409"/>
      <c r="DK93" s="409">
        <v>0</v>
      </c>
      <c r="DL93" s="409">
        <v>0</v>
      </c>
      <c r="DM93" s="409">
        <v>0</v>
      </c>
      <c r="DN93" s="409">
        <v>0</v>
      </c>
      <c r="DO93" s="409">
        <v>0</v>
      </c>
      <c r="DP93" s="409">
        <v>-3.921295416507864E-2</v>
      </c>
      <c r="DQ93" s="409">
        <v>0</v>
      </c>
      <c r="DR93" s="409">
        <v>-0.7398959586535655</v>
      </c>
      <c r="DS93" s="409"/>
      <c r="DT93" s="409"/>
      <c r="DU93" s="409"/>
      <c r="DV93" s="409">
        <v>110.52818916035559</v>
      </c>
      <c r="DW93" s="409">
        <v>0</v>
      </c>
      <c r="DX93" s="409">
        <v>0</v>
      </c>
      <c r="DY93" s="409">
        <v>-15.618420000000015</v>
      </c>
      <c r="DZ93" s="409">
        <v>7.2539999999999907</v>
      </c>
      <c r="EA93" s="409">
        <v>0</v>
      </c>
      <c r="EB93" s="409">
        <v>0</v>
      </c>
      <c r="EC93" s="409">
        <v>-17.568785230925087</v>
      </c>
      <c r="ED93" s="409">
        <v>0</v>
      </c>
      <c r="EE93" s="409">
        <v>0</v>
      </c>
      <c r="EF93" s="409">
        <v>0</v>
      </c>
      <c r="EG93" s="409">
        <v>0</v>
      </c>
      <c r="EH93" s="409">
        <v>0</v>
      </c>
      <c r="EI93" s="409">
        <v>0</v>
      </c>
      <c r="EJ93" s="409">
        <v>0</v>
      </c>
      <c r="EK93" s="409">
        <v>0</v>
      </c>
      <c r="EL93" s="409">
        <v>0</v>
      </c>
      <c r="EM93" s="409">
        <v>0</v>
      </c>
      <c r="EN93" s="409">
        <v>0</v>
      </c>
      <c r="EO93" s="409">
        <v>0</v>
      </c>
      <c r="EP93" s="409">
        <v>0</v>
      </c>
      <c r="EQ93" s="409">
        <v>0</v>
      </c>
      <c r="ER93" s="409">
        <v>0</v>
      </c>
      <c r="ES93" s="409">
        <v>0</v>
      </c>
      <c r="ET93" s="409">
        <v>0</v>
      </c>
      <c r="EU93" s="409">
        <v>0</v>
      </c>
      <c r="EV93" s="409">
        <v>210</v>
      </c>
      <c r="EW93" s="409">
        <v>0</v>
      </c>
      <c r="EX93" s="409">
        <v>0</v>
      </c>
      <c r="EY93" s="409">
        <v>0</v>
      </c>
      <c r="EZ93" s="409"/>
      <c r="FA93" s="409">
        <v>0</v>
      </c>
      <c r="FB93" s="409"/>
      <c r="FC93" s="409"/>
      <c r="FD93" s="409"/>
      <c r="FE93" s="409"/>
      <c r="FF93" s="409">
        <v>0</v>
      </c>
      <c r="FG93" s="409">
        <v>0</v>
      </c>
      <c r="FH93" s="409">
        <v>0</v>
      </c>
      <c r="FI93" s="409">
        <v>0</v>
      </c>
    </row>
    <row r="94" spans="1:165" s="877" customFormat="1">
      <c r="A94" s="409">
        <v>92</v>
      </c>
      <c r="B94" s="409" t="s">
        <v>1035</v>
      </c>
      <c r="C94" s="409" t="s">
        <v>2241</v>
      </c>
      <c r="D94" s="409" t="s">
        <v>1989</v>
      </c>
      <c r="E94" s="409" t="s">
        <v>968</v>
      </c>
      <c r="F94" s="409" t="s">
        <v>2245</v>
      </c>
      <c r="G94" s="409" t="s">
        <v>1323</v>
      </c>
      <c r="H94" s="409" t="s">
        <v>1323</v>
      </c>
      <c r="I94" s="409" t="s">
        <v>1323</v>
      </c>
      <c r="J94" s="409" t="s">
        <v>2242</v>
      </c>
      <c r="K94" s="838">
        <v>44409</v>
      </c>
      <c r="L94" s="409">
        <v>0</v>
      </c>
      <c r="M94" s="409">
        <v>0</v>
      </c>
      <c r="N94" s="409">
        <v>0.57499999999999996</v>
      </c>
      <c r="O94" s="409">
        <v>0.57499999999999996</v>
      </c>
      <c r="P94" s="409">
        <v>0.57499999999999996</v>
      </c>
      <c r="Q94" s="409">
        <v>0.57499999999999996</v>
      </c>
      <c r="R94" s="409"/>
      <c r="S94" s="409">
        <v>288.91000000000003</v>
      </c>
      <c r="T94" s="409">
        <v>273.74</v>
      </c>
      <c r="U94" s="409"/>
      <c r="V94" s="409">
        <v>323.52375000000001</v>
      </c>
      <c r="W94" s="409">
        <v>323.52375000000001</v>
      </c>
      <c r="X94" s="409">
        <v>314.90449999999998</v>
      </c>
      <c r="Y94" s="409">
        <v>0</v>
      </c>
      <c r="Z94" s="409">
        <v>0</v>
      </c>
      <c r="AA94" s="409">
        <v>0</v>
      </c>
      <c r="AB94" s="409">
        <v>0</v>
      </c>
      <c r="AC94" s="409">
        <v>0</v>
      </c>
      <c r="AD94" s="409">
        <v>49.500897676690911</v>
      </c>
      <c r="AE94" s="409">
        <v>113.89553542509759</v>
      </c>
      <c r="AF94" s="409">
        <v>157.40007432160451</v>
      </c>
      <c r="AG94" s="409">
        <v>0</v>
      </c>
      <c r="AH94" s="409">
        <v>0</v>
      </c>
      <c r="AI94" s="409">
        <v>0</v>
      </c>
      <c r="AJ94" s="409">
        <v>0</v>
      </c>
      <c r="AK94" s="409">
        <v>0</v>
      </c>
      <c r="AL94" s="409">
        <v>0</v>
      </c>
      <c r="AM94" s="409"/>
      <c r="AN94" s="409">
        <v>0.61242753841740238</v>
      </c>
      <c r="AO94" s="409">
        <v>0</v>
      </c>
      <c r="AP94" s="409">
        <v>0</v>
      </c>
      <c r="AQ94" s="409">
        <v>0</v>
      </c>
      <c r="AR94" s="409">
        <v>0</v>
      </c>
      <c r="AS94" s="409">
        <v>0</v>
      </c>
      <c r="AT94" s="409">
        <v>0</v>
      </c>
      <c r="AU94" s="409">
        <v>0</v>
      </c>
      <c r="AV94" s="409">
        <v>0</v>
      </c>
      <c r="AW94" s="409">
        <v>0</v>
      </c>
      <c r="AX94" s="409">
        <v>0</v>
      </c>
      <c r="AY94" s="409">
        <v>0</v>
      </c>
      <c r="AZ94" s="409">
        <v>0</v>
      </c>
      <c r="BA94" s="409"/>
      <c r="BB94" s="409">
        <v>0</v>
      </c>
      <c r="BC94" s="409">
        <v>0</v>
      </c>
      <c r="BD94" s="409">
        <v>0</v>
      </c>
      <c r="BE94" s="409">
        <v>0</v>
      </c>
      <c r="BF94" s="409">
        <v>0</v>
      </c>
      <c r="BG94" s="409">
        <v>2.1150950869154581</v>
      </c>
      <c r="BH94" s="409">
        <v>0</v>
      </c>
      <c r="BI94" s="409">
        <v>2.83</v>
      </c>
      <c r="BJ94" s="409">
        <v>13.16</v>
      </c>
      <c r="BK94" s="409">
        <v>86.44</v>
      </c>
      <c r="BL94" s="409">
        <v>5</v>
      </c>
      <c r="BM94" s="409"/>
      <c r="BN94" s="409"/>
      <c r="BO94" s="409"/>
      <c r="BP94" s="409"/>
      <c r="BQ94" s="409"/>
      <c r="BR94" s="409"/>
      <c r="BS94" s="409"/>
      <c r="BT94" s="409">
        <v>31.487000000000009</v>
      </c>
      <c r="BU94" s="409"/>
      <c r="BV94" s="409">
        <v>159.51516940851997</v>
      </c>
      <c r="BW94" s="409"/>
      <c r="BX94" s="409"/>
      <c r="BY94" s="409"/>
      <c r="BZ94" s="409"/>
      <c r="CA94" s="409"/>
      <c r="CB94" s="409"/>
      <c r="CC94" s="409"/>
      <c r="CD94" s="409"/>
      <c r="CE94" s="409"/>
      <c r="CF94" s="409"/>
      <c r="CG94" s="409"/>
      <c r="CH94" s="409"/>
      <c r="CI94" s="409">
        <v>285.88200000000001</v>
      </c>
      <c r="CJ94" s="409">
        <v>-5.32224999999994</v>
      </c>
      <c r="CK94" s="409"/>
      <c r="CL94" s="409"/>
      <c r="CM94" s="409"/>
      <c r="CN94" s="409"/>
      <c r="CO94" s="409">
        <v>-16.094250000000002</v>
      </c>
      <c r="CP94" s="409">
        <v>7.4749999999999996</v>
      </c>
      <c r="CQ94" s="409">
        <v>31</v>
      </c>
      <c r="CR94" s="409">
        <v>9.4870060356818158</v>
      </c>
      <c r="CS94" s="409">
        <v>0</v>
      </c>
      <c r="CT94" s="409">
        <v>0</v>
      </c>
      <c r="CU94" s="409">
        <v>0</v>
      </c>
      <c r="CV94" s="409">
        <v>0</v>
      </c>
      <c r="CW94" s="409">
        <v>0</v>
      </c>
      <c r="CX94" s="409">
        <v>0</v>
      </c>
      <c r="CY94" s="409">
        <v>0</v>
      </c>
      <c r="CZ94" s="409">
        <v>1.6968136551087269</v>
      </c>
      <c r="DA94" s="409">
        <v>0</v>
      </c>
      <c r="DB94" s="409">
        <v>0</v>
      </c>
      <c r="DC94" s="409">
        <v>8.4790980053392673</v>
      </c>
      <c r="DD94" s="409">
        <v>0</v>
      </c>
      <c r="DE94" s="409">
        <v>0</v>
      </c>
      <c r="DF94" s="409">
        <v>0</v>
      </c>
      <c r="DG94" s="409">
        <v>0.11393958109527258</v>
      </c>
      <c r="DH94" s="409">
        <v>0</v>
      </c>
      <c r="DI94" s="409">
        <v>0</v>
      </c>
      <c r="DJ94" s="409"/>
      <c r="DK94" s="409">
        <v>0</v>
      </c>
      <c r="DL94" s="409">
        <v>0</v>
      </c>
      <c r="DM94" s="409">
        <v>0</v>
      </c>
      <c r="DN94" s="409">
        <v>0</v>
      </c>
      <c r="DO94" s="409">
        <v>0</v>
      </c>
      <c r="DP94" s="409">
        <v>-4.0407614058996733E-2</v>
      </c>
      <c r="DQ94" s="409">
        <v>0</v>
      </c>
      <c r="DR94" s="409">
        <v>-0.76243759180250925</v>
      </c>
      <c r="DS94" s="409"/>
      <c r="DT94" s="409"/>
      <c r="DU94" s="409"/>
      <c r="DV94" s="409">
        <v>113.89553542509759</v>
      </c>
      <c r="DW94" s="409">
        <v>0</v>
      </c>
      <c r="DX94" s="409">
        <v>0</v>
      </c>
      <c r="DY94" s="409">
        <v>-16.094250000000017</v>
      </c>
      <c r="DZ94" s="409">
        <v>7.4749999999999943</v>
      </c>
      <c r="EA94" s="409">
        <v>0</v>
      </c>
      <c r="EB94" s="409">
        <v>0</v>
      </c>
      <c r="EC94" s="409">
        <v>-18.104034960182659</v>
      </c>
      <c r="ED94" s="409">
        <v>0</v>
      </c>
      <c r="EE94" s="409">
        <v>0</v>
      </c>
      <c r="EF94" s="409">
        <v>0</v>
      </c>
      <c r="EG94" s="409">
        <v>0</v>
      </c>
      <c r="EH94" s="409">
        <v>0</v>
      </c>
      <c r="EI94" s="409">
        <v>0</v>
      </c>
      <c r="EJ94" s="409">
        <v>0</v>
      </c>
      <c r="EK94" s="409">
        <v>0</v>
      </c>
      <c r="EL94" s="409">
        <v>0</v>
      </c>
      <c r="EM94" s="409">
        <v>0</v>
      </c>
      <c r="EN94" s="409">
        <v>0</v>
      </c>
      <c r="EO94" s="409">
        <v>0</v>
      </c>
      <c r="EP94" s="409">
        <v>0</v>
      </c>
      <c r="EQ94" s="409">
        <v>0</v>
      </c>
      <c r="ER94" s="409">
        <v>0</v>
      </c>
      <c r="ES94" s="409">
        <v>0</v>
      </c>
      <c r="ET94" s="409">
        <v>0</v>
      </c>
      <c r="EU94" s="409">
        <v>0</v>
      </c>
      <c r="EV94" s="409">
        <v>210</v>
      </c>
      <c r="EW94" s="409">
        <v>0</v>
      </c>
      <c r="EX94" s="409">
        <v>0</v>
      </c>
      <c r="EY94" s="409">
        <v>0</v>
      </c>
      <c r="EZ94" s="409"/>
      <c r="FA94" s="409">
        <v>0</v>
      </c>
      <c r="FB94" s="409"/>
      <c r="FC94" s="409"/>
      <c r="FD94" s="409"/>
      <c r="FE94" s="409"/>
      <c r="FF94" s="409">
        <v>0</v>
      </c>
      <c r="FG94" s="409">
        <v>0</v>
      </c>
      <c r="FH94" s="409">
        <v>0</v>
      </c>
      <c r="FI94" s="409">
        <v>0</v>
      </c>
    </row>
    <row r="95" spans="1:165" s="877" customFormat="1">
      <c r="A95" s="409">
        <v>93</v>
      </c>
      <c r="B95" s="409" t="s">
        <v>1035</v>
      </c>
      <c r="C95" s="409" t="s">
        <v>2241</v>
      </c>
      <c r="D95" s="409" t="s">
        <v>1989</v>
      </c>
      <c r="E95" s="409" t="s">
        <v>968</v>
      </c>
      <c r="F95" s="409" t="s">
        <v>2258</v>
      </c>
      <c r="G95" s="409" t="s">
        <v>1323</v>
      </c>
      <c r="H95" s="409" t="s">
        <v>1323</v>
      </c>
      <c r="I95" s="409" t="s">
        <v>1323</v>
      </c>
      <c r="J95" s="409" t="s">
        <v>2242</v>
      </c>
      <c r="K95" s="838">
        <v>44409</v>
      </c>
      <c r="L95" s="409">
        <v>0</v>
      </c>
      <c r="M95" s="409">
        <v>0</v>
      </c>
      <c r="N95" s="409">
        <v>8.1000000000000003E-2</v>
      </c>
      <c r="O95" s="409">
        <v>8.1000000000000003E-2</v>
      </c>
      <c r="P95" s="409">
        <v>8.1000000000000003E-2</v>
      </c>
      <c r="Q95" s="409">
        <v>8.1000000000000003E-2</v>
      </c>
      <c r="R95" s="409"/>
      <c r="S95" s="409">
        <v>288.91000000000003</v>
      </c>
      <c r="T95" s="409">
        <v>273.74</v>
      </c>
      <c r="U95" s="409"/>
      <c r="V95" s="409">
        <v>45.574650000000005</v>
      </c>
      <c r="W95" s="409">
        <v>45.574650000000005</v>
      </c>
      <c r="X95" s="409">
        <v>44.360460000000003</v>
      </c>
      <c r="Y95" s="409">
        <v>0</v>
      </c>
      <c r="Z95" s="409">
        <v>0</v>
      </c>
      <c r="AA95" s="409">
        <v>0</v>
      </c>
      <c r="AB95" s="409">
        <v>0</v>
      </c>
      <c r="AC95" s="409">
        <v>0</v>
      </c>
      <c r="AD95" s="409">
        <v>6.9731699335860249</v>
      </c>
      <c r="AE95" s="409">
        <v>16.044414555535489</v>
      </c>
      <c r="AF95" s="409">
        <v>22.172880034869504</v>
      </c>
      <c r="AG95" s="409">
        <v>0</v>
      </c>
      <c r="AH95" s="409">
        <v>0</v>
      </c>
      <c r="AI95" s="409">
        <v>0</v>
      </c>
      <c r="AJ95" s="409">
        <v>0</v>
      </c>
      <c r="AK95" s="409">
        <v>0</v>
      </c>
      <c r="AL95" s="409">
        <v>0</v>
      </c>
      <c r="AM95" s="409"/>
      <c r="AN95" s="409">
        <v>8.6272401064016693E-2</v>
      </c>
      <c r="AO95" s="409">
        <v>0</v>
      </c>
      <c r="AP95" s="409">
        <v>0</v>
      </c>
      <c r="AQ95" s="409">
        <v>0</v>
      </c>
      <c r="AR95" s="409">
        <v>0</v>
      </c>
      <c r="AS95" s="409">
        <v>0</v>
      </c>
      <c r="AT95" s="409">
        <v>0</v>
      </c>
      <c r="AU95" s="409">
        <v>0</v>
      </c>
      <c r="AV95" s="409">
        <v>0</v>
      </c>
      <c r="AW95" s="409">
        <v>0</v>
      </c>
      <c r="AX95" s="409">
        <v>0</v>
      </c>
      <c r="AY95" s="409">
        <v>0</v>
      </c>
      <c r="AZ95" s="409">
        <v>0</v>
      </c>
      <c r="BA95" s="409"/>
      <c r="BB95" s="409">
        <v>0</v>
      </c>
      <c r="BC95" s="409">
        <v>0</v>
      </c>
      <c r="BD95" s="409">
        <v>0</v>
      </c>
      <c r="BE95" s="409">
        <v>0</v>
      </c>
      <c r="BF95" s="409">
        <v>0</v>
      </c>
      <c r="BG95" s="409">
        <v>0.29795252528722105</v>
      </c>
      <c r="BH95" s="409">
        <v>0</v>
      </c>
      <c r="BI95" s="409">
        <v>0.75</v>
      </c>
      <c r="BJ95" s="409">
        <v>3.47</v>
      </c>
      <c r="BK95" s="409">
        <v>28.89</v>
      </c>
      <c r="BL95" s="409">
        <v>2</v>
      </c>
      <c r="BM95" s="409"/>
      <c r="BN95" s="409"/>
      <c r="BO95" s="409"/>
      <c r="BP95" s="409"/>
      <c r="BQ95" s="409"/>
      <c r="BR95" s="409"/>
      <c r="BS95" s="409"/>
      <c r="BT95" s="409"/>
      <c r="BU95" s="409"/>
      <c r="BV95" s="409">
        <v>22.470832560156726</v>
      </c>
      <c r="BW95" s="409"/>
      <c r="BX95" s="409"/>
      <c r="BY95" s="409"/>
      <c r="BZ95" s="409"/>
      <c r="CA95" s="409"/>
      <c r="CB95" s="409"/>
      <c r="CC95" s="409"/>
      <c r="CD95" s="409"/>
      <c r="CE95" s="409"/>
      <c r="CF95" s="409"/>
      <c r="CG95" s="409"/>
      <c r="CH95" s="409"/>
      <c r="CI95" s="409">
        <v>43.812800000000003</v>
      </c>
      <c r="CJ95" s="409">
        <v>-1.7918499999999966</v>
      </c>
      <c r="CK95" s="409"/>
      <c r="CL95" s="409"/>
      <c r="CM95" s="409"/>
      <c r="CN95" s="409"/>
      <c r="CO95" s="409">
        <v>-2.2671900000000007</v>
      </c>
      <c r="CP95" s="409">
        <v>1.0529999999999999</v>
      </c>
      <c r="CQ95" s="409">
        <v>31</v>
      </c>
      <c r="CR95" s="409">
        <v>1.3364304154612583</v>
      </c>
      <c r="CS95" s="409">
        <v>0</v>
      </c>
      <c r="CT95" s="409">
        <v>0</v>
      </c>
      <c r="CU95" s="409">
        <v>0</v>
      </c>
      <c r="CV95" s="409">
        <v>0</v>
      </c>
      <c r="CW95" s="409">
        <v>0</v>
      </c>
      <c r="CX95" s="409">
        <v>0</v>
      </c>
      <c r="CY95" s="409">
        <v>0</v>
      </c>
      <c r="CZ95" s="409">
        <v>0.23902940185009935</v>
      </c>
      <c r="DA95" s="409">
        <v>0</v>
      </c>
      <c r="DB95" s="409">
        <v>0</v>
      </c>
      <c r="DC95" s="409">
        <v>1.1944468494477931</v>
      </c>
      <c r="DD95" s="409">
        <v>0</v>
      </c>
      <c r="DE95" s="409">
        <v>0</v>
      </c>
      <c r="DF95" s="409">
        <v>0</v>
      </c>
      <c r="DG95" s="409">
        <v>1.6050619249942777E-2</v>
      </c>
      <c r="DH95" s="409">
        <v>0</v>
      </c>
      <c r="DI95" s="409">
        <v>0</v>
      </c>
      <c r="DJ95" s="409"/>
      <c r="DK95" s="409">
        <v>0</v>
      </c>
      <c r="DL95" s="409">
        <v>0</v>
      </c>
      <c r="DM95" s="409">
        <v>0</v>
      </c>
      <c r="DN95" s="409">
        <v>0</v>
      </c>
      <c r="DO95" s="409">
        <v>0</v>
      </c>
      <c r="DP95" s="409">
        <v>-5.6922030239630189E-3</v>
      </c>
      <c r="DQ95" s="409">
        <v>0</v>
      </c>
      <c r="DR95" s="409">
        <v>-0.10740425206261435</v>
      </c>
      <c r="DS95" s="409"/>
      <c r="DT95" s="409"/>
      <c r="DU95" s="409"/>
      <c r="DV95" s="409">
        <v>16.044414555535489</v>
      </c>
      <c r="DW95" s="409">
        <v>0</v>
      </c>
      <c r="DX95" s="409">
        <v>0</v>
      </c>
      <c r="DY95" s="409">
        <v>-2.2671899999999994</v>
      </c>
      <c r="DZ95" s="409">
        <v>1.0530000000000008</v>
      </c>
      <c r="EA95" s="409">
        <v>0</v>
      </c>
      <c r="EB95" s="409">
        <v>0</v>
      </c>
      <c r="EC95" s="409">
        <v>-2.5503075335213836</v>
      </c>
      <c r="ED95" s="409">
        <v>0</v>
      </c>
      <c r="EE95" s="409">
        <v>0</v>
      </c>
      <c r="EF95" s="409">
        <v>0</v>
      </c>
      <c r="EG95" s="409">
        <v>0</v>
      </c>
      <c r="EH95" s="409">
        <v>0</v>
      </c>
      <c r="EI95" s="409">
        <v>0</v>
      </c>
      <c r="EJ95" s="409">
        <v>0</v>
      </c>
      <c r="EK95" s="409">
        <v>0</v>
      </c>
      <c r="EL95" s="409">
        <v>0</v>
      </c>
      <c r="EM95" s="409">
        <v>0</v>
      </c>
      <c r="EN95" s="409">
        <v>0</v>
      </c>
      <c r="EO95" s="409">
        <v>0</v>
      </c>
      <c r="EP95" s="409">
        <v>0</v>
      </c>
      <c r="EQ95" s="409">
        <v>0</v>
      </c>
      <c r="ER95" s="409">
        <v>0</v>
      </c>
      <c r="ES95" s="409">
        <v>0</v>
      </c>
      <c r="ET95" s="409">
        <v>0</v>
      </c>
      <c r="EU95" s="409">
        <v>0</v>
      </c>
      <c r="EV95" s="409">
        <v>210</v>
      </c>
      <c r="EW95" s="409">
        <v>0</v>
      </c>
      <c r="EX95" s="409">
        <v>0</v>
      </c>
      <c r="EY95" s="409">
        <v>0</v>
      </c>
      <c r="EZ95" s="409"/>
      <c r="FA95" s="409">
        <v>0</v>
      </c>
      <c r="FB95" s="409"/>
      <c r="FC95" s="409"/>
      <c r="FD95" s="409"/>
      <c r="FE95" s="409"/>
      <c r="FF95" s="409">
        <v>0</v>
      </c>
      <c r="FG95" s="409">
        <v>0</v>
      </c>
      <c r="FH95" s="409">
        <v>0</v>
      </c>
      <c r="FI95" s="409">
        <v>0</v>
      </c>
    </row>
    <row r="96" spans="1:165" s="877" customFormat="1">
      <c r="A96" s="409">
        <v>94</v>
      </c>
      <c r="B96" s="409" t="s">
        <v>1035</v>
      </c>
      <c r="C96" s="409" t="s">
        <v>2241</v>
      </c>
      <c r="D96" s="409" t="s">
        <v>1992</v>
      </c>
      <c r="E96" s="409" t="s">
        <v>969</v>
      </c>
      <c r="F96" s="409" t="s">
        <v>1323</v>
      </c>
      <c r="G96" s="409" t="s">
        <v>1323</v>
      </c>
      <c r="H96" s="409" t="s">
        <v>1323</v>
      </c>
      <c r="I96" s="409" t="s">
        <v>1323</v>
      </c>
      <c r="J96" s="409" t="s">
        <v>2242</v>
      </c>
      <c r="K96" s="838">
        <v>44409</v>
      </c>
      <c r="L96" s="409">
        <v>0</v>
      </c>
      <c r="M96" s="409">
        <v>0</v>
      </c>
      <c r="N96" s="409">
        <v>29.327000000000002</v>
      </c>
      <c r="O96" s="409">
        <v>29.327000000000002</v>
      </c>
      <c r="P96" s="409">
        <v>29.327000000000002</v>
      </c>
      <c r="Q96" s="409">
        <v>29.327000000000002</v>
      </c>
      <c r="R96" s="409"/>
      <c r="S96" s="409">
        <v>358.62</v>
      </c>
      <c r="T96" s="409">
        <v>273.74</v>
      </c>
      <c r="U96" s="409"/>
      <c r="V96" s="409">
        <v>18545.221720000001</v>
      </c>
      <c r="W96" s="409">
        <v>18545.221720000001</v>
      </c>
      <c r="X96" s="409">
        <v>17981.556779999999</v>
      </c>
      <c r="Y96" s="409">
        <v>0</v>
      </c>
      <c r="Z96" s="409">
        <v>1770.6003862722346</v>
      </c>
      <c r="AA96" s="409">
        <v>0</v>
      </c>
      <c r="AB96" s="409">
        <v>0</v>
      </c>
      <c r="AC96" s="409">
        <v>0</v>
      </c>
      <c r="AD96" s="409">
        <v>2524.7179585466338</v>
      </c>
      <c r="AE96" s="409">
        <v>5809.0684650640651</v>
      </c>
      <c r="AF96" s="409">
        <v>8027.9512689212097</v>
      </c>
      <c r="AG96" s="409">
        <v>0</v>
      </c>
      <c r="AH96" s="409">
        <v>0</v>
      </c>
      <c r="AI96" s="409">
        <v>0</v>
      </c>
      <c r="AJ96" s="409">
        <v>0</v>
      </c>
      <c r="AK96" s="409">
        <v>0</v>
      </c>
      <c r="AL96" s="409">
        <v>273.81296787181145</v>
      </c>
      <c r="AM96" s="409"/>
      <c r="AN96" s="409">
        <v>31.23593464202985</v>
      </c>
      <c r="AO96" s="409">
        <v>0</v>
      </c>
      <c r="AP96" s="409">
        <v>0</v>
      </c>
      <c r="AQ96" s="409">
        <v>0</v>
      </c>
      <c r="AR96" s="409">
        <v>0</v>
      </c>
      <c r="AS96" s="409">
        <v>0</v>
      </c>
      <c r="AT96" s="409">
        <v>0</v>
      </c>
      <c r="AU96" s="409">
        <v>0</v>
      </c>
      <c r="AV96" s="409">
        <v>0</v>
      </c>
      <c r="AW96" s="409">
        <v>0</v>
      </c>
      <c r="AX96" s="409">
        <v>0</v>
      </c>
      <c r="AY96" s="409">
        <v>0</v>
      </c>
      <c r="AZ96" s="409">
        <v>0</v>
      </c>
      <c r="BA96" s="409"/>
      <c r="BB96" s="409">
        <v>0</v>
      </c>
      <c r="BC96" s="409">
        <v>0</v>
      </c>
      <c r="BD96" s="409">
        <v>0</v>
      </c>
      <c r="BE96" s="409">
        <v>0</v>
      </c>
      <c r="BF96" s="409">
        <v>0</v>
      </c>
      <c r="BG96" s="409">
        <v>107.8772062851646</v>
      </c>
      <c r="BH96" s="409">
        <v>0</v>
      </c>
      <c r="BI96" s="409">
        <v>172.2</v>
      </c>
      <c r="BJ96" s="409">
        <v>795.06</v>
      </c>
      <c r="BK96" s="409">
        <v>4770.33</v>
      </c>
      <c r="BL96" s="409">
        <v>11</v>
      </c>
      <c r="BM96" s="409"/>
      <c r="BN96" s="409"/>
      <c r="BO96" s="409"/>
      <c r="BP96" s="409"/>
      <c r="BQ96" s="409"/>
      <c r="BR96" s="409"/>
      <c r="BS96" s="409"/>
      <c r="BT96" s="409"/>
      <c r="BU96" s="409"/>
      <c r="BV96" s="409">
        <v>8135.8284752063746</v>
      </c>
      <c r="BW96" s="409"/>
      <c r="BX96" s="409"/>
      <c r="BY96" s="409"/>
      <c r="BZ96" s="409"/>
      <c r="CA96" s="409"/>
      <c r="CB96" s="409"/>
      <c r="CC96" s="409"/>
      <c r="CD96" s="409"/>
      <c r="CE96" s="409"/>
      <c r="CF96" s="409"/>
      <c r="CG96" s="409"/>
      <c r="CH96" s="409"/>
      <c r="CI96" s="409">
        <v>17983.396199999996</v>
      </c>
      <c r="CJ96" s="409">
        <v>-561.85552000000462</v>
      </c>
      <c r="CK96" s="409"/>
      <c r="CL96" s="409"/>
      <c r="CM96" s="409"/>
      <c r="CN96" s="409"/>
      <c r="CO96" s="409">
        <v>-944.91594000000089</v>
      </c>
      <c r="CP96" s="409">
        <v>381.25100000000003</v>
      </c>
      <c r="CQ96" s="409">
        <v>31</v>
      </c>
      <c r="CR96" s="409">
        <v>359.60416160398199</v>
      </c>
      <c r="CS96" s="409">
        <v>0</v>
      </c>
      <c r="CT96" s="409">
        <v>0</v>
      </c>
      <c r="CU96" s="409">
        <v>0</v>
      </c>
      <c r="CV96" s="409">
        <v>0</v>
      </c>
      <c r="CW96" s="409">
        <v>0</v>
      </c>
      <c r="CX96" s="409">
        <v>0</v>
      </c>
      <c r="CY96" s="409">
        <v>0</v>
      </c>
      <c r="CZ96" s="409">
        <v>86.543398371085004</v>
      </c>
      <c r="DA96" s="409">
        <v>0</v>
      </c>
      <c r="DB96" s="409">
        <v>0</v>
      </c>
      <c r="DC96" s="409">
        <v>432.46349078710409</v>
      </c>
      <c r="DD96" s="409">
        <v>0</v>
      </c>
      <c r="DE96" s="409">
        <v>0</v>
      </c>
      <c r="DF96" s="409">
        <v>0</v>
      </c>
      <c r="DG96" s="409">
        <v>5.811314947445311</v>
      </c>
      <c r="DH96" s="409">
        <v>0</v>
      </c>
      <c r="DI96" s="409">
        <v>-112.86032635222887</v>
      </c>
      <c r="DJ96" s="409"/>
      <c r="DK96" s="409">
        <v>0</v>
      </c>
      <c r="DL96" s="409">
        <v>0</v>
      </c>
      <c r="DM96" s="409">
        <v>0</v>
      </c>
      <c r="DN96" s="409">
        <v>0</v>
      </c>
      <c r="DO96" s="409">
        <v>-14.356506126175645</v>
      </c>
      <c r="DP96" s="409">
        <v>-2.0609288652316522</v>
      </c>
      <c r="DQ96" s="409">
        <v>0</v>
      </c>
      <c r="DR96" s="409">
        <v>-35.936281158022055</v>
      </c>
      <c r="DS96" s="409"/>
      <c r="DT96" s="409"/>
      <c r="DU96" s="409"/>
      <c r="DV96" s="409">
        <v>5809.0684650640651</v>
      </c>
      <c r="DW96" s="409">
        <v>0</v>
      </c>
      <c r="DX96" s="409">
        <v>0</v>
      </c>
      <c r="DY96" s="409">
        <v>-944.91594000000077</v>
      </c>
      <c r="DZ96" s="409">
        <v>381.2510000000002</v>
      </c>
      <c r="EA96" s="409">
        <v>0</v>
      </c>
      <c r="EB96" s="409">
        <v>0</v>
      </c>
      <c r="EC96" s="409">
        <v>-923.36875352569859</v>
      </c>
      <c r="ED96" s="409">
        <v>0</v>
      </c>
      <c r="EE96" s="409">
        <v>0</v>
      </c>
      <c r="EF96" s="409">
        <v>0</v>
      </c>
      <c r="EG96" s="409">
        <v>0</v>
      </c>
      <c r="EH96" s="409">
        <v>0</v>
      </c>
      <c r="EI96" s="409">
        <v>0</v>
      </c>
      <c r="EJ96" s="409">
        <v>0</v>
      </c>
      <c r="EK96" s="409">
        <v>0</v>
      </c>
      <c r="EL96" s="409">
        <v>0</v>
      </c>
      <c r="EM96" s="409">
        <v>0</v>
      </c>
      <c r="EN96" s="409">
        <v>0</v>
      </c>
      <c r="EO96" s="409">
        <v>0</v>
      </c>
      <c r="EP96" s="409">
        <v>0</v>
      </c>
      <c r="EQ96" s="409">
        <v>0</v>
      </c>
      <c r="ER96" s="409">
        <v>0</v>
      </c>
      <c r="ES96" s="409">
        <v>0</v>
      </c>
      <c r="ET96" s="409">
        <v>0</v>
      </c>
      <c r="EU96" s="409">
        <v>0</v>
      </c>
      <c r="EV96" s="409">
        <v>210</v>
      </c>
      <c r="EW96" s="409">
        <v>0</v>
      </c>
      <c r="EX96" s="409">
        <v>0</v>
      </c>
      <c r="EY96" s="409">
        <v>0</v>
      </c>
      <c r="EZ96" s="409"/>
      <c r="FA96" s="409">
        <v>0</v>
      </c>
      <c r="FB96" s="409"/>
      <c r="FC96" s="409"/>
      <c r="FD96" s="409"/>
      <c r="FE96" s="409"/>
      <c r="FF96" s="409">
        <v>0</v>
      </c>
      <c r="FG96" s="409">
        <v>0</v>
      </c>
      <c r="FH96" s="409">
        <v>0</v>
      </c>
      <c r="FI96" s="409">
        <v>0</v>
      </c>
    </row>
    <row r="97" spans="1:165" s="877" customFormat="1">
      <c r="A97" s="409">
        <v>95</v>
      </c>
      <c r="B97" s="409" t="s">
        <v>2257</v>
      </c>
      <c r="C97" s="409" t="s">
        <v>2241</v>
      </c>
      <c r="D97" s="409" t="s">
        <v>1992</v>
      </c>
      <c r="E97" s="409" t="s">
        <v>969</v>
      </c>
      <c r="F97" s="409" t="s">
        <v>1323</v>
      </c>
      <c r="G97" s="409" t="s">
        <v>1323</v>
      </c>
      <c r="H97" s="409" t="s">
        <v>1323</v>
      </c>
      <c r="I97" s="409" t="s">
        <v>1323</v>
      </c>
      <c r="J97" s="409" t="s">
        <v>2242</v>
      </c>
      <c r="K97" s="838">
        <v>44409</v>
      </c>
      <c r="L97" s="409">
        <v>0</v>
      </c>
      <c r="M97" s="409">
        <v>0</v>
      </c>
      <c r="N97" s="409">
        <v>-1.0189999999999999</v>
      </c>
      <c r="O97" s="409">
        <v>-1.0189999999999999</v>
      </c>
      <c r="P97" s="409">
        <v>-1.0189999999999999</v>
      </c>
      <c r="Q97" s="409">
        <v>-1.0189999999999999</v>
      </c>
      <c r="R97" s="409"/>
      <c r="S97" s="409">
        <v>358.62</v>
      </c>
      <c r="T97" s="409">
        <v>273.74</v>
      </c>
      <c r="U97" s="409"/>
      <c r="V97" s="409">
        <v>-644.37483999999995</v>
      </c>
      <c r="W97" s="409">
        <v>-644.37483999999995</v>
      </c>
      <c r="X97" s="409">
        <v>-624.78965999999991</v>
      </c>
      <c r="Y97" s="409">
        <v>0</v>
      </c>
      <c r="Z97" s="409">
        <v>-61.52152602077971</v>
      </c>
      <c r="AA97" s="409">
        <v>0</v>
      </c>
      <c r="AB97" s="409">
        <v>0</v>
      </c>
      <c r="AC97" s="409">
        <v>0</v>
      </c>
      <c r="AD97" s="409">
        <v>-87.724199534866159</v>
      </c>
      <c r="AE97" s="409">
        <v>-201.84269669247729</v>
      </c>
      <c r="AF97" s="409">
        <v>-278.94030562385211</v>
      </c>
      <c r="AG97" s="409">
        <v>0</v>
      </c>
      <c r="AH97" s="409">
        <v>0</v>
      </c>
      <c r="AI97" s="409">
        <v>0</v>
      </c>
      <c r="AJ97" s="409">
        <v>0</v>
      </c>
      <c r="AK97" s="409">
        <v>0</v>
      </c>
      <c r="AL97" s="409">
        <v>-9.5139432693891575</v>
      </c>
      <c r="AM97" s="409"/>
      <c r="AN97" s="409">
        <v>-1.0853281072127532</v>
      </c>
      <c r="AO97" s="409">
        <v>0</v>
      </c>
      <c r="AP97" s="409">
        <v>0</v>
      </c>
      <c r="AQ97" s="409">
        <v>0</v>
      </c>
      <c r="AR97" s="409">
        <v>0</v>
      </c>
      <c r="AS97" s="409">
        <v>0</v>
      </c>
      <c r="AT97" s="409">
        <v>0</v>
      </c>
      <c r="AU97" s="409">
        <v>0</v>
      </c>
      <c r="AV97" s="409">
        <v>0</v>
      </c>
      <c r="AW97" s="409">
        <v>0</v>
      </c>
      <c r="AX97" s="409">
        <v>0</v>
      </c>
      <c r="AY97" s="409">
        <v>0</v>
      </c>
      <c r="AZ97" s="409">
        <v>0</v>
      </c>
      <c r="BA97" s="409"/>
      <c r="BB97" s="409">
        <v>0</v>
      </c>
      <c r="BC97" s="409">
        <v>0</v>
      </c>
      <c r="BD97" s="409">
        <v>0</v>
      </c>
      <c r="BE97" s="409">
        <v>0</v>
      </c>
      <c r="BF97" s="409">
        <v>0</v>
      </c>
      <c r="BG97" s="409">
        <v>-3.7483163366380028</v>
      </c>
      <c r="BH97" s="409">
        <v>0</v>
      </c>
      <c r="BI97" s="409">
        <v>-5.99</v>
      </c>
      <c r="BJ97" s="409">
        <v>-27.62</v>
      </c>
      <c r="BK97" s="409">
        <v>-165.76</v>
      </c>
      <c r="BL97" s="409">
        <v>0</v>
      </c>
      <c r="BM97" s="409"/>
      <c r="BN97" s="409"/>
      <c r="BO97" s="409"/>
      <c r="BP97" s="409"/>
      <c r="BQ97" s="409"/>
      <c r="BR97" s="409"/>
      <c r="BS97" s="409"/>
      <c r="BT97" s="409"/>
      <c r="BU97" s="409"/>
      <c r="BV97" s="409">
        <v>-282.68862196049014</v>
      </c>
      <c r="BW97" s="409"/>
      <c r="BX97" s="409"/>
      <c r="BY97" s="409"/>
      <c r="BZ97" s="409"/>
      <c r="CA97" s="409"/>
      <c r="CB97" s="409"/>
      <c r="CC97" s="409"/>
      <c r="CD97" s="409"/>
      <c r="CE97" s="409"/>
      <c r="CF97" s="409"/>
      <c r="CG97" s="409"/>
      <c r="CH97" s="409"/>
      <c r="CI97" s="409">
        <v>-625.40280000000007</v>
      </c>
      <c r="CJ97" s="409">
        <v>18.942039999999906</v>
      </c>
      <c r="CK97" s="409"/>
      <c r="CL97" s="409"/>
      <c r="CM97" s="409"/>
      <c r="CN97" s="409"/>
      <c r="CO97" s="409">
        <v>32.832180000000022</v>
      </c>
      <c r="CP97" s="409">
        <v>-13.246999999999998</v>
      </c>
      <c r="CQ97" s="409">
        <v>31</v>
      </c>
      <c r="CR97" s="409">
        <v>-12.49485595780169</v>
      </c>
      <c r="CS97" s="409">
        <v>0</v>
      </c>
      <c r="CT97" s="409">
        <v>0</v>
      </c>
      <c r="CU97" s="409">
        <v>0</v>
      </c>
      <c r="CV97" s="409">
        <v>0</v>
      </c>
      <c r="CW97" s="409">
        <v>0</v>
      </c>
      <c r="CX97" s="409">
        <v>0</v>
      </c>
      <c r="CY97" s="409">
        <v>0</v>
      </c>
      <c r="CZ97" s="409">
        <v>-3.007048894879631</v>
      </c>
      <c r="DA97" s="409">
        <v>0</v>
      </c>
      <c r="DB97" s="409">
        <v>0</v>
      </c>
      <c r="DC97" s="409">
        <v>-15.026436291201264</v>
      </c>
      <c r="DD97" s="409">
        <v>0</v>
      </c>
      <c r="DE97" s="409">
        <v>0</v>
      </c>
      <c r="DF97" s="409">
        <v>0</v>
      </c>
      <c r="DG97" s="409">
        <v>-0.20192075328014392</v>
      </c>
      <c r="DH97" s="409">
        <v>0</v>
      </c>
      <c r="DI97" s="409">
        <v>3.9214605160064409</v>
      </c>
      <c r="DJ97" s="409"/>
      <c r="DK97" s="409">
        <v>0</v>
      </c>
      <c r="DL97" s="409">
        <v>0</v>
      </c>
      <c r="DM97" s="409">
        <v>0</v>
      </c>
      <c r="DN97" s="409">
        <v>0</v>
      </c>
      <c r="DO97" s="409">
        <v>0.49883314838111481</v>
      </c>
      <c r="DP97" s="409">
        <v>7.1609319523683101E-2</v>
      </c>
      <c r="DQ97" s="409">
        <v>0</v>
      </c>
      <c r="DR97" s="409">
        <v>1.2486469976480536</v>
      </c>
      <c r="DS97" s="409"/>
      <c r="DT97" s="409"/>
      <c r="DU97" s="409"/>
      <c r="DV97" s="409">
        <v>-201.84269669247729</v>
      </c>
      <c r="DW97" s="409">
        <v>0</v>
      </c>
      <c r="DX97" s="409">
        <v>0</v>
      </c>
      <c r="DY97" s="409">
        <v>32.832179999999994</v>
      </c>
      <c r="DZ97" s="409">
        <v>-13.247000000000014</v>
      </c>
      <c r="EA97" s="409">
        <v>0</v>
      </c>
      <c r="EB97" s="409">
        <v>0</v>
      </c>
      <c r="EC97" s="409">
        <v>32.083498477262822</v>
      </c>
      <c r="ED97" s="409">
        <v>0</v>
      </c>
      <c r="EE97" s="409">
        <v>0</v>
      </c>
      <c r="EF97" s="409">
        <v>0</v>
      </c>
      <c r="EG97" s="409">
        <v>0</v>
      </c>
      <c r="EH97" s="409">
        <v>0</v>
      </c>
      <c r="EI97" s="409">
        <v>0</v>
      </c>
      <c r="EJ97" s="409">
        <v>0</v>
      </c>
      <c r="EK97" s="409">
        <v>0</v>
      </c>
      <c r="EL97" s="409">
        <v>0</v>
      </c>
      <c r="EM97" s="409">
        <v>0</v>
      </c>
      <c r="EN97" s="409">
        <v>0</v>
      </c>
      <c r="EO97" s="409">
        <v>0</v>
      </c>
      <c r="EP97" s="409">
        <v>0</v>
      </c>
      <c r="EQ97" s="409">
        <v>0</v>
      </c>
      <c r="ER97" s="409">
        <v>0</v>
      </c>
      <c r="ES97" s="409">
        <v>0</v>
      </c>
      <c r="ET97" s="409">
        <v>0</v>
      </c>
      <c r="EU97" s="409">
        <v>0</v>
      </c>
      <c r="EV97" s="409">
        <v>210</v>
      </c>
      <c r="EW97" s="409">
        <v>0</v>
      </c>
      <c r="EX97" s="409">
        <v>0</v>
      </c>
      <c r="EY97" s="409">
        <v>0</v>
      </c>
      <c r="EZ97" s="409"/>
      <c r="FA97" s="409">
        <v>0</v>
      </c>
      <c r="FB97" s="409"/>
      <c r="FC97" s="409"/>
      <c r="FD97" s="409"/>
      <c r="FE97" s="409"/>
      <c r="FF97" s="409">
        <v>0</v>
      </c>
      <c r="FG97" s="409">
        <v>0</v>
      </c>
      <c r="FH97" s="409">
        <v>0</v>
      </c>
      <c r="FI97" s="409">
        <v>0</v>
      </c>
    </row>
    <row r="98" spans="1:165" s="877" customFormat="1">
      <c r="A98" s="409">
        <v>96</v>
      </c>
      <c r="B98" s="409" t="s">
        <v>2240</v>
      </c>
      <c r="C98" s="409" t="s">
        <v>2241</v>
      </c>
      <c r="D98" s="409" t="s">
        <v>1992</v>
      </c>
      <c r="E98" s="409" t="s">
        <v>969</v>
      </c>
      <c r="F98" s="409" t="s">
        <v>1323</v>
      </c>
      <c r="G98" s="409" t="s">
        <v>1323</v>
      </c>
      <c r="H98" s="409" t="s">
        <v>1323</v>
      </c>
      <c r="I98" s="409" t="s">
        <v>1323</v>
      </c>
      <c r="J98" s="409" t="s">
        <v>2242</v>
      </c>
      <c r="K98" s="838">
        <v>44409</v>
      </c>
      <c r="L98" s="409">
        <v>0</v>
      </c>
      <c r="M98" s="409">
        <v>0</v>
      </c>
      <c r="N98" s="409">
        <v>0.24299999999999999</v>
      </c>
      <c r="O98" s="409">
        <v>0.24299999999999999</v>
      </c>
      <c r="P98" s="409">
        <v>0.24299999999999999</v>
      </c>
      <c r="Q98" s="409">
        <v>0.24299999999999999</v>
      </c>
      <c r="R98" s="409"/>
      <c r="S98" s="409">
        <v>358.62</v>
      </c>
      <c r="T98" s="409">
        <v>273.74</v>
      </c>
      <c r="U98" s="409"/>
      <c r="V98" s="409">
        <v>153.66347999999999</v>
      </c>
      <c r="W98" s="409">
        <v>153.66347999999999</v>
      </c>
      <c r="X98" s="409">
        <v>148.99302</v>
      </c>
      <c r="Y98" s="409">
        <v>0</v>
      </c>
      <c r="Z98" s="409">
        <v>14.670982161972002</v>
      </c>
      <c r="AA98" s="409">
        <v>0</v>
      </c>
      <c r="AB98" s="409">
        <v>0</v>
      </c>
      <c r="AC98" s="409">
        <v>0</v>
      </c>
      <c r="AD98" s="409">
        <v>20.919509800758075</v>
      </c>
      <c r="AE98" s="409">
        <v>48.133243666606461</v>
      </c>
      <c r="AF98" s="409">
        <v>66.518640104608508</v>
      </c>
      <c r="AG98" s="409">
        <v>0</v>
      </c>
      <c r="AH98" s="409">
        <v>0</v>
      </c>
      <c r="AI98" s="409">
        <v>0</v>
      </c>
      <c r="AJ98" s="409">
        <v>0</v>
      </c>
      <c r="AK98" s="409">
        <v>0</v>
      </c>
      <c r="AL98" s="409">
        <v>2.26878136846081</v>
      </c>
      <c r="AM98" s="409"/>
      <c r="AN98" s="409">
        <v>0.25881720319205009</v>
      </c>
      <c r="AO98" s="409">
        <v>0</v>
      </c>
      <c r="AP98" s="409">
        <v>0</v>
      </c>
      <c r="AQ98" s="409">
        <v>0</v>
      </c>
      <c r="AR98" s="409">
        <v>0</v>
      </c>
      <c r="AS98" s="409">
        <v>0</v>
      </c>
      <c r="AT98" s="409">
        <v>0</v>
      </c>
      <c r="AU98" s="409">
        <v>0</v>
      </c>
      <c r="AV98" s="409">
        <v>0</v>
      </c>
      <c r="AW98" s="409">
        <v>0</v>
      </c>
      <c r="AX98" s="409">
        <v>0</v>
      </c>
      <c r="AY98" s="409">
        <v>0</v>
      </c>
      <c r="AZ98" s="409">
        <v>0</v>
      </c>
      <c r="BA98" s="409"/>
      <c r="BB98" s="409">
        <v>0</v>
      </c>
      <c r="BC98" s="409">
        <v>0</v>
      </c>
      <c r="BD98" s="409">
        <v>0</v>
      </c>
      <c r="BE98" s="409">
        <v>0</v>
      </c>
      <c r="BF98" s="409">
        <v>0</v>
      </c>
      <c r="BG98" s="409">
        <v>0.89385757586166315</v>
      </c>
      <c r="BH98" s="409">
        <v>0</v>
      </c>
      <c r="BI98" s="409">
        <v>1.42</v>
      </c>
      <c r="BJ98" s="409">
        <v>6.59</v>
      </c>
      <c r="BK98" s="409">
        <v>265.27999999999997</v>
      </c>
      <c r="BL98" s="409">
        <v>1</v>
      </c>
      <c r="BM98" s="409"/>
      <c r="BN98" s="409"/>
      <c r="BO98" s="409"/>
      <c r="BP98" s="409"/>
      <c r="BQ98" s="409"/>
      <c r="BR98" s="409"/>
      <c r="BS98" s="409"/>
      <c r="BT98" s="409"/>
      <c r="BU98" s="409"/>
      <c r="BV98" s="409">
        <v>67.412497680470167</v>
      </c>
      <c r="BW98" s="409"/>
      <c r="BX98" s="409"/>
      <c r="BY98" s="409"/>
      <c r="BZ98" s="409"/>
      <c r="CA98" s="409"/>
      <c r="CB98" s="409"/>
      <c r="CC98" s="409"/>
      <c r="CD98" s="409"/>
      <c r="CE98" s="409"/>
      <c r="CF98" s="409"/>
      <c r="CG98" s="409"/>
      <c r="CH98" s="409"/>
      <c r="CI98" s="409">
        <v>147.15359999999998</v>
      </c>
      <c r="CJ98" s="409">
        <v>-6.5398800000000392</v>
      </c>
      <c r="CK98" s="409"/>
      <c r="CL98" s="409"/>
      <c r="CM98" s="409"/>
      <c r="CN98" s="409"/>
      <c r="CO98" s="409">
        <v>-7.8294600000000063</v>
      </c>
      <c r="CP98" s="409">
        <v>3.1589999999999998</v>
      </c>
      <c r="CQ98" s="409">
        <v>31</v>
      </c>
      <c r="CR98" s="409">
        <v>2.9796368967083566</v>
      </c>
      <c r="CS98" s="409">
        <v>0</v>
      </c>
      <c r="CT98" s="409">
        <v>0</v>
      </c>
      <c r="CU98" s="409">
        <v>0</v>
      </c>
      <c r="CV98" s="409">
        <v>0</v>
      </c>
      <c r="CW98" s="409">
        <v>0</v>
      </c>
      <c r="CX98" s="409">
        <v>0</v>
      </c>
      <c r="CY98" s="409">
        <v>0</v>
      </c>
      <c r="CZ98" s="409">
        <v>0.71708820555029718</v>
      </c>
      <c r="DA98" s="409">
        <v>0</v>
      </c>
      <c r="DB98" s="409">
        <v>0</v>
      </c>
      <c r="DC98" s="409">
        <v>3.5833405483433864</v>
      </c>
      <c r="DD98" s="409">
        <v>0</v>
      </c>
      <c r="DE98" s="409">
        <v>0</v>
      </c>
      <c r="DF98" s="409">
        <v>0</v>
      </c>
      <c r="DG98" s="409">
        <v>4.815185774982822E-2</v>
      </c>
      <c r="DH98" s="409">
        <v>0</v>
      </c>
      <c r="DI98" s="409">
        <v>-0.93514711029397901</v>
      </c>
      <c r="DJ98" s="409"/>
      <c r="DK98" s="409">
        <v>0</v>
      </c>
      <c r="DL98" s="409">
        <v>0</v>
      </c>
      <c r="DM98" s="409">
        <v>0</v>
      </c>
      <c r="DN98" s="409">
        <v>0</v>
      </c>
      <c r="DO98" s="409">
        <v>-0.11895628562964777</v>
      </c>
      <c r="DP98" s="409">
        <v>-1.7076609071889098E-2</v>
      </c>
      <c r="DQ98" s="409">
        <v>0</v>
      </c>
      <c r="DR98" s="409">
        <v>-0.2977637099396242</v>
      </c>
      <c r="DS98" s="409"/>
      <c r="DT98" s="409"/>
      <c r="DU98" s="409"/>
      <c r="DV98" s="409">
        <v>48.133243666606461</v>
      </c>
      <c r="DW98" s="409">
        <v>0</v>
      </c>
      <c r="DX98" s="409">
        <v>0</v>
      </c>
      <c r="DY98" s="409">
        <v>-7.8294600000000116</v>
      </c>
      <c r="DZ98" s="409">
        <v>3.1589999999999918</v>
      </c>
      <c r="EA98" s="409">
        <v>0</v>
      </c>
      <c r="EB98" s="409">
        <v>0</v>
      </c>
      <c r="EC98" s="409">
        <v>-7.6509226005641437</v>
      </c>
      <c r="ED98" s="409">
        <v>0</v>
      </c>
      <c r="EE98" s="409">
        <v>0</v>
      </c>
      <c r="EF98" s="409">
        <v>0</v>
      </c>
      <c r="EG98" s="409">
        <v>0</v>
      </c>
      <c r="EH98" s="409">
        <v>0</v>
      </c>
      <c r="EI98" s="409">
        <v>0</v>
      </c>
      <c r="EJ98" s="409">
        <v>0</v>
      </c>
      <c r="EK98" s="409">
        <v>0</v>
      </c>
      <c r="EL98" s="409">
        <v>0</v>
      </c>
      <c r="EM98" s="409">
        <v>0</v>
      </c>
      <c r="EN98" s="409">
        <v>0</v>
      </c>
      <c r="EO98" s="409">
        <v>0</v>
      </c>
      <c r="EP98" s="409">
        <v>0</v>
      </c>
      <c r="EQ98" s="409">
        <v>0</v>
      </c>
      <c r="ER98" s="409">
        <v>0</v>
      </c>
      <c r="ES98" s="409">
        <v>0</v>
      </c>
      <c r="ET98" s="409">
        <v>0</v>
      </c>
      <c r="EU98" s="409">
        <v>0</v>
      </c>
      <c r="EV98" s="409">
        <v>210</v>
      </c>
      <c r="EW98" s="409">
        <v>0</v>
      </c>
      <c r="EX98" s="409">
        <v>0</v>
      </c>
      <c r="EY98" s="409">
        <v>0</v>
      </c>
      <c r="EZ98" s="409"/>
      <c r="FA98" s="409">
        <v>0</v>
      </c>
      <c r="FB98" s="409"/>
      <c r="FC98" s="409"/>
      <c r="FD98" s="409"/>
      <c r="FE98" s="409"/>
      <c r="FF98" s="409">
        <v>0</v>
      </c>
      <c r="FG98" s="409">
        <v>0</v>
      </c>
      <c r="FH98" s="409">
        <v>0</v>
      </c>
      <c r="FI98" s="409">
        <v>0</v>
      </c>
    </row>
    <row r="99" spans="1:165" s="877" customFormat="1">
      <c r="A99" s="409">
        <v>97</v>
      </c>
      <c r="B99" s="409" t="s">
        <v>1035</v>
      </c>
      <c r="C99" s="409" t="s">
        <v>2246</v>
      </c>
      <c r="D99" s="409" t="s">
        <v>595</v>
      </c>
      <c r="E99" s="409" t="s">
        <v>969</v>
      </c>
      <c r="F99" s="409" t="s">
        <v>1323</v>
      </c>
      <c r="G99" s="409" t="s">
        <v>1323</v>
      </c>
      <c r="H99" s="409" t="s">
        <v>1323</v>
      </c>
      <c r="I99" s="409" t="s">
        <v>972</v>
      </c>
      <c r="J99" s="409" t="s">
        <v>2242</v>
      </c>
      <c r="K99" s="838">
        <v>44409</v>
      </c>
      <c r="L99" s="409">
        <v>0</v>
      </c>
      <c r="M99" s="409">
        <v>0</v>
      </c>
      <c r="N99" s="409">
        <v>9.4090000000000007</v>
      </c>
      <c r="O99" s="409">
        <v>9.4090000000000007</v>
      </c>
      <c r="P99" s="409">
        <v>9.4090000000000007</v>
      </c>
      <c r="Q99" s="409">
        <v>9.4090000000000007</v>
      </c>
      <c r="R99" s="409"/>
      <c r="S99" s="409">
        <v>1856.88</v>
      </c>
      <c r="T99" s="409">
        <v>273.74</v>
      </c>
      <c r="U99" s="409"/>
      <c r="V99" s="409">
        <v>20047.003580000004</v>
      </c>
      <c r="W99" s="409">
        <v>20047.003580000004</v>
      </c>
      <c r="X99" s="409">
        <v>18368.908429999999</v>
      </c>
      <c r="Y99" s="409">
        <v>0</v>
      </c>
      <c r="Z99" s="409">
        <v>494.21467453059768</v>
      </c>
      <c r="AA99" s="409">
        <v>0</v>
      </c>
      <c r="AB99" s="409">
        <v>0</v>
      </c>
      <c r="AC99" s="409">
        <v>0</v>
      </c>
      <c r="AD99" s="409">
        <v>4611.2744088320806</v>
      </c>
      <c r="AE99" s="409">
        <v>12254.107730717251</v>
      </c>
      <c r="AF99" s="409">
        <v>2575.6126944208295</v>
      </c>
      <c r="AG99" s="409">
        <v>0</v>
      </c>
      <c r="AH99" s="409">
        <v>0</v>
      </c>
      <c r="AI99" s="409">
        <v>0</v>
      </c>
      <c r="AJ99" s="409">
        <v>0</v>
      </c>
      <c r="AK99" s="409">
        <v>0</v>
      </c>
      <c r="AL99" s="409">
        <v>87.847588048756236</v>
      </c>
      <c r="AM99" s="409"/>
      <c r="AN99" s="409">
        <v>8.16783914676469</v>
      </c>
      <c r="AO99" s="409">
        <v>0</v>
      </c>
      <c r="AP99" s="409">
        <v>0</v>
      </c>
      <c r="AQ99" s="409">
        <v>0</v>
      </c>
      <c r="AR99" s="409">
        <v>0</v>
      </c>
      <c r="AS99" s="409">
        <v>0</v>
      </c>
      <c r="AT99" s="409">
        <v>0</v>
      </c>
      <c r="AU99" s="409">
        <v>0</v>
      </c>
      <c r="AV99" s="409">
        <v>0</v>
      </c>
      <c r="AW99" s="409">
        <v>0</v>
      </c>
      <c r="AX99" s="409">
        <v>0</v>
      </c>
      <c r="AY99" s="409">
        <v>0</v>
      </c>
      <c r="AZ99" s="409">
        <v>0</v>
      </c>
      <c r="BA99" s="409"/>
      <c r="BB99" s="409">
        <v>0</v>
      </c>
      <c r="BC99" s="409">
        <v>0</v>
      </c>
      <c r="BD99" s="409">
        <v>0</v>
      </c>
      <c r="BE99" s="409">
        <v>0</v>
      </c>
      <c r="BF99" s="409">
        <v>0</v>
      </c>
      <c r="BG99" s="409">
        <v>15.744323139307188</v>
      </c>
      <c r="BH99" s="409">
        <v>0</v>
      </c>
      <c r="BI99" s="409">
        <v>0</v>
      </c>
      <c r="BJ99" s="409">
        <v>0</v>
      </c>
      <c r="BK99" s="409">
        <v>0</v>
      </c>
      <c r="BL99" s="409">
        <v>0</v>
      </c>
      <c r="BM99" s="409"/>
      <c r="BN99" s="409"/>
      <c r="BO99" s="409"/>
      <c r="BP99" s="409"/>
      <c r="BQ99" s="409"/>
      <c r="BR99" s="409"/>
      <c r="BS99" s="409"/>
      <c r="BT99" s="409"/>
      <c r="BU99" s="409"/>
      <c r="BV99" s="409">
        <v>2591.3570175601367</v>
      </c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>
        <v>18370.860700000001</v>
      </c>
      <c r="CJ99" s="409">
        <v>-1676.1728799999983</v>
      </c>
      <c r="CK99" s="409"/>
      <c r="CL99" s="409"/>
      <c r="CM99" s="409"/>
      <c r="CN99" s="409"/>
      <c r="CO99" s="409">
        <v>-1800.4121500000015</v>
      </c>
      <c r="CP99" s="409">
        <v>122.31700000000001</v>
      </c>
      <c r="CQ99" s="409">
        <v>31</v>
      </c>
      <c r="CR99" s="409">
        <v>269.83295224566245</v>
      </c>
      <c r="CS99" s="409">
        <v>0</v>
      </c>
      <c r="CT99" s="409">
        <v>0</v>
      </c>
      <c r="CU99" s="409">
        <v>0</v>
      </c>
      <c r="CV99" s="409">
        <v>0</v>
      </c>
      <c r="CW99" s="409">
        <v>0</v>
      </c>
      <c r="CX99" s="409">
        <v>0</v>
      </c>
      <c r="CY99" s="409">
        <v>0</v>
      </c>
      <c r="CZ99" s="409">
        <v>158.06730284901187</v>
      </c>
      <c r="DA99" s="409">
        <v>0</v>
      </c>
      <c r="DB99" s="409">
        <v>0</v>
      </c>
      <c r="DC99" s="409">
        <v>138.74753588215162</v>
      </c>
      <c r="DD99" s="409">
        <v>0</v>
      </c>
      <c r="DE99" s="409">
        <v>0</v>
      </c>
      <c r="DF99" s="409">
        <v>0</v>
      </c>
      <c r="DG99" s="409">
        <v>0.84814228647163858</v>
      </c>
      <c r="DH99" s="409">
        <v>0</v>
      </c>
      <c r="DI99" s="409">
        <v>-31.501873538509301</v>
      </c>
      <c r="DJ99" s="409"/>
      <c r="DK99" s="409">
        <v>0</v>
      </c>
      <c r="DL99" s="409">
        <v>0</v>
      </c>
      <c r="DM99" s="409">
        <v>0</v>
      </c>
      <c r="DN99" s="409">
        <v>0</v>
      </c>
      <c r="DO99" s="409">
        <v>-4.6060069608615493</v>
      </c>
      <c r="DP99" s="409">
        <v>-0.53890929332032034</v>
      </c>
      <c r="DQ99" s="409">
        <v>0</v>
      </c>
      <c r="DR99" s="409">
        <v>8.8167610207172373</v>
      </c>
      <c r="DS99" s="409"/>
      <c r="DT99" s="409"/>
      <c r="DU99" s="409"/>
      <c r="DV99" s="409">
        <v>12254.107730717251</v>
      </c>
      <c r="DW99" s="409">
        <v>0</v>
      </c>
      <c r="DX99" s="409">
        <v>0</v>
      </c>
      <c r="DY99" s="409">
        <v>-1800.4121500000037</v>
      </c>
      <c r="DZ99" s="409">
        <v>122.31700000000001</v>
      </c>
      <c r="EA99" s="409">
        <v>0</v>
      </c>
      <c r="EB99" s="409">
        <v>0</v>
      </c>
      <c r="EC99" s="409">
        <v>-1947.8269620905012</v>
      </c>
      <c r="ED99" s="409">
        <v>0</v>
      </c>
      <c r="EE99" s="409">
        <v>0</v>
      </c>
      <c r="EF99" s="409">
        <v>0</v>
      </c>
      <c r="EG99" s="409">
        <v>0</v>
      </c>
      <c r="EH99" s="409">
        <v>0</v>
      </c>
      <c r="EI99" s="409">
        <v>0</v>
      </c>
      <c r="EJ99" s="409">
        <v>0</v>
      </c>
      <c r="EK99" s="409">
        <v>0</v>
      </c>
      <c r="EL99" s="409">
        <v>0</v>
      </c>
      <c r="EM99" s="409">
        <v>0</v>
      </c>
      <c r="EN99" s="409">
        <v>0</v>
      </c>
      <c r="EO99" s="409">
        <v>0</v>
      </c>
      <c r="EP99" s="409">
        <v>0</v>
      </c>
      <c r="EQ99" s="409">
        <v>0</v>
      </c>
      <c r="ER99" s="409">
        <v>0</v>
      </c>
      <c r="ES99" s="409">
        <v>0</v>
      </c>
      <c r="ET99" s="409">
        <v>0</v>
      </c>
      <c r="EU99" s="409">
        <v>0</v>
      </c>
      <c r="EV99" s="409">
        <v>210</v>
      </c>
      <c r="EW99" s="409">
        <v>0</v>
      </c>
      <c r="EX99" s="409">
        <v>0</v>
      </c>
      <c r="EY99" s="409">
        <v>0</v>
      </c>
      <c r="EZ99" s="409"/>
      <c r="FA99" s="409">
        <v>0</v>
      </c>
      <c r="FB99" s="409"/>
      <c r="FC99" s="409"/>
      <c r="FD99" s="409"/>
      <c r="FE99" s="409"/>
      <c r="FF99" s="409">
        <v>0</v>
      </c>
      <c r="FG99" s="409">
        <v>0</v>
      </c>
      <c r="FH99" s="409">
        <v>0</v>
      </c>
      <c r="FI99" s="409">
        <v>0</v>
      </c>
    </row>
    <row r="100" spans="1:165" s="877" customFormat="1">
      <c r="A100" s="409">
        <v>98</v>
      </c>
      <c r="B100" s="409" t="s">
        <v>1035</v>
      </c>
      <c r="C100" s="409" t="s">
        <v>2246</v>
      </c>
      <c r="D100" s="409" t="s">
        <v>595</v>
      </c>
      <c r="E100" s="409" t="s">
        <v>969</v>
      </c>
      <c r="F100" s="409" t="s">
        <v>1323</v>
      </c>
      <c r="G100" s="409" t="s">
        <v>1323</v>
      </c>
      <c r="H100" s="409" t="s">
        <v>1323</v>
      </c>
      <c r="I100" s="409" t="s">
        <v>2234</v>
      </c>
      <c r="J100" s="409" t="s">
        <v>2242</v>
      </c>
      <c r="K100" s="838">
        <v>44409</v>
      </c>
      <c r="L100" s="409">
        <v>0</v>
      </c>
      <c r="M100" s="409">
        <v>0</v>
      </c>
      <c r="N100" s="409">
        <v>82.766999999999996</v>
      </c>
      <c r="O100" s="409">
        <v>82.766999999999996</v>
      </c>
      <c r="P100" s="409">
        <v>82.766999999999996</v>
      </c>
      <c r="Q100" s="409">
        <v>82.766999999999996</v>
      </c>
      <c r="R100" s="409"/>
      <c r="S100" s="409">
        <v>64.400000000000006</v>
      </c>
      <c r="T100" s="409">
        <v>273.74</v>
      </c>
      <c r="U100" s="409"/>
      <c r="V100" s="409">
        <v>27986.83338</v>
      </c>
      <c r="W100" s="409">
        <v>27986.83338</v>
      </c>
      <c r="X100" s="409">
        <v>28755.738809999999</v>
      </c>
      <c r="Y100" s="409">
        <v>0</v>
      </c>
      <c r="Z100" s="409">
        <v>4347.3978070861913</v>
      </c>
      <c r="AA100" s="409">
        <v>0</v>
      </c>
      <c r="AB100" s="409">
        <v>0</v>
      </c>
      <c r="AC100" s="409">
        <v>0</v>
      </c>
      <c r="AD100" s="409">
        <v>0</v>
      </c>
      <c r="AE100" s="409">
        <v>0</v>
      </c>
      <c r="AF100" s="409">
        <v>22656.577306741288</v>
      </c>
      <c r="AG100" s="409">
        <v>0</v>
      </c>
      <c r="AH100" s="409">
        <v>0</v>
      </c>
      <c r="AI100" s="409">
        <v>0</v>
      </c>
      <c r="AJ100" s="409">
        <v>0</v>
      </c>
      <c r="AK100" s="409">
        <v>0</v>
      </c>
      <c r="AL100" s="409">
        <v>772.75813795636157</v>
      </c>
      <c r="AM100" s="409"/>
      <c r="AN100" s="409">
        <v>71.849032060821884</v>
      </c>
      <c r="AO100" s="409">
        <v>0</v>
      </c>
      <c r="AP100" s="409">
        <v>0</v>
      </c>
      <c r="AQ100" s="409">
        <v>0</v>
      </c>
      <c r="AR100" s="409">
        <v>0</v>
      </c>
      <c r="AS100" s="409">
        <v>0</v>
      </c>
      <c r="AT100" s="409">
        <v>0</v>
      </c>
      <c r="AU100" s="409">
        <v>0</v>
      </c>
      <c r="AV100" s="409">
        <v>0</v>
      </c>
      <c r="AW100" s="409">
        <v>0</v>
      </c>
      <c r="AX100" s="409">
        <v>0</v>
      </c>
      <c r="AY100" s="409">
        <v>0</v>
      </c>
      <c r="AZ100" s="409">
        <v>0</v>
      </c>
      <c r="BA100" s="409"/>
      <c r="BB100" s="409">
        <v>0</v>
      </c>
      <c r="BC100" s="409">
        <v>0</v>
      </c>
      <c r="BD100" s="409">
        <v>0</v>
      </c>
      <c r="BE100" s="409">
        <v>0</v>
      </c>
      <c r="BF100" s="409">
        <v>0</v>
      </c>
      <c r="BG100" s="409">
        <v>138.49616253279177</v>
      </c>
      <c r="BH100" s="409">
        <v>0</v>
      </c>
      <c r="BI100" s="409">
        <v>0</v>
      </c>
      <c r="BJ100" s="409">
        <v>0</v>
      </c>
      <c r="BK100" s="409">
        <v>0</v>
      </c>
      <c r="BL100" s="409">
        <v>0</v>
      </c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>
        <v>22795.073469274081</v>
      </c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>
        <v>28756.7811</v>
      </c>
      <c r="CJ100" s="409">
        <v>769.91772000000128</v>
      </c>
      <c r="CK100" s="409"/>
      <c r="CL100" s="409"/>
      <c r="CM100" s="409"/>
      <c r="CN100" s="409"/>
      <c r="CO100" s="409">
        <v>-307.06557000000066</v>
      </c>
      <c r="CP100" s="409">
        <v>1075.971</v>
      </c>
      <c r="CQ100" s="409">
        <v>31</v>
      </c>
      <c r="CR100" s="409">
        <v>769.03163720432349</v>
      </c>
      <c r="CS100" s="409">
        <v>0</v>
      </c>
      <c r="CT100" s="409">
        <v>0</v>
      </c>
      <c r="CU100" s="409">
        <v>0</v>
      </c>
      <c r="CV100" s="409">
        <v>0</v>
      </c>
      <c r="CW100" s="409">
        <v>0</v>
      </c>
      <c r="CX100" s="409">
        <v>0</v>
      </c>
      <c r="CY100" s="409">
        <v>0</v>
      </c>
      <c r="CZ100" s="409">
        <v>0</v>
      </c>
      <c r="DA100" s="409">
        <v>0</v>
      </c>
      <c r="DB100" s="409">
        <v>0</v>
      </c>
      <c r="DC100" s="409">
        <v>1220.5034862746325</v>
      </c>
      <c r="DD100" s="409">
        <v>0</v>
      </c>
      <c r="DE100" s="409">
        <v>0</v>
      </c>
      <c r="DF100" s="409">
        <v>0</v>
      </c>
      <c r="DG100" s="409">
        <v>7.4607495615260007</v>
      </c>
      <c r="DH100" s="409">
        <v>0</v>
      </c>
      <c r="DI100" s="409">
        <v>-277.10867968559842</v>
      </c>
      <c r="DJ100" s="409"/>
      <c r="DK100" s="409">
        <v>0</v>
      </c>
      <c r="DL100" s="409">
        <v>0</v>
      </c>
      <c r="DM100" s="409">
        <v>0</v>
      </c>
      <c r="DN100" s="409">
        <v>0</v>
      </c>
      <c r="DO100" s="409">
        <v>-40.517098323905543</v>
      </c>
      <c r="DP100" s="409">
        <v>-4.7405574960402816</v>
      </c>
      <c r="DQ100" s="409">
        <v>0</v>
      </c>
      <c r="DR100" s="409">
        <v>-136.56626312628765</v>
      </c>
      <c r="DS100" s="409"/>
      <c r="DT100" s="409"/>
      <c r="DU100" s="409"/>
      <c r="DV100" s="409">
        <v>0</v>
      </c>
      <c r="DW100" s="409">
        <v>0</v>
      </c>
      <c r="DX100" s="409">
        <v>0</v>
      </c>
      <c r="DY100" s="409">
        <v>-307.06557000000066</v>
      </c>
      <c r="DZ100" s="409">
        <v>1075.9710000000014</v>
      </c>
      <c r="EA100" s="409">
        <v>0</v>
      </c>
      <c r="EB100" s="409">
        <v>0</v>
      </c>
      <c r="EC100" s="409">
        <v>0</v>
      </c>
      <c r="ED100" s="409">
        <v>0</v>
      </c>
      <c r="EE100" s="409">
        <v>0</v>
      </c>
      <c r="EF100" s="409">
        <v>0</v>
      </c>
      <c r="EG100" s="409">
        <v>0</v>
      </c>
      <c r="EH100" s="409">
        <v>0</v>
      </c>
      <c r="EI100" s="409">
        <v>0</v>
      </c>
      <c r="EJ100" s="409">
        <v>0</v>
      </c>
      <c r="EK100" s="409">
        <v>0</v>
      </c>
      <c r="EL100" s="409">
        <v>0</v>
      </c>
      <c r="EM100" s="409">
        <v>0</v>
      </c>
      <c r="EN100" s="409">
        <v>0</v>
      </c>
      <c r="EO100" s="409">
        <v>0</v>
      </c>
      <c r="EP100" s="409">
        <v>0</v>
      </c>
      <c r="EQ100" s="409">
        <v>0</v>
      </c>
      <c r="ER100" s="409">
        <v>0</v>
      </c>
      <c r="ES100" s="409">
        <v>0</v>
      </c>
      <c r="ET100" s="409">
        <v>0</v>
      </c>
      <c r="EU100" s="409">
        <v>0</v>
      </c>
      <c r="EV100" s="409">
        <v>210</v>
      </c>
      <c r="EW100" s="409">
        <v>0</v>
      </c>
      <c r="EX100" s="409">
        <v>0</v>
      </c>
      <c r="EY100" s="409">
        <v>0</v>
      </c>
      <c r="EZ100" s="409"/>
      <c r="FA100" s="409">
        <v>0</v>
      </c>
      <c r="FB100" s="409"/>
      <c r="FC100" s="409"/>
      <c r="FD100" s="409"/>
      <c r="FE100" s="409"/>
      <c r="FF100" s="409">
        <v>0</v>
      </c>
      <c r="FG100" s="409">
        <v>0</v>
      </c>
      <c r="FH100" s="409">
        <v>0</v>
      </c>
      <c r="FI100" s="409">
        <v>0</v>
      </c>
    </row>
    <row r="101" spans="1:165" s="877" customFormat="1">
      <c r="A101" s="409">
        <v>99</v>
      </c>
      <c r="B101" s="409" t="s">
        <v>1035</v>
      </c>
      <c r="C101" s="409" t="s">
        <v>2246</v>
      </c>
      <c r="D101" s="409" t="s">
        <v>595</v>
      </c>
      <c r="E101" s="409" t="s">
        <v>969</v>
      </c>
      <c r="F101" s="409" t="s">
        <v>1323</v>
      </c>
      <c r="G101" s="409" t="s">
        <v>1323</v>
      </c>
      <c r="H101" s="409" t="s">
        <v>1323</v>
      </c>
      <c r="I101" s="409" t="s">
        <v>1323</v>
      </c>
      <c r="J101" s="409" t="s">
        <v>2242</v>
      </c>
      <c r="K101" s="838">
        <v>44409</v>
      </c>
      <c r="L101" s="409">
        <v>843</v>
      </c>
      <c r="M101" s="409">
        <v>843</v>
      </c>
      <c r="N101" s="409">
        <v>0</v>
      </c>
      <c r="O101" s="409">
        <v>0</v>
      </c>
      <c r="P101" s="409">
        <v>0</v>
      </c>
      <c r="Q101" s="409">
        <v>0</v>
      </c>
      <c r="R101" s="409">
        <v>33.6</v>
      </c>
      <c r="S101" s="409"/>
      <c r="T101" s="409"/>
      <c r="U101" s="409">
        <v>28324.800000000003</v>
      </c>
      <c r="V101" s="409"/>
      <c r="W101" s="409">
        <v>28324.800000000003</v>
      </c>
      <c r="X101" s="409">
        <v>26773.68</v>
      </c>
      <c r="Y101" s="409">
        <v>0</v>
      </c>
      <c r="Z101" s="409">
        <v>0</v>
      </c>
      <c r="AA101" s="409">
        <v>0</v>
      </c>
      <c r="AB101" s="409">
        <v>0</v>
      </c>
      <c r="AC101" s="409">
        <v>0</v>
      </c>
      <c r="AD101" s="409">
        <v>15043.769038745078</v>
      </c>
      <c r="AE101" s="409">
        <v>13281.591460987915</v>
      </c>
      <c r="AF101" s="409"/>
      <c r="AG101" s="409"/>
      <c r="AH101" s="409"/>
      <c r="AI101" s="409">
        <v>0</v>
      </c>
      <c r="AJ101" s="409">
        <v>0</v>
      </c>
      <c r="AK101" s="409">
        <v>0</v>
      </c>
      <c r="AL101" s="409">
        <v>0</v>
      </c>
      <c r="AM101" s="409"/>
      <c r="AN101" s="409">
        <v>0</v>
      </c>
      <c r="AO101" s="409">
        <v>0</v>
      </c>
      <c r="AP101" s="409">
        <v>0</v>
      </c>
      <c r="AQ101" s="409">
        <v>0</v>
      </c>
      <c r="AR101" s="409">
        <v>0</v>
      </c>
      <c r="AS101" s="409"/>
      <c r="AT101" s="409"/>
      <c r="AU101" s="409">
        <v>0</v>
      </c>
      <c r="AV101" s="409">
        <v>0</v>
      </c>
      <c r="AW101" s="409">
        <v>0</v>
      </c>
      <c r="AX101" s="409"/>
      <c r="AY101" s="409"/>
      <c r="AZ101" s="409">
        <v>0</v>
      </c>
      <c r="BA101" s="409"/>
      <c r="BB101" s="409">
        <v>0</v>
      </c>
      <c r="BC101" s="409">
        <v>0</v>
      </c>
      <c r="BD101" s="409">
        <v>0</v>
      </c>
      <c r="BE101" s="409">
        <v>0</v>
      </c>
      <c r="BF101" s="409"/>
      <c r="BG101" s="409">
        <v>0</v>
      </c>
      <c r="BH101" s="409">
        <v>0</v>
      </c>
      <c r="BI101" s="409">
        <v>561.83000000000004</v>
      </c>
      <c r="BJ101" s="409">
        <v>2593.12</v>
      </c>
      <c r="BK101" s="409">
        <v>14901.16</v>
      </c>
      <c r="BL101" s="409">
        <v>3</v>
      </c>
      <c r="BM101" s="409"/>
      <c r="BN101" s="409"/>
      <c r="BO101" s="409"/>
      <c r="BP101" s="409"/>
      <c r="BQ101" s="409"/>
      <c r="BR101" s="409"/>
      <c r="BS101" s="409"/>
      <c r="BT101" s="409"/>
      <c r="BU101" s="409"/>
      <c r="BV101" s="409">
        <v>0</v>
      </c>
      <c r="BW101" s="409"/>
      <c r="BX101" s="409"/>
      <c r="BY101" s="409"/>
      <c r="BZ101" s="409"/>
      <c r="CA101" s="409"/>
      <c r="CB101" s="409"/>
      <c r="CC101" s="409"/>
      <c r="CD101" s="409"/>
      <c r="CE101" s="409"/>
      <c r="CF101" s="409"/>
      <c r="CG101" s="409"/>
      <c r="CH101" s="409"/>
      <c r="CI101" s="409">
        <v>26773.68</v>
      </c>
      <c r="CJ101" s="409">
        <v>-1551.1499999999978</v>
      </c>
      <c r="CK101" s="409"/>
      <c r="CL101" s="409"/>
      <c r="CM101" s="409"/>
      <c r="CN101" s="409"/>
      <c r="CO101" s="409">
        <v>-1551.12</v>
      </c>
      <c r="CP101" s="409">
        <v>0</v>
      </c>
      <c r="CQ101" s="409">
        <v>31</v>
      </c>
      <c r="CR101" s="409">
        <v>556.55876744722991</v>
      </c>
      <c r="CS101" s="409">
        <v>0</v>
      </c>
      <c r="CT101" s="409">
        <v>0</v>
      </c>
      <c r="CU101" s="409">
        <v>0</v>
      </c>
      <c r="CV101" s="409">
        <v>0</v>
      </c>
      <c r="CW101" s="409"/>
      <c r="CX101" s="409"/>
      <c r="CY101" s="409"/>
      <c r="CZ101" s="409">
        <v>515.67696602117758</v>
      </c>
      <c r="DA101" s="409">
        <v>0</v>
      </c>
      <c r="DB101" s="409">
        <v>0</v>
      </c>
      <c r="DC101" s="409"/>
      <c r="DD101" s="409"/>
      <c r="DE101" s="409">
        <v>0</v>
      </c>
      <c r="DF101" s="409">
        <v>0</v>
      </c>
      <c r="DG101" s="409">
        <v>0</v>
      </c>
      <c r="DH101" s="409">
        <v>0</v>
      </c>
      <c r="DI101" s="409">
        <v>0</v>
      </c>
      <c r="DJ101" s="409"/>
      <c r="DK101" s="409">
        <v>0</v>
      </c>
      <c r="DL101" s="409">
        <v>0</v>
      </c>
      <c r="DM101" s="409"/>
      <c r="DN101" s="409">
        <v>0</v>
      </c>
      <c r="DO101" s="409">
        <v>0</v>
      </c>
      <c r="DP101" s="409">
        <v>0</v>
      </c>
      <c r="DQ101" s="409">
        <v>0</v>
      </c>
      <c r="DR101" s="409">
        <v>40.881801426052682</v>
      </c>
      <c r="DS101" s="409"/>
      <c r="DT101" s="409"/>
      <c r="DU101" s="409">
        <v>13281.591460987915</v>
      </c>
      <c r="DV101" s="409"/>
      <c r="DW101" s="409">
        <v>0</v>
      </c>
      <c r="DX101" s="409">
        <v>0</v>
      </c>
      <c r="DY101" s="409">
        <v>-1551.1200000000026</v>
      </c>
      <c r="DZ101" s="409"/>
      <c r="EA101" s="409">
        <v>0</v>
      </c>
      <c r="EB101" s="409"/>
      <c r="EC101" s="409">
        <v>-2111.1485646837755</v>
      </c>
      <c r="ED101" s="409"/>
      <c r="EE101" s="409">
        <v>0</v>
      </c>
      <c r="EF101" s="409">
        <v>0</v>
      </c>
      <c r="EG101" s="409"/>
      <c r="EH101" s="409">
        <v>0</v>
      </c>
      <c r="EI101" s="409">
        <v>0</v>
      </c>
      <c r="EJ101" s="409">
        <v>0</v>
      </c>
      <c r="EK101" s="409">
        <v>0</v>
      </c>
      <c r="EL101" s="409">
        <v>0</v>
      </c>
      <c r="EM101" s="409"/>
      <c r="EN101" s="409"/>
      <c r="EO101" s="409">
        <v>0</v>
      </c>
      <c r="EP101" s="409">
        <v>0</v>
      </c>
      <c r="EQ101" s="409"/>
      <c r="ER101" s="409">
        <v>0</v>
      </c>
      <c r="ES101" s="409"/>
      <c r="ET101" s="409">
        <v>0</v>
      </c>
      <c r="EU101" s="409"/>
      <c r="EV101" s="409">
        <v>210</v>
      </c>
      <c r="EW101" s="409"/>
      <c r="EX101" s="409"/>
      <c r="EY101" s="409"/>
      <c r="EZ101" s="409"/>
      <c r="FA101" s="409">
        <v>0</v>
      </c>
      <c r="FB101" s="409"/>
      <c r="FC101" s="409"/>
      <c r="FD101" s="409"/>
      <c r="FE101" s="409"/>
      <c r="FF101" s="409">
        <v>0</v>
      </c>
      <c r="FG101" s="409">
        <v>0</v>
      </c>
      <c r="FH101" s="409">
        <v>0</v>
      </c>
      <c r="FI101" s="409">
        <v>0</v>
      </c>
    </row>
    <row r="102" spans="1:165" s="877" customFormat="1">
      <c r="A102" s="409">
        <v>100</v>
      </c>
      <c r="B102" s="409" t="s">
        <v>1035</v>
      </c>
      <c r="C102" s="409" t="s">
        <v>2241</v>
      </c>
      <c r="D102" s="409" t="s">
        <v>1992</v>
      </c>
      <c r="E102" s="409" t="s">
        <v>997</v>
      </c>
      <c r="F102" s="409" t="s">
        <v>1323</v>
      </c>
      <c r="G102" s="409" t="s">
        <v>1323</v>
      </c>
      <c r="H102" s="409" t="s">
        <v>1323</v>
      </c>
      <c r="I102" s="409" t="s">
        <v>1323</v>
      </c>
      <c r="J102" s="409" t="s">
        <v>2242</v>
      </c>
      <c r="K102" s="838">
        <v>44409</v>
      </c>
      <c r="L102" s="409">
        <v>0</v>
      </c>
      <c r="M102" s="409">
        <v>0</v>
      </c>
      <c r="N102" s="409">
        <v>56.414999999999999</v>
      </c>
      <c r="O102" s="409">
        <v>56.414999999999999</v>
      </c>
      <c r="P102" s="409">
        <v>56.414999999999999</v>
      </c>
      <c r="Q102" s="409">
        <v>56.414999999999999</v>
      </c>
      <c r="R102" s="409"/>
      <c r="S102" s="409">
        <v>358.62</v>
      </c>
      <c r="T102" s="409">
        <v>273.74</v>
      </c>
      <c r="U102" s="409"/>
      <c r="V102" s="409">
        <v>35674.589399999997</v>
      </c>
      <c r="W102" s="409">
        <v>35674.589399999997</v>
      </c>
      <c r="X102" s="409">
        <v>34590.293100000003</v>
      </c>
      <c r="Y102" s="409">
        <v>0</v>
      </c>
      <c r="Z102" s="409">
        <v>3406.0224636528828</v>
      </c>
      <c r="AA102" s="409">
        <v>0</v>
      </c>
      <c r="AB102" s="409">
        <v>0</v>
      </c>
      <c r="AC102" s="409">
        <v>0</v>
      </c>
      <c r="AD102" s="409">
        <v>4856.6837259661179</v>
      </c>
      <c r="AE102" s="409">
        <v>11174.637619142401</v>
      </c>
      <c r="AF102" s="409">
        <v>15443.000335397075</v>
      </c>
      <c r="AG102" s="409">
        <v>0</v>
      </c>
      <c r="AH102" s="409">
        <v>0</v>
      </c>
      <c r="AI102" s="409">
        <v>0</v>
      </c>
      <c r="AJ102" s="409">
        <v>0</v>
      </c>
      <c r="AK102" s="409">
        <v>0</v>
      </c>
      <c r="AL102" s="409">
        <v>526.72140288772266</v>
      </c>
      <c r="AM102" s="409"/>
      <c r="AN102" s="409">
        <v>60.087129704030886</v>
      </c>
      <c r="AO102" s="409">
        <v>0</v>
      </c>
      <c r="AP102" s="409">
        <v>0</v>
      </c>
      <c r="AQ102" s="409">
        <v>0</v>
      </c>
      <c r="AR102" s="409">
        <v>0</v>
      </c>
      <c r="AS102" s="409">
        <v>0</v>
      </c>
      <c r="AT102" s="409">
        <v>0</v>
      </c>
      <c r="AU102" s="409">
        <v>0</v>
      </c>
      <c r="AV102" s="409">
        <v>0</v>
      </c>
      <c r="AW102" s="409">
        <v>0</v>
      </c>
      <c r="AX102" s="409">
        <v>0</v>
      </c>
      <c r="AY102" s="409">
        <v>0</v>
      </c>
      <c r="AZ102" s="409">
        <v>0</v>
      </c>
      <c r="BA102" s="409"/>
      <c r="BB102" s="409">
        <v>0</v>
      </c>
      <c r="BC102" s="409">
        <v>0</v>
      </c>
      <c r="BD102" s="409">
        <v>0</v>
      </c>
      <c r="BE102" s="409">
        <v>0</v>
      </c>
      <c r="BF102" s="409">
        <v>0</v>
      </c>
      <c r="BG102" s="409">
        <v>207.5184162231923</v>
      </c>
      <c r="BH102" s="409">
        <v>0</v>
      </c>
      <c r="BI102" s="409">
        <v>276.98</v>
      </c>
      <c r="BJ102" s="409">
        <v>1279.53</v>
      </c>
      <c r="BK102" s="409">
        <v>9109.58</v>
      </c>
      <c r="BL102" s="409">
        <v>68</v>
      </c>
      <c r="BM102" s="409"/>
      <c r="BN102" s="409"/>
      <c r="BO102" s="409"/>
      <c r="BP102" s="409"/>
      <c r="BQ102" s="409"/>
      <c r="BR102" s="409"/>
      <c r="BS102" s="409"/>
      <c r="BT102" s="409"/>
      <c r="BU102" s="409"/>
      <c r="BV102" s="409">
        <v>15650.518751620268</v>
      </c>
      <c r="BW102" s="409"/>
      <c r="BX102" s="409"/>
      <c r="BY102" s="409"/>
      <c r="BZ102" s="409"/>
      <c r="CA102" s="409"/>
      <c r="CB102" s="409"/>
      <c r="CC102" s="409"/>
      <c r="CD102" s="409"/>
      <c r="CE102" s="409"/>
      <c r="CF102" s="409"/>
      <c r="CG102" s="409"/>
      <c r="CH102" s="409"/>
      <c r="CI102" s="409">
        <v>34593.358800000002</v>
      </c>
      <c r="CJ102" s="409">
        <v>-1081.2605999999942</v>
      </c>
      <c r="CK102" s="409"/>
      <c r="CL102" s="409"/>
      <c r="CM102" s="409"/>
      <c r="CN102" s="409"/>
      <c r="CO102" s="409">
        <v>-1817.6913000000015</v>
      </c>
      <c r="CP102" s="409">
        <v>733.39499999999998</v>
      </c>
      <c r="CQ102" s="409">
        <v>31</v>
      </c>
      <c r="CR102" s="409">
        <v>691.7539733654412</v>
      </c>
      <c r="CS102" s="409">
        <v>0</v>
      </c>
      <c r="CT102" s="409">
        <v>0</v>
      </c>
      <c r="CU102" s="409">
        <v>0</v>
      </c>
      <c r="CV102" s="409">
        <v>0</v>
      </c>
      <c r="CW102" s="409">
        <v>0</v>
      </c>
      <c r="CX102" s="409">
        <v>0</v>
      </c>
      <c r="CY102" s="409">
        <v>0</v>
      </c>
      <c r="CZ102" s="409">
        <v>166.47955191818983</v>
      </c>
      <c r="DA102" s="409">
        <v>0</v>
      </c>
      <c r="DB102" s="409">
        <v>0</v>
      </c>
      <c r="DC102" s="409">
        <v>831.91011125428668</v>
      </c>
      <c r="DD102" s="409">
        <v>0</v>
      </c>
      <c r="DE102" s="409">
        <v>0</v>
      </c>
      <c r="DF102" s="409">
        <v>0</v>
      </c>
      <c r="DG102" s="409">
        <v>11.1789590738953</v>
      </c>
      <c r="DH102" s="409">
        <v>0</v>
      </c>
      <c r="DI102" s="409">
        <v>-217.10421492689238</v>
      </c>
      <c r="DJ102" s="409"/>
      <c r="DK102" s="409">
        <v>0</v>
      </c>
      <c r="DL102" s="409">
        <v>0</v>
      </c>
      <c r="DM102" s="409">
        <v>0</v>
      </c>
      <c r="DN102" s="409">
        <v>0</v>
      </c>
      <c r="DO102" s="409">
        <v>-27.616950015623843</v>
      </c>
      <c r="DP102" s="409">
        <v>-3.9645139950231396</v>
      </c>
      <c r="DQ102" s="409">
        <v>0</v>
      </c>
      <c r="DR102" s="409">
        <v>-69.12896994339053</v>
      </c>
      <c r="DS102" s="409"/>
      <c r="DT102" s="409"/>
      <c r="DU102" s="409"/>
      <c r="DV102" s="409">
        <v>11174.637619142401</v>
      </c>
      <c r="DW102" s="409">
        <v>0</v>
      </c>
      <c r="DX102" s="409">
        <v>0</v>
      </c>
      <c r="DY102" s="409">
        <v>-1817.6912999999986</v>
      </c>
      <c r="DZ102" s="409">
        <v>733.39500000000044</v>
      </c>
      <c r="EA102" s="409">
        <v>0</v>
      </c>
      <c r="EB102" s="409">
        <v>0</v>
      </c>
      <c r="EC102" s="409">
        <v>-1776.2419691803552</v>
      </c>
      <c r="ED102" s="409">
        <v>0</v>
      </c>
      <c r="EE102" s="409">
        <v>0</v>
      </c>
      <c r="EF102" s="409">
        <v>0</v>
      </c>
      <c r="EG102" s="409">
        <v>0</v>
      </c>
      <c r="EH102" s="409">
        <v>0</v>
      </c>
      <c r="EI102" s="409">
        <v>0</v>
      </c>
      <c r="EJ102" s="409">
        <v>0</v>
      </c>
      <c r="EK102" s="409">
        <v>0</v>
      </c>
      <c r="EL102" s="409">
        <v>0</v>
      </c>
      <c r="EM102" s="409">
        <v>0</v>
      </c>
      <c r="EN102" s="409">
        <v>0</v>
      </c>
      <c r="EO102" s="409">
        <v>0</v>
      </c>
      <c r="EP102" s="409">
        <v>0</v>
      </c>
      <c r="EQ102" s="409">
        <v>0</v>
      </c>
      <c r="ER102" s="409">
        <v>0</v>
      </c>
      <c r="ES102" s="409">
        <v>0</v>
      </c>
      <c r="ET102" s="409">
        <v>0</v>
      </c>
      <c r="EU102" s="409">
        <v>0</v>
      </c>
      <c r="EV102" s="409">
        <v>210</v>
      </c>
      <c r="EW102" s="409">
        <v>0</v>
      </c>
      <c r="EX102" s="409">
        <v>0</v>
      </c>
      <c r="EY102" s="409">
        <v>0</v>
      </c>
      <c r="EZ102" s="409"/>
      <c r="FA102" s="409">
        <v>0</v>
      </c>
      <c r="FB102" s="409"/>
      <c r="FC102" s="409"/>
      <c r="FD102" s="409"/>
      <c r="FE102" s="409"/>
      <c r="FF102" s="409">
        <v>0</v>
      </c>
      <c r="FG102" s="409">
        <v>0</v>
      </c>
      <c r="FH102" s="409">
        <v>0</v>
      </c>
      <c r="FI102" s="409">
        <v>0</v>
      </c>
    </row>
    <row r="103" spans="1:165" s="877" customFormat="1">
      <c r="A103" s="409">
        <v>101</v>
      </c>
      <c r="B103" s="409" t="s">
        <v>2240</v>
      </c>
      <c r="C103" s="409" t="s">
        <v>2241</v>
      </c>
      <c r="D103" s="409" t="s">
        <v>1992</v>
      </c>
      <c r="E103" s="409" t="s">
        <v>997</v>
      </c>
      <c r="F103" s="409" t="s">
        <v>1323</v>
      </c>
      <c r="G103" s="409" t="s">
        <v>1323</v>
      </c>
      <c r="H103" s="409" t="s">
        <v>1323</v>
      </c>
      <c r="I103" s="409" t="s">
        <v>1323</v>
      </c>
      <c r="J103" s="409" t="s">
        <v>2242</v>
      </c>
      <c r="K103" s="838">
        <v>44409</v>
      </c>
      <c r="L103" s="409">
        <v>0</v>
      </c>
      <c r="M103" s="409">
        <v>0</v>
      </c>
      <c r="N103" s="409">
        <v>0.1</v>
      </c>
      <c r="O103" s="409">
        <v>0.1</v>
      </c>
      <c r="P103" s="409">
        <v>0.1</v>
      </c>
      <c r="Q103" s="409">
        <v>0.1</v>
      </c>
      <c r="R103" s="409"/>
      <c r="S103" s="409">
        <v>358.62</v>
      </c>
      <c r="T103" s="409">
        <v>273.74</v>
      </c>
      <c r="U103" s="409"/>
      <c r="V103" s="409">
        <v>63.236000000000004</v>
      </c>
      <c r="W103" s="409">
        <v>63.236000000000004</v>
      </c>
      <c r="X103" s="409">
        <v>61.314000000000007</v>
      </c>
      <c r="Y103" s="409">
        <v>0</v>
      </c>
      <c r="Z103" s="409">
        <v>6.03744121891852</v>
      </c>
      <c r="AA103" s="409">
        <v>0</v>
      </c>
      <c r="AB103" s="409">
        <v>0</v>
      </c>
      <c r="AC103" s="409">
        <v>0</v>
      </c>
      <c r="AD103" s="409">
        <v>8.6088517698592906</v>
      </c>
      <c r="AE103" s="409">
        <v>19.807919204364801</v>
      </c>
      <c r="AF103" s="409">
        <v>27.373925968974699</v>
      </c>
      <c r="AG103" s="409">
        <v>0</v>
      </c>
      <c r="AH103" s="409">
        <v>0</v>
      </c>
      <c r="AI103" s="409">
        <v>0</v>
      </c>
      <c r="AJ103" s="409">
        <v>0</v>
      </c>
      <c r="AK103" s="409">
        <v>0</v>
      </c>
      <c r="AL103" s="409">
        <v>0.93365488414025111</v>
      </c>
      <c r="AM103" s="409"/>
      <c r="AN103" s="409">
        <v>0.10650913711607</v>
      </c>
      <c r="AO103" s="409">
        <v>0</v>
      </c>
      <c r="AP103" s="409">
        <v>0</v>
      </c>
      <c r="AQ103" s="409">
        <v>0</v>
      </c>
      <c r="AR103" s="409">
        <v>0</v>
      </c>
      <c r="AS103" s="409">
        <v>0</v>
      </c>
      <c r="AT103" s="409">
        <v>0</v>
      </c>
      <c r="AU103" s="409">
        <v>0</v>
      </c>
      <c r="AV103" s="409">
        <v>0</v>
      </c>
      <c r="AW103" s="409">
        <v>0</v>
      </c>
      <c r="AX103" s="409">
        <v>0</v>
      </c>
      <c r="AY103" s="409">
        <v>0</v>
      </c>
      <c r="AZ103" s="409">
        <v>0</v>
      </c>
      <c r="BA103" s="409"/>
      <c r="BB103" s="409">
        <v>0</v>
      </c>
      <c r="BC103" s="409">
        <v>0</v>
      </c>
      <c r="BD103" s="409">
        <v>0</v>
      </c>
      <c r="BE103" s="409">
        <v>0</v>
      </c>
      <c r="BF103" s="409">
        <v>0</v>
      </c>
      <c r="BG103" s="409">
        <v>0.36784262381138405</v>
      </c>
      <c r="BH103" s="409">
        <v>0</v>
      </c>
      <c r="BI103" s="409">
        <v>0.57999999999999996</v>
      </c>
      <c r="BJ103" s="409">
        <v>2.71</v>
      </c>
      <c r="BK103" s="409">
        <v>119.22</v>
      </c>
      <c r="BL103" s="409">
        <v>1</v>
      </c>
      <c r="BM103" s="409"/>
      <c r="BN103" s="409"/>
      <c r="BO103" s="409"/>
      <c r="BP103" s="409"/>
      <c r="BQ103" s="409"/>
      <c r="BR103" s="409"/>
      <c r="BS103" s="409"/>
      <c r="BT103" s="409"/>
      <c r="BU103" s="409"/>
      <c r="BV103" s="409">
        <v>27.741768592786084</v>
      </c>
      <c r="BW103" s="409"/>
      <c r="BX103" s="409"/>
      <c r="BY103" s="409"/>
      <c r="BZ103" s="409"/>
      <c r="CA103" s="409"/>
      <c r="CB103" s="409"/>
      <c r="CC103" s="409"/>
      <c r="CD103" s="409"/>
      <c r="CE103" s="409"/>
      <c r="CF103" s="409"/>
      <c r="CG103" s="409"/>
      <c r="CH103" s="409"/>
      <c r="CI103" s="409">
        <v>61.314000000000007</v>
      </c>
      <c r="CJ103" s="409">
        <v>-1.9519999999999911</v>
      </c>
      <c r="CK103" s="409"/>
      <c r="CL103" s="409"/>
      <c r="CM103" s="409"/>
      <c r="CN103" s="409"/>
      <c r="CO103" s="409">
        <v>-3.2220000000000031</v>
      </c>
      <c r="CP103" s="409">
        <v>1.3</v>
      </c>
      <c r="CQ103" s="409">
        <v>31</v>
      </c>
      <c r="CR103" s="409">
        <v>1.2261880233367748</v>
      </c>
      <c r="CS103" s="409">
        <v>0</v>
      </c>
      <c r="CT103" s="409">
        <v>0</v>
      </c>
      <c r="CU103" s="409">
        <v>0</v>
      </c>
      <c r="CV103" s="409">
        <v>0</v>
      </c>
      <c r="CW103" s="409">
        <v>0</v>
      </c>
      <c r="CX103" s="409">
        <v>0</v>
      </c>
      <c r="CY103" s="409">
        <v>0</v>
      </c>
      <c r="CZ103" s="409">
        <v>0.29509802697543108</v>
      </c>
      <c r="DA103" s="409">
        <v>0</v>
      </c>
      <c r="DB103" s="409">
        <v>0</v>
      </c>
      <c r="DC103" s="409">
        <v>1.4746257400590004</v>
      </c>
      <c r="DD103" s="409">
        <v>0</v>
      </c>
      <c r="DE103" s="409">
        <v>0</v>
      </c>
      <c r="DF103" s="409">
        <v>0</v>
      </c>
      <c r="DG103" s="409">
        <v>1.9815579320916987E-2</v>
      </c>
      <c r="DH103" s="409">
        <v>0</v>
      </c>
      <c r="DI103" s="409">
        <v>-0.38483420176707028</v>
      </c>
      <c r="DJ103" s="409"/>
      <c r="DK103" s="409">
        <v>0</v>
      </c>
      <c r="DL103" s="409">
        <v>0</v>
      </c>
      <c r="DM103" s="409">
        <v>0</v>
      </c>
      <c r="DN103" s="409">
        <v>0</v>
      </c>
      <c r="DO103" s="409">
        <v>-4.8953203962817993E-2</v>
      </c>
      <c r="DP103" s="409">
        <v>-7.0274111406950918E-3</v>
      </c>
      <c r="DQ103" s="409">
        <v>0</v>
      </c>
      <c r="DR103" s="409">
        <v>-0.12253650614799351</v>
      </c>
      <c r="DS103" s="409"/>
      <c r="DT103" s="409"/>
      <c r="DU103" s="409"/>
      <c r="DV103" s="409">
        <v>19.807919204364801</v>
      </c>
      <c r="DW103" s="409">
        <v>0</v>
      </c>
      <c r="DX103" s="409">
        <v>0</v>
      </c>
      <c r="DY103" s="409">
        <v>-3.2220000000000013</v>
      </c>
      <c r="DZ103" s="409">
        <v>1.3000000000000007</v>
      </c>
      <c r="EA103" s="409">
        <v>0</v>
      </c>
      <c r="EB103" s="409">
        <v>0</v>
      </c>
      <c r="EC103" s="409">
        <v>-3.1485278191622008</v>
      </c>
      <c r="ED103" s="409">
        <v>0</v>
      </c>
      <c r="EE103" s="409">
        <v>0</v>
      </c>
      <c r="EF103" s="409">
        <v>0</v>
      </c>
      <c r="EG103" s="409">
        <v>0</v>
      </c>
      <c r="EH103" s="409">
        <v>0</v>
      </c>
      <c r="EI103" s="409">
        <v>0</v>
      </c>
      <c r="EJ103" s="409">
        <v>0</v>
      </c>
      <c r="EK103" s="409">
        <v>0</v>
      </c>
      <c r="EL103" s="409">
        <v>0</v>
      </c>
      <c r="EM103" s="409">
        <v>0</v>
      </c>
      <c r="EN103" s="409">
        <v>0</v>
      </c>
      <c r="EO103" s="409">
        <v>0</v>
      </c>
      <c r="EP103" s="409">
        <v>0</v>
      </c>
      <c r="EQ103" s="409">
        <v>0</v>
      </c>
      <c r="ER103" s="409">
        <v>0</v>
      </c>
      <c r="ES103" s="409">
        <v>0</v>
      </c>
      <c r="ET103" s="409">
        <v>0</v>
      </c>
      <c r="EU103" s="409">
        <v>0</v>
      </c>
      <c r="EV103" s="409">
        <v>210</v>
      </c>
      <c r="EW103" s="409">
        <v>0</v>
      </c>
      <c r="EX103" s="409">
        <v>0</v>
      </c>
      <c r="EY103" s="409">
        <v>0</v>
      </c>
      <c r="EZ103" s="409"/>
      <c r="FA103" s="409">
        <v>0</v>
      </c>
      <c r="FB103" s="409"/>
      <c r="FC103" s="409"/>
      <c r="FD103" s="409"/>
      <c r="FE103" s="409"/>
      <c r="FF103" s="409">
        <v>0</v>
      </c>
      <c r="FG103" s="409">
        <v>0</v>
      </c>
      <c r="FH103" s="409">
        <v>0</v>
      </c>
      <c r="FI103" s="409">
        <v>0</v>
      </c>
    </row>
    <row r="104" spans="1:165" s="877" customFormat="1">
      <c r="A104" s="409">
        <v>102</v>
      </c>
      <c r="B104" s="409" t="s">
        <v>1035</v>
      </c>
      <c r="C104" s="409" t="s">
        <v>2246</v>
      </c>
      <c r="D104" s="409" t="s">
        <v>595</v>
      </c>
      <c r="E104" s="409" t="s">
        <v>997</v>
      </c>
      <c r="F104" s="409" t="s">
        <v>1323</v>
      </c>
      <c r="G104" s="409" t="s">
        <v>1323</v>
      </c>
      <c r="H104" s="409" t="s">
        <v>1323</v>
      </c>
      <c r="I104" s="409" t="s">
        <v>972</v>
      </c>
      <c r="J104" s="409" t="s">
        <v>2242</v>
      </c>
      <c r="K104" s="838">
        <v>44409</v>
      </c>
      <c r="L104" s="409">
        <v>0</v>
      </c>
      <c r="M104" s="409">
        <v>0</v>
      </c>
      <c r="N104" s="409">
        <v>0.33400000000000002</v>
      </c>
      <c r="O104" s="409">
        <v>0.33400000000000002</v>
      </c>
      <c r="P104" s="409">
        <v>0.33400000000000002</v>
      </c>
      <c r="Q104" s="409">
        <v>0.33400000000000002</v>
      </c>
      <c r="R104" s="409"/>
      <c r="S104" s="409">
        <v>1856.88</v>
      </c>
      <c r="T104" s="409">
        <v>273.74</v>
      </c>
      <c r="U104" s="409"/>
      <c r="V104" s="409">
        <v>711.62708000000009</v>
      </c>
      <c r="W104" s="409">
        <v>711.62708000000009</v>
      </c>
      <c r="X104" s="409">
        <v>652.05817999999999</v>
      </c>
      <c r="Y104" s="409">
        <v>0</v>
      </c>
      <c r="Z104" s="409">
        <v>17.543596693933427</v>
      </c>
      <c r="AA104" s="409">
        <v>0</v>
      </c>
      <c r="AB104" s="409">
        <v>0</v>
      </c>
      <c r="AC104" s="409">
        <v>0</v>
      </c>
      <c r="AD104" s="409">
        <v>163.69068472206555</v>
      </c>
      <c r="AE104" s="409">
        <v>434.99542800080366</v>
      </c>
      <c r="AF104" s="409">
        <v>91.428912736375494</v>
      </c>
      <c r="AG104" s="409">
        <v>0</v>
      </c>
      <c r="AH104" s="409">
        <v>0</v>
      </c>
      <c r="AI104" s="409">
        <v>0</v>
      </c>
      <c r="AJ104" s="409">
        <v>0</v>
      </c>
      <c r="AK104" s="409">
        <v>0</v>
      </c>
      <c r="AL104" s="409">
        <v>3.1184073130284387</v>
      </c>
      <c r="AM104" s="409"/>
      <c r="AN104" s="409">
        <v>0.28994136199589826</v>
      </c>
      <c r="AO104" s="409">
        <v>0</v>
      </c>
      <c r="AP104" s="409">
        <v>0</v>
      </c>
      <c r="AQ104" s="409">
        <v>0</v>
      </c>
      <c r="AR104" s="409">
        <v>0</v>
      </c>
      <c r="AS104" s="409">
        <v>0</v>
      </c>
      <c r="AT104" s="409">
        <v>0</v>
      </c>
      <c r="AU104" s="409">
        <v>0</v>
      </c>
      <c r="AV104" s="409">
        <v>0</v>
      </c>
      <c r="AW104" s="409">
        <v>0</v>
      </c>
      <c r="AX104" s="409">
        <v>0</v>
      </c>
      <c r="AY104" s="409">
        <v>0</v>
      </c>
      <c r="AZ104" s="409">
        <v>0</v>
      </c>
      <c r="BA104" s="409"/>
      <c r="BB104" s="409">
        <v>0</v>
      </c>
      <c r="BC104" s="409">
        <v>0</v>
      </c>
      <c r="BD104" s="409">
        <v>0</v>
      </c>
      <c r="BE104" s="409">
        <v>0</v>
      </c>
      <c r="BF104" s="409">
        <v>0</v>
      </c>
      <c r="BG104" s="409">
        <v>0.55889084159088109</v>
      </c>
      <c r="BH104" s="409">
        <v>0</v>
      </c>
      <c r="BI104" s="409">
        <v>0</v>
      </c>
      <c r="BJ104" s="409">
        <v>0</v>
      </c>
      <c r="BK104" s="409">
        <v>0</v>
      </c>
      <c r="BL104" s="409">
        <v>0</v>
      </c>
      <c r="BM104" s="409"/>
      <c r="BN104" s="409"/>
      <c r="BO104" s="409"/>
      <c r="BP104" s="409"/>
      <c r="BQ104" s="409"/>
      <c r="BR104" s="409"/>
      <c r="BS104" s="409"/>
      <c r="BT104" s="409"/>
      <c r="BU104" s="409"/>
      <c r="BV104" s="409">
        <v>91.987803577966375</v>
      </c>
      <c r="BW104" s="409"/>
      <c r="BX104" s="409"/>
      <c r="BY104" s="409"/>
      <c r="BZ104" s="409"/>
      <c r="CA104" s="409"/>
      <c r="CB104" s="409"/>
      <c r="CC104" s="409"/>
      <c r="CD104" s="409"/>
      <c r="CE104" s="409"/>
      <c r="CF104" s="409"/>
      <c r="CG104" s="409"/>
      <c r="CH104" s="409"/>
      <c r="CI104" s="409">
        <v>644.2491</v>
      </c>
      <c r="CJ104" s="409">
        <v>-67.407980000000066</v>
      </c>
      <c r="CK104" s="409"/>
      <c r="CL104" s="409"/>
      <c r="CM104" s="409"/>
      <c r="CN104" s="409"/>
      <c r="CO104" s="409">
        <v>-63.910900000000048</v>
      </c>
      <c r="CP104" s="409">
        <v>4.3420000000000005</v>
      </c>
      <c r="CQ104" s="409">
        <v>31</v>
      </c>
      <c r="CR104" s="409">
        <v>9.5785105803009287</v>
      </c>
      <c r="CS104" s="409">
        <v>0</v>
      </c>
      <c r="CT104" s="409">
        <v>0</v>
      </c>
      <c r="CU104" s="409">
        <v>0</v>
      </c>
      <c r="CV104" s="409">
        <v>0</v>
      </c>
      <c r="CW104" s="409">
        <v>0</v>
      </c>
      <c r="CX104" s="409">
        <v>0</v>
      </c>
      <c r="CY104" s="409">
        <v>0</v>
      </c>
      <c r="CZ104" s="409">
        <v>5.6110616592167162</v>
      </c>
      <c r="DA104" s="409">
        <v>0</v>
      </c>
      <c r="DB104" s="409">
        <v>0</v>
      </c>
      <c r="DC104" s="409">
        <v>4.9252499717970721</v>
      </c>
      <c r="DD104" s="409">
        <v>0</v>
      </c>
      <c r="DE104" s="409">
        <v>0</v>
      </c>
      <c r="DF104" s="409">
        <v>0</v>
      </c>
      <c r="DG104" s="409">
        <v>3.0107293408601188E-2</v>
      </c>
      <c r="DH104" s="409">
        <v>0</v>
      </c>
      <c r="DI104" s="409">
        <v>-1.1182512234947488</v>
      </c>
      <c r="DJ104" s="409"/>
      <c r="DK104" s="409">
        <v>0</v>
      </c>
      <c r="DL104" s="409">
        <v>0</v>
      </c>
      <c r="DM104" s="409">
        <v>0</v>
      </c>
      <c r="DN104" s="409">
        <v>0</v>
      </c>
      <c r="DO104" s="409">
        <v>-0.16350370123581204</v>
      </c>
      <c r="DP104" s="409">
        <v>-1.9130163032095582E-2</v>
      </c>
      <c r="DQ104" s="409">
        <v>0</v>
      </c>
      <c r="DR104" s="409">
        <v>0.31297674364114747</v>
      </c>
      <c r="DS104" s="409"/>
      <c r="DT104" s="409"/>
      <c r="DU104" s="409"/>
      <c r="DV104" s="409">
        <v>434.99542800080366</v>
      </c>
      <c r="DW104" s="409">
        <v>0</v>
      </c>
      <c r="DX104" s="409">
        <v>0</v>
      </c>
      <c r="DY104" s="409">
        <v>-63.910900000000083</v>
      </c>
      <c r="DZ104" s="409">
        <v>4.3419999999999987</v>
      </c>
      <c r="EA104" s="409">
        <v>0</v>
      </c>
      <c r="EB104" s="409">
        <v>0</v>
      </c>
      <c r="EC104" s="409">
        <v>-69.143820314404024</v>
      </c>
      <c r="ED104" s="409">
        <v>0</v>
      </c>
      <c r="EE104" s="409">
        <v>0</v>
      </c>
      <c r="EF104" s="409">
        <v>0</v>
      </c>
      <c r="EG104" s="409">
        <v>0</v>
      </c>
      <c r="EH104" s="409">
        <v>0</v>
      </c>
      <c r="EI104" s="409">
        <v>0</v>
      </c>
      <c r="EJ104" s="409">
        <v>0</v>
      </c>
      <c r="EK104" s="409">
        <v>0</v>
      </c>
      <c r="EL104" s="409">
        <v>0</v>
      </c>
      <c r="EM104" s="409">
        <v>0</v>
      </c>
      <c r="EN104" s="409">
        <v>0</v>
      </c>
      <c r="EO104" s="409">
        <v>0</v>
      </c>
      <c r="EP104" s="409">
        <v>0</v>
      </c>
      <c r="EQ104" s="409">
        <v>0</v>
      </c>
      <c r="ER104" s="409">
        <v>0</v>
      </c>
      <c r="ES104" s="409">
        <v>0</v>
      </c>
      <c r="ET104" s="409">
        <v>0</v>
      </c>
      <c r="EU104" s="409">
        <v>0</v>
      </c>
      <c r="EV104" s="409">
        <v>210</v>
      </c>
      <c r="EW104" s="409">
        <v>0</v>
      </c>
      <c r="EX104" s="409">
        <v>0</v>
      </c>
      <c r="EY104" s="409">
        <v>0</v>
      </c>
      <c r="EZ104" s="409"/>
      <c r="FA104" s="409">
        <v>0</v>
      </c>
      <c r="FB104" s="409"/>
      <c r="FC104" s="409"/>
      <c r="FD104" s="409"/>
      <c r="FE104" s="409"/>
      <c r="FF104" s="409">
        <v>0</v>
      </c>
      <c r="FG104" s="409">
        <v>0</v>
      </c>
      <c r="FH104" s="409">
        <v>0</v>
      </c>
      <c r="FI104" s="409">
        <v>0</v>
      </c>
    </row>
    <row r="105" spans="1:165" s="877" customFormat="1">
      <c r="A105" s="409">
        <v>103</v>
      </c>
      <c r="B105" s="409" t="s">
        <v>1035</v>
      </c>
      <c r="C105" s="409" t="s">
        <v>2246</v>
      </c>
      <c r="D105" s="409" t="s">
        <v>595</v>
      </c>
      <c r="E105" s="409" t="s">
        <v>997</v>
      </c>
      <c r="F105" s="409" t="s">
        <v>1323</v>
      </c>
      <c r="G105" s="409" t="s">
        <v>1323</v>
      </c>
      <c r="H105" s="409" t="s">
        <v>1323</v>
      </c>
      <c r="I105" s="409" t="s">
        <v>2234</v>
      </c>
      <c r="J105" s="409" t="s">
        <v>2242</v>
      </c>
      <c r="K105" s="838">
        <v>44409</v>
      </c>
      <c r="L105" s="409">
        <v>0</v>
      </c>
      <c r="M105" s="409">
        <v>0</v>
      </c>
      <c r="N105" s="409">
        <v>22.518999999999998</v>
      </c>
      <c r="O105" s="409">
        <v>22.518999999999998</v>
      </c>
      <c r="P105" s="409">
        <v>22.518999999999998</v>
      </c>
      <c r="Q105" s="409">
        <v>22.518999999999998</v>
      </c>
      <c r="R105" s="409"/>
      <c r="S105" s="409">
        <v>64.400000000000006</v>
      </c>
      <c r="T105" s="409">
        <v>273.74</v>
      </c>
      <c r="U105" s="409"/>
      <c r="V105" s="409">
        <v>7614.5746600000002</v>
      </c>
      <c r="W105" s="409">
        <v>7614.5746600000002</v>
      </c>
      <c r="X105" s="409">
        <v>7823.7761699999992</v>
      </c>
      <c r="Y105" s="409">
        <v>0</v>
      </c>
      <c r="Z105" s="409">
        <v>1182.8271076367869</v>
      </c>
      <c r="AA105" s="409">
        <v>0</v>
      </c>
      <c r="AB105" s="409">
        <v>0</v>
      </c>
      <c r="AC105" s="409">
        <v>0</v>
      </c>
      <c r="AD105" s="409">
        <v>0</v>
      </c>
      <c r="AE105" s="409">
        <v>0</v>
      </c>
      <c r="AF105" s="409">
        <v>6164.3343889534117</v>
      </c>
      <c r="AG105" s="409">
        <v>0</v>
      </c>
      <c r="AH105" s="409">
        <v>0</v>
      </c>
      <c r="AI105" s="409">
        <v>0</v>
      </c>
      <c r="AJ105" s="409">
        <v>0</v>
      </c>
      <c r="AK105" s="409">
        <v>0</v>
      </c>
      <c r="AL105" s="409">
        <v>210.24974335954312</v>
      </c>
      <c r="AM105" s="409"/>
      <c r="AN105" s="409">
        <v>19.548471649058779</v>
      </c>
      <c r="AO105" s="409">
        <v>0</v>
      </c>
      <c r="AP105" s="409">
        <v>0</v>
      </c>
      <c r="AQ105" s="409">
        <v>0</v>
      </c>
      <c r="AR105" s="409">
        <v>0</v>
      </c>
      <c r="AS105" s="409">
        <v>0</v>
      </c>
      <c r="AT105" s="409">
        <v>0</v>
      </c>
      <c r="AU105" s="409">
        <v>0</v>
      </c>
      <c r="AV105" s="409">
        <v>0</v>
      </c>
      <c r="AW105" s="409">
        <v>0</v>
      </c>
      <c r="AX105" s="409">
        <v>0</v>
      </c>
      <c r="AY105" s="409">
        <v>0</v>
      </c>
      <c r="AZ105" s="409">
        <v>0</v>
      </c>
      <c r="BA105" s="409"/>
      <c r="BB105" s="409">
        <v>0</v>
      </c>
      <c r="BC105" s="409">
        <v>0</v>
      </c>
      <c r="BD105" s="409">
        <v>0</v>
      </c>
      <c r="BE105" s="409">
        <v>0</v>
      </c>
      <c r="BF105" s="409">
        <v>0</v>
      </c>
      <c r="BG105" s="409">
        <v>37.681625334685776</v>
      </c>
      <c r="BH105" s="409">
        <v>0</v>
      </c>
      <c r="BI105" s="409">
        <v>0</v>
      </c>
      <c r="BJ105" s="409">
        <v>0</v>
      </c>
      <c r="BK105" s="409">
        <v>0</v>
      </c>
      <c r="BL105" s="409">
        <v>0</v>
      </c>
      <c r="BM105" s="409"/>
      <c r="BN105" s="409"/>
      <c r="BO105" s="409"/>
      <c r="BP105" s="409"/>
      <c r="BQ105" s="409"/>
      <c r="BR105" s="409"/>
      <c r="BS105" s="409"/>
      <c r="BT105" s="409"/>
      <c r="BU105" s="409"/>
      <c r="BV105" s="409">
        <v>6202.0160142880977</v>
      </c>
      <c r="BW105" s="409"/>
      <c r="BX105" s="409"/>
      <c r="BY105" s="409"/>
      <c r="BZ105" s="409"/>
      <c r="CA105" s="409"/>
      <c r="CB105" s="409"/>
      <c r="CC105" s="409"/>
      <c r="CD105" s="409"/>
      <c r="CE105" s="409"/>
      <c r="CF105" s="409"/>
      <c r="CG105" s="409"/>
      <c r="CH105" s="409"/>
      <c r="CI105" s="409">
        <v>7824.1235999999999</v>
      </c>
      <c r="CJ105" s="409">
        <v>209.51893999999993</v>
      </c>
      <c r="CK105" s="409"/>
      <c r="CL105" s="409"/>
      <c r="CM105" s="409"/>
      <c r="CN105" s="409"/>
      <c r="CO105" s="409">
        <v>-83.545490000000171</v>
      </c>
      <c r="CP105" s="409">
        <v>292.74699999999996</v>
      </c>
      <c r="CQ105" s="409">
        <v>31</v>
      </c>
      <c r="CR105" s="409">
        <v>209.23584808201576</v>
      </c>
      <c r="CS105" s="409">
        <v>0</v>
      </c>
      <c r="CT105" s="409">
        <v>0</v>
      </c>
      <c r="CU105" s="409">
        <v>0</v>
      </c>
      <c r="CV105" s="409">
        <v>0</v>
      </c>
      <c r="CW105" s="409">
        <v>0</v>
      </c>
      <c r="CX105" s="409">
        <v>0</v>
      </c>
      <c r="CY105" s="409">
        <v>0</v>
      </c>
      <c r="CZ105" s="409">
        <v>0</v>
      </c>
      <c r="DA105" s="409">
        <v>0</v>
      </c>
      <c r="DB105" s="409">
        <v>0</v>
      </c>
      <c r="DC105" s="409">
        <v>332.07097040388635</v>
      </c>
      <c r="DD105" s="409">
        <v>0</v>
      </c>
      <c r="DE105" s="409">
        <v>0</v>
      </c>
      <c r="DF105" s="409">
        <v>0</v>
      </c>
      <c r="DG105" s="409">
        <v>2.0298986235577559</v>
      </c>
      <c r="DH105" s="409">
        <v>0</v>
      </c>
      <c r="DI105" s="409">
        <v>-75.394908089455839</v>
      </c>
      <c r="DJ105" s="409"/>
      <c r="DK105" s="409">
        <v>0</v>
      </c>
      <c r="DL105" s="409">
        <v>0</v>
      </c>
      <c r="DM105" s="409">
        <v>0</v>
      </c>
      <c r="DN105" s="409">
        <v>0</v>
      </c>
      <c r="DO105" s="409">
        <v>-11.023772000386998</v>
      </c>
      <c r="DP105" s="409">
        <v>-1.289796830298684</v>
      </c>
      <c r="DQ105" s="409">
        <v>0</v>
      </c>
      <c r="DR105" s="409">
        <v>-37.156544025286308</v>
      </c>
      <c r="DS105" s="409"/>
      <c r="DT105" s="409"/>
      <c r="DU105" s="409"/>
      <c r="DV105" s="409">
        <v>0</v>
      </c>
      <c r="DW105" s="409">
        <v>0</v>
      </c>
      <c r="DX105" s="409">
        <v>0</v>
      </c>
      <c r="DY105" s="409">
        <v>-83.5454900000002</v>
      </c>
      <c r="DZ105" s="409">
        <v>292.74699999999939</v>
      </c>
      <c r="EA105" s="409">
        <v>0</v>
      </c>
      <c r="EB105" s="409">
        <v>0</v>
      </c>
      <c r="EC105" s="409">
        <v>0</v>
      </c>
      <c r="ED105" s="409">
        <v>0</v>
      </c>
      <c r="EE105" s="409">
        <v>0</v>
      </c>
      <c r="EF105" s="409">
        <v>0</v>
      </c>
      <c r="EG105" s="409">
        <v>0</v>
      </c>
      <c r="EH105" s="409">
        <v>0</v>
      </c>
      <c r="EI105" s="409">
        <v>0</v>
      </c>
      <c r="EJ105" s="409">
        <v>0</v>
      </c>
      <c r="EK105" s="409">
        <v>0</v>
      </c>
      <c r="EL105" s="409">
        <v>0</v>
      </c>
      <c r="EM105" s="409">
        <v>0</v>
      </c>
      <c r="EN105" s="409">
        <v>0</v>
      </c>
      <c r="EO105" s="409">
        <v>0</v>
      </c>
      <c r="EP105" s="409">
        <v>0</v>
      </c>
      <c r="EQ105" s="409">
        <v>0</v>
      </c>
      <c r="ER105" s="409">
        <v>0</v>
      </c>
      <c r="ES105" s="409">
        <v>0</v>
      </c>
      <c r="ET105" s="409">
        <v>0</v>
      </c>
      <c r="EU105" s="409">
        <v>0</v>
      </c>
      <c r="EV105" s="409">
        <v>210</v>
      </c>
      <c r="EW105" s="409">
        <v>0</v>
      </c>
      <c r="EX105" s="409">
        <v>0</v>
      </c>
      <c r="EY105" s="409">
        <v>0</v>
      </c>
      <c r="EZ105" s="409"/>
      <c r="FA105" s="409">
        <v>0</v>
      </c>
      <c r="FB105" s="409"/>
      <c r="FC105" s="409"/>
      <c r="FD105" s="409"/>
      <c r="FE105" s="409"/>
      <c r="FF105" s="409">
        <v>0</v>
      </c>
      <c r="FG105" s="409">
        <v>0</v>
      </c>
      <c r="FH105" s="409">
        <v>0</v>
      </c>
      <c r="FI105" s="409">
        <v>0</v>
      </c>
    </row>
    <row r="106" spans="1:165" s="877" customFormat="1">
      <c r="A106" s="409">
        <v>104</v>
      </c>
      <c r="B106" s="409" t="s">
        <v>1035</v>
      </c>
      <c r="C106" s="409" t="s">
        <v>2246</v>
      </c>
      <c r="D106" s="409" t="s">
        <v>595</v>
      </c>
      <c r="E106" s="409" t="s">
        <v>997</v>
      </c>
      <c r="F106" s="409" t="s">
        <v>1323</v>
      </c>
      <c r="G106" s="409" t="s">
        <v>1323</v>
      </c>
      <c r="H106" s="409" t="s">
        <v>1323</v>
      </c>
      <c r="I106" s="409" t="s">
        <v>1323</v>
      </c>
      <c r="J106" s="409" t="s">
        <v>2242</v>
      </c>
      <c r="K106" s="838">
        <v>44409</v>
      </c>
      <c r="L106" s="409">
        <v>215</v>
      </c>
      <c r="M106" s="409">
        <v>215</v>
      </c>
      <c r="N106" s="409">
        <v>0</v>
      </c>
      <c r="O106" s="409">
        <v>0</v>
      </c>
      <c r="P106" s="409">
        <v>0</v>
      </c>
      <c r="Q106" s="409">
        <v>0</v>
      </c>
      <c r="R106" s="409">
        <v>33.6</v>
      </c>
      <c r="S106" s="409"/>
      <c r="T106" s="409"/>
      <c r="U106" s="409">
        <v>7224</v>
      </c>
      <c r="V106" s="409"/>
      <c r="W106" s="409">
        <v>7224</v>
      </c>
      <c r="X106" s="409">
        <v>6828.4000000000005</v>
      </c>
      <c r="Y106" s="409">
        <v>0</v>
      </c>
      <c r="Z106" s="409">
        <v>0</v>
      </c>
      <c r="AA106" s="409">
        <v>0</v>
      </c>
      <c r="AB106" s="409">
        <v>0</v>
      </c>
      <c r="AC106" s="409">
        <v>0</v>
      </c>
      <c r="AD106" s="409">
        <v>3836.7856979005833</v>
      </c>
      <c r="AE106" s="409">
        <v>3387.3572528023742</v>
      </c>
      <c r="AF106" s="409"/>
      <c r="AG106" s="409"/>
      <c r="AH106" s="409"/>
      <c r="AI106" s="409">
        <v>0</v>
      </c>
      <c r="AJ106" s="409">
        <v>0</v>
      </c>
      <c r="AK106" s="409">
        <v>0</v>
      </c>
      <c r="AL106" s="409">
        <v>0</v>
      </c>
      <c r="AM106" s="409"/>
      <c r="AN106" s="409">
        <v>0</v>
      </c>
      <c r="AO106" s="409">
        <v>0</v>
      </c>
      <c r="AP106" s="409">
        <v>0</v>
      </c>
      <c r="AQ106" s="409">
        <v>0</v>
      </c>
      <c r="AR106" s="409">
        <v>0</v>
      </c>
      <c r="AS106" s="409"/>
      <c r="AT106" s="409"/>
      <c r="AU106" s="409">
        <v>0</v>
      </c>
      <c r="AV106" s="409">
        <v>0</v>
      </c>
      <c r="AW106" s="409">
        <v>0</v>
      </c>
      <c r="AX106" s="409"/>
      <c r="AY106" s="409"/>
      <c r="AZ106" s="409">
        <v>0</v>
      </c>
      <c r="BA106" s="409"/>
      <c r="BB106" s="409">
        <v>0</v>
      </c>
      <c r="BC106" s="409">
        <v>0</v>
      </c>
      <c r="BD106" s="409">
        <v>0</v>
      </c>
      <c r="BE106" s="409">
        <v>0</v>
      </c>
      <c r="BF106" s="409"/>
      <c r="BG106" s="409">
        <v>0</v>
      </c>
      <c r="BH106" s="409">
        <v>0</v>
      </c>
      <c r="BI106" s="409">
        <v>144.11000000000001</v>
      </c>
      <c r="BJ106" s="409">
        <v>665.2</v>
      </c>
      <c r="BK106" s="409">
        <v>3890.24</v>
      </c>
      <c r="BL106" s="409">
        <v>2</v>
      </c>
      <c r="BM106" s="409"/>
      <c r="BN106" s="409"/>
      <c r="BO106" s="409"/>
      <c r="BP106" s="409"/>
      <c r="BQ106" s="409"/>
      <c r="BR106" s="409"/>
      <c r="BS106" s="409"/>
      <c r="BT106" s="409"/>
      <c r="BU106" s="409"/>
      <c r="BV106" s="409">
        <v>0</v>
      </c>
      <c r="BW106" s="409"/>
      <c r="BX106" s="409"/>
      <c r="BY106" s="409"/>
      <c r="BZ106" s="409"/>
      <c r="CA106" s="409"/>
      <c r="CB106" s="409"/>
      <c r="CC106" s="409"/>
      <c r="CD106" s="409"/>
      <c r="CE106" s="409"/>
      <c r="CF106" s="409"/>
      <c r="CG106" s="409"/>
      <c r="CH106" s="409"/>
      <c r="CI106" s="409">
        <v>6828.4000000000005</v>
      </c>
      <c r="CJ106" s="409">
        <v>-395.63000000000011</v>
      </c>
      <c r="CK106" s="409"/>
      <c r="CL106" s="409"/>
      <c r="CM106" s="409"/>
      <c r="CN106" s="409"/>
      <c r="CO106" s="409">
        <v>-395.59999999999997</v>
      </c>
      <c r="CP106" s="409">
        <v>0</v>
      </c>
      <c r="CQ106" s="409">
        <v>31</v>
      </c>
      <c r="CR106" s="409">
        <v>141.94559312118008</v>
      </c>
      <c r="CS106" s="409">
        <v>0</v>
      </c>
      <c r="CT106" s="409">
        <v>0</v>
      </c>
      <c r="CU106" s="409">
        <v>0</v>
      </c>
      <c r="CV106" s="409">
        <v>0</v>
      </c>
      <c r="CW106" s="409"/>
      <c r="CX106" s="409"/>
      <c r="CY106" s="409"/>
      <c r="CZ106" s="409">
        <v>131.51903641109539</v>
      </c>
      <c r="DA106" s="409">
        <v>0</v>
      </c>
      <c r="DB106" s="409">
        <v>0</v>
      </c>
      <c r="DC106" s="409"/>
      <c r="DD106" s="409"/>
      <c r="DE106" s="409">
        <v>0</v>
      </c>
      <c r="DF106" s="409">
        <v>0</v>
      </c>
      <c r="DG106" s="409">
        <v>0</v>
      </c>
      <c r="DH106" s="409">
        <v>0</v>
      </c>
      <c r="DI106" s="409">
        <v>0</v>
      </c>
      <c r="DJ106" s="409"/>
      <c r="DK106" s="409">
        <v>0</v>
      </c>
      <c r="DL106" s="409">
        <v>0</v>
      </c>
      <c r="DM106" s="409"/>
      <c r="DN106" s="409">
        <v>0</v>
      </c>
      <c r="DO106" s="409">
        <v>0</v>
      </c>
      <c r="DP106" s="409">
        <v>0</v>
      </c>
      <c r="DQ106" s="409">
        <v>0</v>
      </c>
      <c r="DR106" s="409">
        <v>10.426556710084611</v>
      </c>
      <c r="DS106" s="409"/>
      <c r="DT106" s="409"/>
      <c r="DU106" s="409">
        <v>3387.3572528023742</v>
      </c>
      <c r="DV106" s="409"/>
      <c r="DW106" s="409">
        <v>0</v>
      </c>
      <c r="DX106" s="409">
        <v>0</v>
      </c>
      <c r="DY106" s="409">
        <v>-395.59999999999945</v>
      </c>
      <c r="DZ106" s="409"/>
      <c r="EA106" s="409">
        <v>0</v>
      </c>
      <c r="EB106" s="409"/>
      <c r="EC106" s="409">
        <v>-538.43053547688214</v>
      </c>
      <c r="ED106" s="409"/>
      <c r="EE106" s="409">
        <v>0</v>
      </c>
      <c r="EF106" s="409">
        <v>0</v>
      </c>
      <c r="EG106" s="409"/>
      <c r="EH106" s="409">
        <v>0</v>
      </c>
      <c r="EI106" s="409">
        <v>0</v>
      </c>
      <c r="EJ106" s="409">
        <v>0</v>
      </c>
      <c r="EK106" s="409">
        <v>0</v>
      </c>
      <c r="EL106" s="409">
        <v>0</v>
      </c>
      <c r="EM106" s="409"/>
      <c r="EN106" s="409"/>
      <c r="EO106" s="409">
        <v>0</v>
      </c>
      <c r="EP106" s="409">
        <v>0</v>
      </c>
      <c r="EQ106" s="409"/>
      <c r="ER106" s="409">
        <v>0</v>
      </c>
      <c r="ES106" s="409"/>
      <c r="ET106" s="409">
        <v>0</v>
      </c>
      <c r="EU106" s="409"/>
      <c r="EV106" s="409">
        <v>210</v>
      </c>
      <c r="EW106" s="409"/>
      <c r="EX106" s="409"/>
      <c r="EY106" s="409"/>
      <c r="EZ106" s="409"/>
      <c r="FA106" s="409">
        <v>0</v>
      </c>
      <c r="FB106" s="409"/>
      <c r="FC106" s="409"/>
      <c r="FD106" s="409"/>
      <c r="FE106" s="409"/>
      <c r="FF106" s="409">
        <v>0</v>
      </c>
      <c r="FG106" s="409">
        <v>0</v>
      </c>
      <c r="FH106" s="409">
        <v>0</v>
      </c>
      <c r="FI106" s="409">
        <v>0</v>
      </c>
    </row>
    <row r="107" spans="1:165" s="877" customFormat="1">
      <c r="A107" s="409">
        <v>105</v>
      </c>
      <c r="B107" s="409" t="s">
        <v>1035</v>
      </c>
      <c r="C107" s="409" t="s">
        <v>2241</v>
      </c>
      <c r="D107" s="409" t="s">
        <v>2247</v>
      </c>
      <c r="E107" s="409" t="s">
        <v>973</v>
      </c>
      <c r="F107" s="409" t="s">
        <v>1323</v>
      </c>
      <c r="G107" s="409" t="s">
        <v>1323</v>
      </c>
      <c r="H107" s="409" t="s">
        <v>1323</v>
      </c>
      <c r="I107" s="409" t="s">
        <v>1323</v>
      </c>
      <c r="J107" s="409" t="s">
        <v>2242</v>
      </c>
      <c r="K107" s="838">
        <v>44409</v>
      </c>
      <c r="L107" s="409">
        <v>0</v>
      </c>
      <c r="M107" s="409">
        <v>0</v>
      </c>
      <c r="N107" s="409">
        <v>382.84199999999998</v>
      </c>
      <c r="O107" s="409">
        <v>382.84199999999998</v>
      </c>
      <c r="P107" s="409">
        <v>382.84199999999998</v>
      </c>
      <c r="Q107" s="409">
        <v>382.84199999999998</v>
      </c>
      <c r="R107" s="409"/>
      <c r="S107" s="409">
        <v>358.62</v>
      </c>
      <c r="T107" s="409">
        <v>273.74</v>
      </c>
      <c r="U107" s="409"/>
      <c r="V107" s="409">
        <v>242093.96711999999</v>
      </c>
      <c r="W107" s="409">
        <v>242093.96711999999</v>
      </c>
      <c r="X107" s="409">
        <v>234735.74387999999</v>
      </c>
      <c r="Y107" s="409">
        <v>0</v>
      </c>
      <c r="Z107" s="409">
        <v>23113.86071133204</v>
      </c>
      <c r="AA107" s="409">
        <v>0</v>
      </c>
      <c r="AB107" s="409">
        <v>0</v>
      </c>
      <c r="AC107" s="409">
        <v>0</v>
      </c>
      <c r="AD107" s="409">
        <v>32958.300292764703</v>
      </c>
      <c r="AE107" s="409">
        <v>75833.034040374288</v>
      </c>
      <c r="AF107" s="409">
        <v>104798.88565814211</v>
      </c>
      <c r="AG107" s="409">
        <v>0</v>
      </c>
      <c r="AH107" s="409">
        <v>0</v>
      </c>
      <c r="AI107" s="409">
        <v>0</v>
      </c>
      <c r="AJ107" s="409">
        <v>0</v>
      </c>
      <c r="AK107" s="409">
        <v>0</v>
      </c>
      <c r="AL107" s="409">
        <v>3574.4230315402201</v>
      </c>
      <c r="AM107" s="409"/>
      <c r="AN107" s="409">
        <v>407.76171071790469</v>
      </c>
      <c r="AO107" s="409">
        <v>0</v>
      </c>
      <c r="AP107" s="409">
        <v>0</v>
      </c>
      <c r="AQ107" s="409">
        <v>0</v>
      </c>
      <c r="AR107" s="409">
        <v>0</v>
      </c>
      <c r="AS107" s="409">
        <v>0</v>
      </c>
      <c r="AT107" s="409">
        <v>0</v>
      </c>
      <c r="AU107" s="409">
        <v>0</v>
      </c>
      <c r="AV107" s="409">
        <v>0</v>
      </c>
      <c r="AW107" s="409">
        <v>0</v>
      </c>
      <c r="AX107" s="409">
        <v>0</v>
      </c>
      <c r="AY107" s="409">
        <v>0</v>
      </c>
      <c r="AZ107" s="409">
        <v>0</v>
      </c>
      <c r="BA107" s="409"/>
      <c r="BB107" s="409">
        <v>0</v>
      </c>
      <c r="BC107" s="409">
        <v>0</v>
      </c>
      <c r="BD107" s="409">
        <v>0</v>
      </c>
      <c r="BE107" s="409">
        <v>0</v>
      </c>
      <c r="BF107" s="409">
        <v>0</v>
      </c>
      <c r="BG107" s="409">
        <v>1408.2560578519788</v>
      </c>
      <c r="BH107" s="409">
        <v>0</v>
      </c>
      <c r="BI107" s="409">
        <v>699.08</v>
      </c>
      <c r="BJ107" s="409">
        <v>3238.72</v>
      </c>
      <c r="BK107" s="409">
        <v>14034.26</v>
      </c>
      <c r="BL107" s="409">
        <v>1023</v>
      </c>
      <c r="BM107" s="409"/>
      <c r="BN107" s="409"/>
      <c r="BO107" s="409"/>
      <c r="BP107" s="409"/>
      <c r="BQ107" s="409"/>
      <c r="BR107" s="409">
        <v>32863.157279999999</v>
      </c>
      <c r="BS107" s="409"/>
      <c r="BT107" s="409"/>
      <c r="BU107" s="409"/>
      <c r="BV107" s="409">
        <v>106207.14171599409</v>
      </c>
      <c r="BW107" s="409"/>
      <c r="BX107" s="409"/>
      <c r="BY107" s="409"/>
      <c r="BZ107" s="409"/>
      <c r="CA107" s="409"/>
      <c r="CB107" s="409"/>
      <c r="CC107" s="409"/>
      <c r="CD107" s="409"/>
      <c r="CE107" s="409"/>
      <c r="CF107" s="409"/>
      <c r="CG107" s="409"/>
      <c r="CH107" s="409"/>
      <c r="CI107" s="409">
        <v>201871.53200000001</v>
      </c>
      <c r="CJ107" s="409">
        <v>-6333.2912799999758</v>
      </c>
      <c r="CK107" s="409"/>
      <c r="CL107" s="409"/>
      <c r="CM107" s="409"/>
      <c r="CN107" s="409"/>
      <c r="CO107" s="409">
        <v>-12335.16924000001</v>
      </c>
      <c r="CP107" s="409">
        <v>4976.9459999999999</v>
      </c>
      <c r="CQ107" s="409">
        <v>31</v>
      </c>
      <c r="CR107" s="409">
        <v>4694.3627523029572</v>
      </c>
      <c r="CS107" s="409">
        <v>0</v>
      </c>
      <c r="CT107" s="409">
        <v>0</v>
      </c>
      <c r="CU107" s="409">
        <v>0</v>
      </c>
      <c r="CV107" s="409">
        <v>0</v>
      </c>
      <c r="CW107" s="409">
        <v>0</v>
      </c>
      <c r="CX107" s="409">
        <v>0</v>
      </c>
      <c r="CY107" s="409">
        <v>0</v>
      </c>
      <c r="CZ107" s="409">
        <v>1129.7591884332796</v>
      </c>
      <c r="DA107" s="409">
        <v>0</v>
      </c>
      <c r="DB107" s="409">
        <v>0</v>
      </c>
      <c r="DC107" s="409">
        <v>5645.4866757566779</v>
      </c>
      <c r="DD107" s="409">
        <v>0</v>
      </c>
      <c r="DE107" s="409">
        <v>0</v>
      </c>
      <c r="DF107" s="409">
        <v>0</v>
      </c>
      <c r="DG107" s="409">
        <v>75.862360183784858</v>
      </c>
      <c r="DH107" s="409">
        <v>0</v>
      </c>
      <c r="DI107" s="409">
        <v>-1473.306954729087</v>
      </c>
      <c r="DJ107" s="409"/>
      <c r="DK107" s="409">
        <v>0</v>
      </c>
      <c r="DL107" s="409">
        <v>0</v>
      </c>
      <c r="DM107" s="409">
        <v>0</v>
      </c>
      <c r="DN107" s="409">
        <v>0</v>
      </c>
      <c r="DO107" s="409">
        <v>-187.41342511533185</v>
      </c>
      <c r="DP107" s="409">
        <v>-26.903881359259913</v>
      </c>
      <c r="DQ107" s="409">
        <v>0</v>
      </c>
      <c r="DR107" s="409">
        <v>-469.12121086710124</v>
      </c>
      <c r="DS107" s="409"/>
      <c r="DT107" s="409"/>
      <c r="DU107" s="409"/>
      <c r="DV107" s="409">
        <v>75833.034040374288</v>
      </c>
      <c r="DW107" s="409">
        <v>0</v>
      </c>
      <c r="DX107" s="409">
        <v>0</v>
      </c>
      <c r="DY107" s="409">
        <v>-12335.169240000003</v>
      </c>
      <c r="DZ107" s="409">
        <v>4976.9460000000108</v>
      </c>
      <c r="EA107" s="409">
        <v>0</v>
      </c>
      <c r="EB107" s="409">
        <v>0</v>
      </c>
      <c r="EC107" s="409">
        <v>-12053.886873436953</v>
      </c>
      <c r="ED107" s="409">
        <v>0</v>
      </c>
      <c r="EE107" s="409">
        <v>0</v>
      </c>
      <c r="EF107" s="409">
        <v>0</v>
      </c>
      <c r="EG107" s="409">
        <v>0</v>
      </c>
      <c r="EH107" s="409">
        <v>0</v>
      </c>
      <c r="EI107" s="409">
        <v>0</v>
      </c>
      <c r="EJ107" s="409">
        <v>0</v>
      </c>
      <c r="EK107" s="409">
        <v>0</v>
      </c>
      <c r="EL107" s="409">
        <v>0</v>
      </c>
      <c r="EM107" s="409">
        <v>0</v>
      </c>
      <c r="EN107" s="409">
        <v>0</v>
      </c>
      <c r="EO107" s="409">
        <v>0</v>
      </c>
      <c r="EP107" s="409">
        <v>0</v>
      </c>
      <c r="EQ107" s="409">
        <v>0</v>
      </c>
      <c r="ER107" s="409">
        <v>0</v>
      </c>
      <c r="ES107" s="409">
        <v>0</v>
      </c>
      <c r="ET107" s="409">
        <v>0</v>
      </c>
      <c r="EU107" s="409">
        <v>0</v>
      </c>
      <c r="EV107" s="409">
        <v>210</v>
      </c>
      <c r="EW107" s="409">
        <v>0</v>
      </c>
      <c r="EX107" s="409">
        <v>0</v>
      </c>
      <c r="EY107" s="409">
        <v>0</v>
      </c>
      <c r="EZ107" s="409"/>
      <c r="FA107" s="409">
        <v>0</v>
      </c>
      <c r="FB107" s="409"/>
      <c r="FC107" s="409"/>
      <c r="FD107" s="409"/>
      <c r="FE107" s="409"/>
      <c r="FF107" s="409">
        <v>0</v>
      </c>
      <c r="FG107" s="409">
        <v>0</v>
      </c>
      <c r="FH107" s="409">
        <v>0</v>
      </c>
      <c r="FI107" s="409">
        <v>0</v>
      </c>
    </row>
    <row r="108" spans="1:165" s="877" customFormat="1">
      <c r="A108" s="409">
        <v>106</v>
      </c>
      <c r="B108" s="409" t="s">
        <v>2257</v>
      </c>
      <c r="C108" s="409" t="s">
        <v>2241</v>
      </c>
      <c r="D108" s="409" t="s">
        <v>2247</v>
      </c>
      <c r="E108" s="409" t="s">
        <v>973</v>
      </c>
      <c r="F108" s="409" t="s">
        <v>1323</v>
      </c>
      <c r="G108" s="409" t="s">
        <v>1323</v>
      </c>
      <c r="H108" s="409" t="s">
        <v>1323</v>
      </c>
      <c r="I108" s="409" t="s">
        <v>1323</v>
      </c>
      <c r="J108" s="409" t="s">
        <v>2242</v>
      </c>
      <c r="K108" s="838">
        <v>44409</v>
      </c>
      <c r="L108" s="409">
        <v>0</v>
      </c>
      <c r="M108" s="409">
        <v>0</v>
      </c>
      <c r="N108" s="409">
        <v>0.13900000000000001</v>
      </c>
      <c r="O108" s="409">
        <v>0.13900000000000001</v>
      </c>
      <c r="P108" s="409">
        <v>0.13900000000000001</v>
      </c>
      <c r="Q108" s="409">
        <v>0.13900000000000001</v>
      </c>
      <c r="R108" s="409"/>
      <c r="S108" s="409">
        <v>358.62</v>
      </c>
      <c r="T108" s="409">
        <v>273.74</v>
      </c>
      <c r="U108" s="409"/>
      <c r="V108" s="409">
        <v>87.898040000000009</v>
      </c>
      <c r="W108" s="409">
        <v>87.898040000000009</v>
      </c>
      <c r="X108" s="409">
        <v>85.226460000000003</v>
      </c>
      <c r="Y108" s="409">
        <v>0</v>
      </c>
      <c r="Z108" s="409">
        <v>8.3920432942967444</v>
      </c>
      <c r="AA108" s="409">
        <v>0</v>
      </c>
      <c r="AB108" s="409">
        <v>0</v>
      </c>
      <c r="AC108" s="409">
        <v>0</v>
      </c>
      <c r="AD108" s="409">
        <v>11.966303960104414</v>
      </c>
      <c r="AE108" s="409">
        <v>27.533007694067074</v>
      </c>
      <c r="AF108" s="409">
        <v>38.049757096874835</v>
      </c>
      <c r="AG108" s="409">
        <v>0</v>
      </c>
      <c r="AH108" s="409">
        <v>0</v>
      </c>
      <c r="AI108" s="409">
        <v>0</v>
      </c>
      <c r="AJ108" s="409">
        <v>0</v>
      </c>
      <c r="AK108" s="409">
        <v>0</v>
      </c>
      <c r="AL108" s="409">
        <v>1.297780288954949</v>
      </c>
      <c r="AM108" s="409"/>
      <c r="AN108" s="409">
        <v>0.14804770059133732</v>
      </c>
      <c r="AO108" s="409">
        <v>0</v>
      </c>
      <c r="AP108" s="409">
        <v>0</v>
      </c>
      <c r="AQ108" s="409">
        <v>0</v>
      </c>
      <c r="AR108" s="409">
        <v>0</v>
      </c>
      <c r="AS108" s="409">
        <v>0</v>
      </c>
      <c r="AT108" s="409">
        <v>0</v>
      </c>
      <c r="AU108" s="409">
        <v>0</v>
      </c>
      <c r="AV108" s="409">
        <v>0</v>
      </c>
      <c r="AW108" s="409">
        <v>0</v>
      </c>
      <c r="AX108" s="409">
        <v>0</v>
      </c>
      <c r="AY108" s="409">
        <v>0</v>
      </c>
      <c r="AZ108" s="409">
        <v>0</v>
      </c>
      <c r="BA108" s="409"/>
      <c r="BB108" s="409">
        <v>0</v>
      </c>
      <c r="BC108" s="409">
        <v>0</v>
      </c>
      <c r="BD108" s="409">
        <v>0</v>
      </c>
      <c r="BE108" s="409">
        <v>0</v>
      </c>
      <c r="BF108" s="409">
        <v>0</v>
      </c>
      <c r="BG108" s="409">
        <v>0.51130124709782387</v>
      </c>
      <c r="BH108" s="409">
        <v>0</v>
      </c>
      <c r="BI108" s="409">
        <v>1.07</v>
      </c>
      <c r="BJ108" s="409">
        <v>5.0599999999999996</v>
      </c>
      <c r="BK108" s="409">
        <v>75.33</v>
      </c>
      <c r="BL108" s="409">
        <v>0</v>
      </c>
      <c r="BM108" s="409"/>
      <c r="BN108" s="409"/>
      <c r="BO108" s="409"/>
      <c r="BP108" s="409"/>
      <c r="BQ108" s="409"/>
      <c r="BR108" s="409">
        <v>11.931760000000001</v>
      </c>
      <c r="BS108" s="409"/>
      <c r="BT108" s="409"/>
      <c r="BU108" s="409"/>
      <c r="BV108" s="409">
        <v>38.561058343972661</v>
      </c>
      <c r="BW108" s="409"/>
      <c r="BX108" s="409"/>
      <c r="BY108" s="409"/>
      <c r="BZ108" s="409"/>
      <c r="CA108" s="409"/>
      <c r="CB108" s="409"/>
      <c r="CC108" s="409"/>
      <c r="CD108" s="409"/>
      <c r="CE108" s="409"/>
      <c r="CF108" s="409"/>
      <c r="CG108" s="409"/>
      <c r="CH108" s="409"/>
      <c r="CI108" s="409">
        <v>73.822000000000003</v>
      </c>
      <c r="CJ108" s="409">
        <v>-1.8017600000000016</v>
      </c>
      <c r="CK108" s="409"/>
      <c r="CL108" s="409"/>
      <c r="CM108" s="409"/>
      <c r="CN108" s="409"/>
      <c r="CO108" s="409">
        <v>-4.4785800000000044</v>
      </c>
      <c r="CP108" s="409">
        <v>1.8070000000000002</v>
      </c>
      <c r="CQ108" s="409">
        <v>31</v>
      </c>
      <c r="CR108" s="409">
        <v>1.7044013524381256</v>
      </c>
      <c r="CS108" s="409">
        <v>0</v>
      </c>
      <c r="CT108" s="409">
        <v>0</v>
      </c>
      <c r="CU108" s="409">
        <v>0</v>
      </c>
      <c r="CV108" s="409">
        <v>0</v>
      </c>
      <c r="CW108" s="409">
        <v>0</v>
      </c>
      <c r="CX108" s="409">
        <v>0</v>
      </c>
      <c r="CY108" s="409">
        <v>0</v>
      </c>
      <c r="CZ108" s="409">
        <v>0.41018625749584992</v>
      </c>
      <c r="DA108" s="409">
        <v>0</v>
      </c>
      <c r="DB108" s="409">
        <v>0</v>
      </c>
      <c r="DC108" s="409">
        <v>2.0497297786820141</v>
      </c>
      <c r="DD108" s="409">
        <v>0</v>
      </c>
      <c r="DE108" s="409">
        <v>0</v>
      </c>
      <c r="DF108" s="409">
        <v>0</v>
      </c>
      <c r="DG108" s="409">
        <v>2.7543655256074606E-2</v>
      </c>
      <c r="DH108" s="409">
        <v>0</v>
      </c>
      <c r="DI108" s="409">
        <v>-0.53491954045622858</v>
      </c>
      <c r="DJ108" s="409"/>
      <c r="DK108" s="409">
        <v>0</v>
      </c>
      <c r="DL108" s="409">
        <v>0</v>
      </c>
      <c r="DM108" s="409">
        <v>0</v>
      </c>
      <c r="DN108" s="409">
        <v>0</v>
      </c>
      <c r="DO108" s="409">
        <v>-6.8044953508316963E-2</v>
      </c>
      <c r="DP108" s="409">
        <v>-9.7681014855661996E-3</v>
      </c>
      <c r="DQ108" s="409">
        <v>0</v>
      </c>
      <c r="DR108" s="409">
        <v>-0.17032574354571098</v>
      </c>
      <c r="DS108" s="409"/>
      <c r="DT108" s="409"/>
      <c r="DU108" s="409"/>
      <c r="DV108" s="409">
        <v>27.533007694067074</v>
      </c>
      <c r="DW108" s="409">
        <v>0</v>
      </c>
      <c r="DX108" s="409">
        <v>0</v>
      </c>
      <c r="DY108" s="409">
        <v>-4.478580000000008</v>
      </c>
      <c r="DZ108" s="409">
        <v>1.8070000000000022</v>
      </c>
      <c r="EA108" s="409">
        <v>0</v>
      </c>
      <c r="EB108" s="409">
        <v>0</v>
      </c>
      <c r="EC108" s="409">
        <v>-4.3764536686354596</v>
      </c>
      <c r="ED108" s="409">
        <v>0</v>
      </c>
      <c r="EE108" s="409">
        <v>0</v>
      </c>
      <c r="EF108" s="409">
        <v>0</v>
      </c>
      <c r="EG108" s="409">
        <v>0</v>
      </c>
      <c r="EH108" s="409">
        <v>0</v>
      </c>
      <c r="EI108" s="409">
        <v>0</v>
      </c>
      <c r="EJ108" s="409">
        <v>0</v>
      </c>
      <c r="EK108" s="409">
        <v>0</v>
      </c>
      <c r="EL108" s="409">
        <v>0</v>
      </c>
      <c r="EM108" s="409">
        <v>0</v>
      </c>
      <c r="EN108" s="409">
        <v>0</v>
      </c>
      <c r="EO108" s="409">
        <v>0</v>
      </c>
      <c r="EP108" s="409">
        <v>0</v>
      </c>
      <c r="EQ108" s="409">
        <v>0</v>
      </c>
      <c r="ER108" s="409">
        <v>0</v>
      </c>
      <c r="ES108" s="409">
        <v>0</v>
      </c>
      <c r="ET108" s="409">
        <v>0</v>
      </c>
      <c r="EU108" s="409">
        <v>0</v>
      </c>
      <c r="EV108" s="409">
        <v>210</v>
      </c>
      <c r="EW108" s="409">
        <v>0</v>
      </c>
      <c r="EX108" s="409">
        <v>0</v>
      </c>
      <c r="EY108" s="409">
        <v>0</v>
      </c>
      <c r="EZ108" s="409"/>
      <c r="FA108" s="409">
        <v>0</v>
      </c>
      <c r="FB108" s="409"/>
      <c r="FC108" s="409"/>
      <c r="FD108" s="409"/>
      <c r="FE108" s="409"/>
      <c r="FF108" s="409">
        <v>0</v>
      </c>
      <c r="FG108" s="409">
        <v>0</v>
      </c>
      <c r="FH108" s="409">
        <v>0</v>
      </c>
      <c r="FI108" s="409">
        <v>0</v>
      </c>
    </row>
    <row r="109" spans="1:165" s="877" customFormat="1">
      <c r="A109" s="409">
        <v>107</v>
      </c>
      <c r="B109" s="409" t="s">
        <v>2240</v>
      </c>
      <c r="C109" s="409" t="s">
        <v>2241</v>
      </c>
      <c r="D109" s="409" t="s">
        <v>2247</v>
      </c>
      <c r="E109" s="409" t="s">
        <v>973</v>
      </c>
      <c r="F109" s="409" t="s">
        <v>1323</v>
      </c>
      <c r="G109" s="409" t="s">
        <v>1323</v>
      </c>
      <c r="H109" s="409" t="s">
        <v>1323</v>
      </c>
      <c r="I109" s="409" t="s">
        <v>1323</v>
      </c>
      <c r="J109" s="409" t="s">
        <v>2242</v>
      </c>
      <c r="K109" s="838">
        <v>44409</v>
      </c>
      <c r="L109" s="409">
        <v>0</v>
      </c>
      <c r="M109" s="409">
        <v>0</v>
      </c>
      <c r="N109" s="409">
        <v>0.65100000000000002</v>
      </c>
      <c r="O109" s="409">
        <v>0.65100000000000002</v>
      </c>
      <c r="P109" s="409">
        <v>0.65100000000000002</v>
      </c>
      <c r="Q109" s="409">
        <v>0.65100000000000002</v>
      </c>
      <c r="R109" s="409"/>
      <c r="S109" s="409">
        <v>358.62</v>
      </c>
      <c r="T109" s="409">
        <v>273.74</v>
      </c>
      <c r="U109" s="409"/>
      <c r="V109" s="409">
        <v>411.66636000000005</v>
      </c>
      <c r="W109" s="409">
        <v>411.66636000000005</v>
      </c>
      <c r="X109" s="409">
        <v>399.15413999999998</v>
      </c>
      <c r="Y109" s="409">
        <v>0</v>
      </c>
      <c r="Z109" s="409">
        <v>39.303742335159569</v>
      </c>
      <c r="AA109" s="409">
        <v>0</v>
      </c>
      <c r="AB109" s="409">
        <v>0</v>
      </c>
      <c r="AC109" s="409">
        <v>0</v>
      </c>
      <c r="AD109" s="409">
        <v>56.043625021783974</v>
      </c>
      <c r="AE109" s="409">
        <v>128.94955402041484</v>
      </c>
      <c r="AF109" s="409">
        <v>178.20425805802529</v>
      </c>
      <c r="AG109" s="409">
        <v>0</v>
      </c>
      <c r="AH109" s="409">
        <v>0</v>
      </c>
      <c r="AI109" s="409">
        <v>0</v>
      </c>
      <c r="AJ109" s="409">
        <v>0</v>
      </c>
      <c r="AK109" s="409">
        <v>0</v>
      </c>
      <c r="AL109" s="409">
        <v>6.0780932957530345</v>
      </c>
      <c r="AM109" s="409"/>
      <c r="AN109" s="409">
        <v>0.69337448262561574</v>
      </c>
      <c r="AO109" s="409">
        <v>0</v>
      </c>
      <c r="AP109" s="409">
        <v>0</v>
      </c>
      <c r="AQ109" s="409">
        <v>0</v>
      </c>
      <c r="AR109" s="409">
        <v>0</v>
      </c>
      <c r="AS109" s="409">
        <v>0</v>
      </c>
      <c r="AT109" s="409">
        <v>0</v>
      </c>
      <c r="AU109" s="409">
        <v>0</v>
      </c>
      <c r="AV109" s="409">
        <v>0</v>
      </c>
      <c r="AW109" s="409">
        <v>0</v>
      </c>
      <c r="AX109" s="409">
        <v>0</v>
      </c>
      <c r="AY109" s="409">
        <v>0</v>
      </c>
      <c r="AZ109" s="409">
        <v>0</v>
      </c>
      <c r="BA109" s="409"/>
      <c r="BB109" s="409">
        <v>0</v>
      </c>
      <c r="BC109" s="409">
        <v>0</v>
      </c>
      <c r="BD109" s="409">
        <v>0</v>
      </c>
      <c r="BE109" s="409">
        <v>0</v>
      </c>
      <c r="BF109" s="409">
        <v>0</v>
      </c>
      <c r="BG109" s="409">
        <v>2.3946554810121099</v>
      </c>
      <c r="BH109" s="409">
        <v>0</v>
      </c>
      <c r="BI109" s="409">
        <v>1.56</v>
      </c>
      <c r="BJ109" s="409">
        <v>7.24</v>
      </c>
      <c r="BK109" s="409">
        <v>191.75</v>
      </c>
      <c r="BL109" s="409">
        <v>5</v>
      </c>
      <c r="BM109" s="409"/>
      <c r="BN109" s="409"/>
      <c r="BO109" s="409"/>
      <c r="BP109" s="409"/>
      <c r="BQ109" s="409"/>
      <c r="BR109" s="409">
        <v>55.881840000000004</v>
      </c>
      <c r="BS109" s="409"/>
      <c r="BT109" s="409"/>
      <c r="BU109" s="409"/>
      <c r="BV109" s="409">
        <v>180.5989135390374</v>
      </c>
      <c r="BW109" s="409"/>
      <c r="BX109" s="409"/>
      <c r="BY109" s="409"/>
      <c r="BZ109" s="409"/>
      <c r="CA109" s="409"/>
      <c r="CB109" s="409"/>
      <c r="CC109" s="409"/>
      <c r="CD109" s="409"/>
      <c r="CE109" s="409"/>
      <c r="CF109" s="409"/>
      <c r="CG109" s="409"/>
      <c r="CH109" s="409"/>
      <c r="CI109" s="409">
        <v>342.745</v>
      </c>
      <c r="CJ109" s="409">
        <v>-11.324839999999995</v>
      </c>
      <c r="CK109" s="409"/>
      <c r="CL109" s="409"/>
      <c r="CM109" s="409"/>
      <c r="CN109" s="409"/>
      <c r="CO109" s="409">
        <v>-20.975220000000018</v>
      </c>
      <c r="CP109" s="409">
        <v>8.463000000000001</v>
      </c>
      <c r="CQ109" s="409">
        <v>31</v>
      </c>
      <c r="CR109" s="409">
        <v>7.9824840319224108</v>
      </c>
      <c r="CS109" s="409">
        <v>0</v>
      </c>
      <c r="CT109" s="409">
        <v>0</v>
      </c>
      <c r="CU109" s="409">
        <v>0</v>
      </c>
      <c r="CV109" s="409">
        <v>0</v>
      </c>
      <c r="CW109" s="409">
        <v>0</v>
      </c>
      <c r="CX109" s="409">
        <v>0</v>
      </c>
      <c r="CY109" s="409">
        <v>0</v>
      </c>
      <c r="CZ109" s="409">
        <v>1.9210881556100574</v>
      </c>
      <c r="DA109" s="409">
        <v>0</v>
      </c>
      <c r="DB109" s="409">
        <v>0</v>
      </c>
      <c r="DC109" s="409">
        <v>9.5998135677841105</v>
      </c>
      <c r="DD109" s="409">
        <v>0</v>
      </c>
      <c r="DE109" s="409">
        <v>0</v>
      </c>
      <c r="DF109" s="409">
        <v>0</v>
      </c>
      <c r="DG109" s="409">
        <v>0.12899942137916964</v>
      </c>
      <c r="DH109" s="409">
        <v>0</v>
      </c>
      <c r="DI109" s="409">
        <v>-2.5052706535036293</v>
      </c>
      <c r="DJ109" s="409"/>
      <c r="DK109" s="409">
        <v>0</v>
      </c>
      <c r="DL109" s="409">
        <v>0</v>
      </c>
      <c r="DM109" s="409">
        <v>0</v>
      </c>
      <c r="DN109" s="409">
        <v>0</v>
      </c>
      <c r="DO109" s="409">
        <v>-0.31868535779794538</v>
      </c>
      <c r="DP109" s="409">
        <v>-4.5748446525925135E-2</v>
      </c>
      <c r="DQ109" s="409">
        <v>0</v>
      </c>
      <c r="DR109" s="409">
        <v>-0.7977126550234378</v>
      </c>
      <c r="DS109" s="409"/>
      <c r="DT109" s="409"/>
      <c r="DU109" s="409"/>
      <c r="DV109" s="409">
        <v>128.94955402041484</v>
      </c>
      <c r="DW109" s="409">
        <v>0</v>
      </c>
      <c r="DX109" s="409">
        <v>0</v>
      </c>
      <c r="DY109" s="409">
        <v>-20.975220000000007</v>
      </c>
      <c r="DZ109" s="409">
        <v>8.4629999999999939</v>
      </c>
      <c r="EA109" s="409">
        <v>0</v>
      </c>
      <c r="EB109" s="409">
        <v>0</v>
      </c>
      <c r="EC109" s="409">
        <v>-20.496916102745914</v>
      </c>
      <c r="ED109" s="409">
        <v>0</v>
      </c>
      <c r="EE109" s="409">
        <v>0</v>
      </c>
      <c r="EF109" s="409">
        <v>0</v>
      </c>
      <c r="EG109" s="409">
        <v>0</v>
      </c>
      <c r="EH109" s="409">
        <v>0</v>
      </c>
      <c r="EI109" s="409">
        <v>0</v>
      </c>
      <c r="EJ109" s="409">
        <v>0</v>
      </c>
      <c r="EK109" s="409">
        <v>0</v>
      </c>
      <c r="EL109" s="409">
        <v>0</v>
      </c>
      <c r="EM109" s="409">
        <v>0</v>
      </c>
      <c r="EN109" s="409">
        <v>0</v>
      </c>
      <c r="EO109" s="409">
        <v>0</v>
      </c>
      <c r="EP109" s="409">
        <v>0</v>
      </c>
      <c r="EQ109" s="409">
        <v>0</v>
      </c>
      <c r="ER109" s="409">
        <v>0</v>
      </c>
      <c r="ES109" s="409">
        <v>0</v>
      </c>
      <c r="ET109" s="409">
        <v>0</v>
      </c>
      <c r="EU109" s="409">
        <v>0</v>
      </c>
      <c r="EV109" s="409">
        <v>210</v>
      </c>
      <c r="EW109" s="409">
        <v>0</v>
      </c>
      <c r="EX109" s="409">
        <v>0</v>
      </c>
      <c r="EY109" s="409">
        <v>0</v>
      </c>
      <c r="EZ109" s="409"/>
      <c r="FA109" s="409">
        <v>0</v>
      </c>
      <c r="FB109" s="409"/>
      <c r="FC109" s="409"/>
      <c r="FD109" s="409"/>
      <c r="FE109" s="409"/>
      <c r="FF109" s="409">
        <v>0</v>
      </c>
      <c r="FG109" s="409">
        <v>0</v>
      </c>
      <c r="FH109" s="409">
        <v>0</v>
      </c>
      <c r="FI109" s="409">
        <v>0</v>
      </c>
    </row>
    <row r="110" spans="1:165" s="877" customFormat="1">
      <c r="A110" s="409">
        <v>108</v>
      </c>
      <c r="B110" s="409" t="s">
        <v>1035</v>
      </c>
      <c r="C110" s="409" t="s">
        <v>2248</v>
      </c>
      <c r="D110" s="409" t="s">
        <v>2247</v>
      </c>
      <c r="E110" s="409" t="s">
        <v>973</v>
      </c>
      <c r="F110" s="409" t="s">
        <v>1323</v>
      </c>
      <c r="G110" s="409" t="s">
        <v>1323</v>
      </c>
      <c r="H110" s="409" t="s">
        <v>1323</v>
      </c>
      <c r="I110" s="409" t="s">
        <v>2234</v>
      </c>
      <c r="J110" s="409" t="s">
        <v>2242</v>
      </c>
      <c r="K110" s="838">
        <v>44409</v>
      </c>
      <c r="L110" s="409">
        <v>0</v>
      </c>
      <c r="M110" s="409">
        <v>0</v>
      </c>
      <c r="N110" s="409">
        <v>6.0999999999999999E-2</v>
      </c>
      <c r="O110" s="409">
        <v>6.0999999999999999E-2</v>
      </c>
      <c r="P110" s="409">
        <v>6.0999999999999999E-2</v>
      </c>
      <c r="Q110" s="409">
        <v>6.0999999999999999E-2</v>
      </c>
      <c r="R110" s="409"/>
      <c r="S110" s="409">
        <v>203.33</v>
      </c>
      <c r="T110" s="409">
        <v>235.42</v>
      </c>
      <c r="U110" s="409"/>
      <c r="V110" s="409">
        <v>26.763750000000002</v>
      </c>
      <c r="W110" s="409">
        <v>26.763750000000002</v>
      </c>
      <c r="X110" s="409">
        <v>26.38982</v>
      </c>
      <c r="Y110" s="409">
        <v>0</v>
      </c>
      <c r="Z110" s="409">
        <v>3.167241663444651</v>
      </c>
      <c r="AA110" s="409">
        <v>0</v>
      </c>
      <c r="AB110" s="409">
        <v>0</v>
      </c>
      <c r="AC110" s="409">
        <v>0</v>
      </c>
      <c r="AD110" s="409">
        <v>2.5742972112957268</v>
      </c>
      <c r="AE110" s="409">
        <v>5.9230072083769594</v>
      </c>
      <c r="AF110" s="409">
        <v>14.360361563324103</v>
      </c>
      <c r="AG110" s="409">
        <v>0</v>
      </c>
      <c r="AH110" s="409">
        <v>0</v>
      </c>
      <c r="AI110" s="409">
        <v>0</v>
      </c>
      <c r="AJ110" s="409">
        <v>0</v>
      </c>
      <c r="AK110" s="409">
        <v>0</v>
      </c>
      <c r="AL110" s="409">
        <v>0.48979535221997578</v>
      </c>
      <c r="AM110" s="409"/>
      <c r="AN110" s="409">
        <v>5.5874693331090262E-2</v>
      </c>
      <c r="AO110" s="409">
        <v>0</v>
      </c>
      <c r="AP110" s="409">
        <v>0</v>
      </c>
      <c r="AQ110" s="409">
        <v>0</v>
      </c>
      <c r="AR110" s="409">
        <v>0</v>
      </c>
      <c r="AS110" s="409">
        <v>0</v>
      </c>
      <c r="AT110" s="409">
        <v>0</v>
      </c>
      <c r="AU110" s="409">
        <v>0</v>
      </c>
      <c r="AV110" s="409">
        <v>0</v>
      </c>
      <c r="AW110" s="409">
        <v>0</v>
      </c>
      <c r="AX110" s="409">
        <v>0</v>
      </c>
      <c r="AY110" s="409">
        <v>0</v>
      </c>
      <c r="AZ110" s="409">
        <v>0</v>
      </c>
      <c r="BA110" s="409"/>
      <c r="BB110" s="409">
        <v>0</v>
      </c>
      <c r="BC110" s="409">
        <v>0</v>
      </c>
      <c r="BD110" s="409">
        <v>0</v>
      </c>
      <c r="BE110" s="409">
        <v>0</v>
      </c>
      <c r="BF110" s="409">
        <v>0</v>
      </c>
      <c r="BG110" s="409">
        <v>0.19297024045145253</v>
      </c>
      <c r="BH110" s="409">
        <v>0</v>
      </c>
      <c r="BI110" s="409">
        <v>0</v>
      </c>
      <c r="BJ110" s="409">
        <v>0</v>
      </c>
      <c r="BK110" s="409">
        <v>0</v>
      </c>
      <c r="BL110" s="409">
        <v>0</v>
      </c>
      <c r="BM110" s="409"/>
      <c r="BN110" s="409"/>
      <c r="BO110" s="409"/>
      <c r="BP110" s="409"/>
      <c r="BQ110" s="409"/>
      <c r="BR110" s="409"/>
      <c r="BS110" s="409"/>
      <c r="BT110" s="409"/>
      <c r="BU110" s="409"/>
      <c r="BV110" s="409">
        <v>14.553331803775556</v>
      </c>
      <c r="BW110" s="409"/>
      <c r="BX110" s="409"/>
      <c r="BY110" s="409"/>
      <c r="BZ110" s="409"/>
      <c r="CA110" s="409"/>
      <c r="CB110" s="409"/>
      <c r="CC110" s="409"/>
      <c r="CD110" s="409"/>
      <c r="CE110" s="409"/>
      <c r="CF110" s="409"/>
      <c r="CG110" s="409"/>
      <c r="CH110" s="409"/>
      <c r="CI110" s="409">
        <v>25.9572</v>
      </c>
      <c r="CJ110" s="409">
        <v>-0.83654999999999902</v>
      </c>
      <c r="CK110" s="409"/>
      <c r="CL110" s="409"/>
      <c r="CM110" s="409"/>
      <c r="CN110" s="409"/>
      <c r="CO110" s="409">
        <v>-1.0559100000000001</v>
      </c>
      <c r="CP110" s="409">
        <v>0.68198000000000036</v>
      </c>
      <c r="CQ110" s="409">
        <v>31</v>
      </c>
      <c r="CR110" s="409">
        <v>0.56744100744484527</v>
      </c>
      <c r="CS110" s="409">
        <v>0</v>
      </c>
      <c r="CT110" s="409">
        <v>0</v>
      </c>
      <c r="CU110" s="409">
        <v>0</v>
      </c>
      <c r="CV110" s="409">
        <v>0</v>
      </c>
      <c r="CW110" s="409">
        <v>0</v>
      </c>
      <c r="CX110" s="409">
        <v>0</v>
      </c>
      <c r="CY110" s="409">
        <v>0</v>
      </c>
      <c r="CZ110" s="409">
        <v>8.8242897916008811E-2</v>
      </c>
      <c r="DA110" s="409">
        <v>0</v>
      </c>
      <c r="DB110" s="409">
        <v>0</v>
      </c>
      <c r="DC110" s="409">
        <v>0.7735886632349871</v>
      </c>
      <c r="DD110" s="409">
        <v>0</v>
      </c>
      <c r="DE110" s="409">
        <v>0</v>
      </c>
      <c r="DF110" s="409">
        <v>0</v>
      </c>
      <c r="DG110" s="409">
        <v>1.0395252911752667E-2</v>
      </c>
      <c r="DH110" s="409">
        <v>0</v>
      </c>
      <c r="DI110" s="409">
        <v>-0.20188402224699864</v>
      </c>
      <c r="DJ110" s="409"/>
      <c r="DK110" s="409">
        <v>0</v>
      </c>
      <c r="DL110" s="409">
        <v>0</v>
      </c>
      <c r="DM110" s="409">
        <v>0</v>
      </c>
      <c r="DN110" s="409">
        <v>0</v>
      </c>
      <c r="DO110" s="409">
        <v>-2.5680850798894039E-2</v>
      </c>
      <c r="DP110" s="409">
        <v>-3.6865798844085418E-3</v>
      </c>
      <c r="DQ110" s="409">
        <v>0</v>
      </c>
      <c r="DR110" s="409">
        <v>-7.3534353687604415E-2</v>
      </c>
      <c r="DS110" s="409"/>
      <c r="DT110" s="409"/>
      <c r="DU110" s="409"/>
      <c r="DV110" s="409">
        <v>5.9230072083769594</v>
      </c>
      <c r="DW110" s="409">
        <v>0</v>
      </c>
      <c r="DX110" s="409">
        <v>0</v>
      </c>
      <c r="DY110" s="409">
        <v>-1.0559100000000008</v>
      </c>
      <c r="DZ110" s="409">
        <v>0.68198000000000114</v>
      </c>
      <c r="EA110" s="409">
        <v>0</v>
      </c>
      <c r="EB110" s="409">
        <v>0</v>
      </c>
      <c r="EC110" s="409">
        <v>-0.94147965650846732</v>
      </c>
      <c r="ED110" s="409">
        <v>0</v>
      </c>
      <c r="EE110" s="409">
        <v>0</v>
      </c>
      <c r="EF110" s="409">
        <v>0</v>
      </c>
      <c r="EG110" s="409">
        <v>0</v>
      </c>
      <c r="EH110" s="409">
        <v>0</v>
      </c>
      <c r="EI110" s="409">
        <v>0</v>
      </c>
      <c r="EJ110" s="409">
        <v>0</v>
      </c>
      <c r="EK110" s="409">
        <v>0</v>
      </c>
      <c r="EL110" s="409">
        <v>0</v>
      </c>
      <c r="EM110" s="409">
        <v>0</v>
      </c>
      <c r="EN110" s="409">
        <v>0</v>
      </c>
      <c r="EO110" s="409">
        <v>0</v>
      </c>
      <c r="EP110" s="409">
        <v>0</v>
      </c>
      <c r="EQ110" s="409">
        <v>0</v>
      </c>
      <c r="ER110" s="409">
        <v>0</v>
      </c>
      <c r="ES110" s="409">
        <v>0</v>
      </c>
      <c r="ET110" s="409">
        <v>0</v>
      </c>
      <c r="EU110" s="409">
        <v>0</v>
      </c>
      <c r="EV110" s="409">
        <v>210</v>
      </c>
      <c r="EW110" s="409">
        <v>0</v>
      </c>
      <c r="EX110" s="409">
        <v>0</v>
      </c>
      <c r="EY110" s="409">
        <v>0</v>
      </c>
      <c r="EZ110" s="409"/>
      <c r="FA110" s="409">
        <v>0</v>
      </c>
      <c r="FB110" s="409"/>
      <c r="FC110" s="409"/>
      <c r="FD110" s="409"/>
      <c r="FE110" s="409"/>
      <c r="FF110" s="409">
        <v>0</v>
      </c>
      <c r="FG110" s="409">
        <v>0</v>
      </c>
      <c r="FH110" s="409">
        <v>0</v>
      </c>
      <c r="FI110" s="409">
        <v>0</v>
      </c>
    </row>
    <row r="111" spans="1:165" s="877" customFormat="1">
      <c r="A111" s="409">
        <v>109</v>
      </c>
      <c r="B111" s="409" t="s">
        <v>1035</v>
      </c>
      <c r="C111" s="409" t="s">
        <v>2248</v>
      </c>
      <c r="D111" s="409" t="s">
        <v>2247</v>
      </c>
      <c r="E111" s="409" t="s">
        <v>973</v>
      </c>
      <c r="F111" s="409" t="s">
        <v>1323</v>
      </c>
      <c r="G111" s="409" t="s">
        <v>1323</v>
      </c>
      <c r="H111" s="409" t="s">
        <v>1323</v>
      </c>
      <c r="I111" s="409" t="s">
        <v>1323</v>
      </c>
      <c r="J111" s="409" t="s">
        <v>2242</v>
      </c>
      <c r="K111" s="838">
        <v>44409</v>
      </c>
      <c r="L111" s="409">
        <v>0</v>
      </c>
      <c r="M111" s="409">
        <v>0</v>
      </c>
      <c r="N111" s="409">
        <v>0</v>
      </c>
      <c r="O111" s="409">
        <v>0</v>
      </c>
      <c r="P111" s="409">
        <v>0</v>
      </c>
      <c r="Q111" s="409">
        <v>0</v>
      </c>
      <c r="R111" s="409"/>
      <c r="S111" s="409"/>
      <c r="T111" s="409"/>
      <c r="U111" s="409"/>
      <c r="V111" s="409"/>
      <c r="W111" s="409"/>
      <c r="X111" s="409"/>
      <c r="Y111" s="409"/>
      <c r="Z111" s="409"/>
      <c r="AA111" s="409">
        <v>0</v>
      </c>
      <c r="AB111" s="409"/>
      <c r="AC111" s="409"/>
      <c r="AD111" s="409"/>
      <c r="AE111" s="409"/>
      <c r="AF111" s="409"/>
      <c r="AG111" s="409"/>
      <c r="AH111" s="409"/>
      <c r="AI111" s="409"/>
      <c r="AJ111" s="409"/>
      <c r="AK111" s="409"/>
      <c r="AL111" s="409"/>
      <c r="AM111" s="409"/>
      <c r="AN111" s="409"/>
      <c r="AO111" s="409"/>
      <c r="AP111" s="409"/>
      <c r="AQ111" s="409"/>
      <c r="AR111" s="409"/>
      <c r="AS111" s="409"/>
      <c r="AT111" s="409"/>
      <c r="AU111" s="409"/>
      <c r="AV111" s="409"/>
      <c r="AW111" s="409"/>
      <c r="AX111" s="409"/>
      <c r="AY111" s="409"/>
      <c r="AZ111" s="409">
        <v>0</v>
      </c>
      <c r="BA111" s="409"/>
      <c r="BB111" s="409"/>
      <c r="BC111" s="409"/>
      <c r="BD111" s="409"/>
      <c r="BE111" s="409"/>
      <c r="BF111" s="409"/>
      <c r="BG111" s="409"/>
      <c r="BH111" s="409"/>
      <c r="BI111" s="409">
        <v>0.21</v>
      </c>
      <c r="BJ111" s="409">
        <v>1</v>
      </c>
      <c r="BK111" s="409">
        <v>0</v>
      </c>
      <c r="BL111" s="409">
        <v>1</v>
      </c>
      <c r="BM111" s="409"/>
      <c r="BN111" s="409"/>
      <c r="BO111" s="409"/>
      <c r="BP111" s="409"/>
      <c r="BQ111" s="409"/>
      <c r="BR111" s="409"/>
      <c r="BS111" s="409"/>
      <c r="BT111" s="409"/>
      <c r="BU111" s="409"/>
      <c r="BV111" s="409"/>
      <c r="BW111" s="409"/>
      <c r="BX111" s="409"/>
      <c r="BY111" s="409"/>
      <c r="BZ111" s="409"/>
      <c r="CA111" s="409"/>
      <c r="CB111" s="409"/>
      <c r="CC111" s="409"/>
      <c r="CD111" s="409"/>
      <c r="CE111" s="409"/>
      <c r="CF111" s="409"/>
      <c r="CG111" s="409"/>
      <c r="CH111" s="409"/>
      <c r="CI111" s="409"/>
      <c r="CJ111" s="409">
        <v>-0.03</v>
      </c>
      <c r="CK111" s="409"/>
      <c r="CL111" s="409"/>
      <c r="CM111" s="409"/>
      <c r="CN111" s="409"/>
      <c r="CO111" s="409">
        <v>0</v>
      </c>
      <c r="CP111" s="409">
        <v>0</v>
      </c>
      <c r="CQ111" s="409">
        <v>31</v>
      </c>
      <c r="CR111" s="409"/>
      <c r="CS111" s="409"/>
      <c r="CT111" s="409"/>
      <c r="CU111" s="409"/>
      <c r="CV111" s="409"/>
      <c r="CW111" s="409"/>
      <c r="CX111" s="409"/>
      <c r="CY111" s="409"/>
      <c r="CZ111" s="409"/>
      <c r="DA111" s="409"/>
      <c r="DB111" s="409"/>
      <c r="DC111" s="409"/>
      <c r="DD111" s="409"/>
      <c r="DE111" s="409"/>
      <c r="DF111" s="409"/>
      <c r="DG111" s="409"/>
      <c r="DH111" s="409"/>
      <c r="DI111" s="409"/>
      <c r="DJ111" s="409"/>
      <c r="DK111" s="409">
        <v>0</v>
      </c>
      <c r="DL111" s="409"/>
      <c r="DM111" s="409"/>
      <c r="DN111" s="409"/>
      <c r="DO111" s="409"/>
      <c r="DP111" s="409"/>
      <c r="DQ111" s="409"/>
      <c r="DR111" s="409"/>
      <c r="DS111" s="409"/>
      <c r="DT111" s="409"/>
      <c r="DU111" s="409"/>
      <c r="DV111" s="409"/>
      <c r="DW111" s="409"/>
      <c r="DX111" s="409"/>
      <c r="DY111" s="409"/>
      <c r="DZ111" s="409"/>
      <c r="EA111" s="409"/>
      <c r="EB111" s="409"/>
      <c r="EC111" s="409"/>
      <c r="ED111" s="409"/>
      <c r="EE111" s="409"/>
      <c r="EF111" s="409"/>
      <c r="EG111" s="409"/>
      <c r="EH111" s="409"/>
      <c r="EI111" s="409"/>
      <c r="EJ111" s="409"/>
      <c r="EK111" s="409"/>
      <c r="EL111" s="409"/>
      <c r="EM111" s="409"/>
      <c r="EN111" s="409"/>
      <c r="EO111" s="409"/>
      <c r="EP111" s="409"/>
      <c r="EQ111" s="409"/>
      <c r="ER111" s="409"/>
      <c r="ES111" s="409"/>
      <c r="ET111" s="409"/>
      <c r="EU111" s="409"/>
      <c r="EV111" s="409">
        <v>210</v>
      </c>
      <c r="EW111" s="409"/>
      <c r="EX111" s="409"/>
      <c r="EY111" s="409"/>
      <c r="EZ111" s="409"/>
      <c r="FA111" s="409">
        <v>0</v>
      </c>
      <c r="FB111" s="409"/>
      <c r="FC111" s="409"/>
      <c r="FD111" s="409"/>
      <c r="FE111" s="409"/>
      <c r="FF111" s="409">
        <v>0</v>
      </c>
      <c r="FG111" s="409">
        <v>0</v>
      </c>
      <c r="FH111" s="409">
        <v>0</v>
      </c>
      <c r="FI111" s="409">
        <v>0</v>
      </c>
    </row>
    <row r="112" spans="1:165" s="877" customFormat="1">
      <c r="A112" s="409">
        <v>110</v>
      </c>
      <c r="B112" s="409" t="s">
        <v>1035</v>
      </c>
      <c r="C112" s="409" t="s">
        <v>2241</v>
      </c>
      <c r="D112" s="409" t="s">
        <v>1992</v>
      </c>
      <c r="E112" s="409" t="s">
        <v>2249</v>
      </c>
      <c r="F112" s="409" t="s">
        <v>1323</v>
      </c>
      <c r="G112" s="409" t="s">
        <v>1323</v>
      </c>
      <c r="H112" s="409" t="s">
        <v>1323</v>
      </c>
      <c r="I112" s="409" t="s">
        <v>1323</v>
      </c>
      <c r="J112" s="409" t="s">
        <v>2242</v>
      </c>
      <c r="K112" s="838">
        <v>44409</v>
      </c>
      <c r="L112" s="409">
        <v>0</v>
      </c>
      <c r="M112" s="409">
        <v>0</v>
      </c>
      <c r="N112" s="409">
        <v>10.471</v>
      </c>
      <c r="O112" s="409">
        <v>10.471</v>
      </c>
      <c r="P112" s="409">
        <v>10.471</v>
      </c>
      <c r="Q112" s="409">
        <v>10.471</v>
      </c>
      <c r="R112" s="409"/>
      <c r="S112" s="409">
        <v>358.62</v>
      </c>
      <c r="T112" s="409">
        <v>273.74</v>
      </c>
      <c r="U112" s="409"/>
      <c r="V112" s="409">
        <v>6621.4415600000002</v>
      </c>
      <c r="W112" s="409">
        <v>6621.4415600000002</v>
      </c>
      <c r="X112" s="409">
        <v>6420.18894</v>
      </c>
      <c r="Y112" s="409">
        <v>0</v>
      </c>
      <c r="Z112" s="409">
        <v>632.18047003295828</v>
      </c>
      <c r="AA112" s="409">
        <v>0</v>
      </c>
      <c r="AB112" s="409">
        <v>0</v>
      </c>
      <c r="AC112" s="409">
        <v>0</v>
      </c>
      <c r="AD112" s="409">
        <v>901.43286882196617</v>
      </c>
      <c r="AE112" s="409">
        <v>2074.0872198890384</v>
      </c>
      <c r="AF112" s="409">
        <v>2866.3237882113408</v>
      </c>
      <c r="AG112" s="409">
        <v>0</v>
      </c>
      <c r="AH112" s="409">
        <v>0</v>
      </c>
      <c r="AI112" s="409">
        <v>0</v>
      </c>
      <c r="AJ112" s="409">
        <v>0</v>
      </c>
      <c r="AK112" s="409">
        <v>0</v>
      </c>
      <c r="AL112" s="409">
        <v>97.763002918325697</v>
      </c>
      <c r="AM112" s="409"/>
      <c r="AN112" s="409">
        <v>11.152571747423689</v>
      </c>
      <c r="AO112" s="409">
        <v>0</v>
      </c>
      <c r="AP112" s="409">
        <v>0</v>
      </c>
      <c r="AQ112" s="409">
        <v>0</v>
      </c>
      <c r="AR112" s="409">
        <v>0</v>
      </c>
      <c r="AS112" s="409">
        <v>0</v>
      </c>
      <c r="AT112" s="409">
        <v>0</v>
      </c>
      <c r="AU112" s="409">
        <v>0</v>
      </c>
      <c r="AV112" s="409">
        <v>0</v>
      </c>
      <c r="AW112" s="409">
        <v>0</v>
      </c>
      <c r="AX112" s="409">
        <v>0</v>
      </c>
      <c r="AY112" s="409">
        <v>0</v>
      </c>
      <c r="AZ112" s="409">
        <v>0</v>
      </c>
      <c r="BA112" s="409"/>
      <c r="BB112" s="409">
        <v>0</v>
      </c>
      <c r="BC112" s="409">
        <v>0</v>
      </c>
      <c r="BD112" s="409">
        <v>0</v>
      </c>
      <c r="BE112" s="409">
        <v>0</v>
      </c>
      <c r="BF112" s="409">
        <v>0</v>
      </c>
      <c r="BG112" s="409">
        <v>38.516801139290024</v>
      </c>
      <c r="BH112" s="409">
        <v>0</v>
      </c>
      <c r="BI112" s="409">
        <v>2.87</v>
      </c>
      <c r="BJ112" s="409">
        <v>13.24</v>
      </c>
      <c r="BK112" s="409">
        <v>1533.94</v>
      </c>
      <c r="BL112" s="409">
        <v>15</v>
      </c>
      <c r="BM112" s="409"/>
      <c r="BN112" s="409"/>
      <c r="BO112" s="409"/>
      <c r="BP112" s="409"/>
      <c r="BQ112" s="409"/>
      <c r="BR112" s="409"/>
      <c r="BS112" s="409"/>
      <c r="BT112" s="409"/>
      <c r="BU112" s="409"/>
      <c r="BV112" s="409">
        <v>2904.840589350631</v>
      </c>
      <c r="BW112" s="409"/>
      <c r="BX112" s="409"/>
      <c r="BY112" s="409"/>
      <c r="BZ112" s="409"/>
      <c r="CA112" s="409"/>
      <c r="CB112" s="409"/>
      <c r="CC112" s="409"/>
      <c r="CD112" s="409"/>
      <c r="CE112" s="409"/>
      <c r="CF112" s="409"/>
      <c r="CG112" s="409"/>
      <c r="CH112" s="409"/>
      <c r="CI112" s="409">
        <v>6419.5758000000005</v>
      </c>
      <c r="CJ112" s="409">
        <v>-201.89576000000034</v>
      </c>
      <c r="CK112" s="409"/>
      <c r="CL112" s="409"/>
      <c r="CM112" s="409"/>
      <c r="CN112" s="409"/>
      <c r="CO112" s="409">
        <v>-337.37562000000031</v>
      </c>
      <c r="CP112" s="409">
        <v>136.12299999999999</v>
      </c>
      <c r="CQ112" s="409">
        <v>31</v>
      </c>
      <c r="CR112" s="409">
        <v>128.39414792359275</v>
      </c>
      <c r="CS112" s="409">
        <v>0</v>
      </c>
      <c r="CT112" s="409">
        <v>0</v>
      </c>
      <c r="CU112" s="409">
        <v>0</v>
      </c>
      <c r="CV112" s="409">
        <v>0</v>
      </c>
      <c r="CW112" s="409">
        <v>0</v>
      </c>
      <c r="CX112" s="409">
        <v>0</v>
      </c>
      <c r="CY112" s="409">
        <v>0</v>
      </c>
      <c r="CZ112" s="409">
        <v>30.899714404597489</v>
      </c>
      <c r="DA112" s="409">
        <v>0</v>
      </c>
      <c r="DB112" s="409">
        <v>0</v>
      </c>
      <c r="DC112" s="409">
        <v>154.4080612415778</v>
      </c>
      <c r="DD112" s="409">
        <v>0</v>
      </c>
      <c r="DE112" s="409">
        <v>0</v>
      </c>
      <c r="DF112" s="409">
        <v>0</v>
      </c>
      <c r="DG112" s="409">
        <v>2.0748893106932158</v>
      </c>
      <c r="DH112" s="409">
        <v>0</v>
      </c>
      <c r="DI112" s="409">
        <v>-40.295989267029995</v>
      </c>
      <c r="DJ112" s="409"/>
      <c r="DK112" s="409">
        <v>0</v>
      </c>
      <c r="DL112" s="409">
        <v>0</v>
      </c>
      <c r="DM112" s="409">
        <v>0</v>
      </c>
      <c r="DN112" s="409">
        <v>0</v>
      </c>
      <c r="DO112" s="409">
        <v>-5.1258899869466745</v>
      </c>
      <c r="DP112" s="409">
        <v>-0.73584022054218323</v>
      </c>
      <c r="DQ112" s="409">
        <v>0</v>
      </c>
      <c r="DR112" s="409">
        <v>-12.830797558756398</v>
      </c>
      <c r="DS112" s="409"/>
      <c r="DT112" s="409"/>
      <c r="DU112" s="409"/>
      <c r="DV112" s="409">
        <v>2074.0872198890384</v>
      </c>
      <c r="DW112" s="409">
        <v>0</v>
      </c>
      <c r="DX112" s="409">
        <v>0</v>
      </c>
      <c r="DY112" s="409">
        <v>-337.37562000000025</v>
      </c>
      <c r="DZ112" s="409">
        <v>136.12300000000005</v>
      </c>
      <c r="EA112" s="409">
        <v>0</v>
      </c>
      <c r="EB112" s="409">
        <v>0</v>
      </c>
      <c r="EC112" s="409">
        <v>-329.68234794447426</v>
      </c>
      <c r="ED112" s="409">
        <v>0</v>
      </c>
      <c r="EE112" s="409">
        <v>0</v>
      </c>
      <c r="EF112" s="409">
        <v>0</v>
      </c>
      <c r="EG112" s="409">
        <v>0</v>
      </c>
      <c r="EH112" s="409">
        <v>0</v>
      </c>
      <c r="EI112" s="409">
        <v>0</v>
      </c>
      <c r="EJ112" s="409">
        <v>0</v>
      </c>
      <c r="EK112" s="409">
        <v>0</v>
      </c>
      <c r="EL112" s="409">
        <v>0</v>
      </c>
      <c r="EM112" s="409">
        <v>0</v>
      </c>
      <c r="EN112" s="409">
        <v>0</v>
      </c>
      <c r="EO112" s="409">
        <v>0</v>
      </c>
      <c r="EP112" s="409">
        <v>0</v>
      </c>
      <c r="EQ112" s="409">
        <v>0</v>
      </c>
      <c r="ER112" s="409">
        <v>0</v>
      </c>
      <c r="ES112" s="409">
        <v>0</v>
      </c>
      <c r="ET112" s="409">
        <v>0</v>
      </c>
      <c r="EU112" s="409">
        <v>0</v>
      </c>
      <c r="EV112" s="409">
        <v>210</v>
      </c>
      <c r="EW112" s="409">
        <v>0</v>
      </c>
      <c r="EX112" s="409">
        <v>0</v>
      </c>
      <c r="EY112" s="409">
        <v>0</v>
      </c>
      <c r="EZ112" s="409"/>
      <c r="FA112" s="409">
        <v>0</v>
      </c>
      <c r="FB112" s="409"/>
      <c r="FC112" s="409"/>
      <c r="FD112" s="409"/>
      <c r="FE112" s="409"/>
      <c r="FF112" s="409">
        <v>0</v>
      </c>
      <c r="FG112" s="409">
        <v>0</v>
      </c>
      <c r="FH112" s="409">
        <v>0</v>
      </c>
      <c r="FI112" s="409">
        <v>0</v>
      </c>
    </row>
    <row r="113" spans="1:165" s="877" customFormat="1">
      <c r="A113" s="409">
        <v>111</v>
      </c>
      <c r="B113" s="409" t="s">
        <v>1035</v>
      </c>
      <c r="C113" s="409" t="s">
        <v>2241</v>
      </c>
      <c r="D113" s="409" t="s">
        <v>2250</v>
      </c>
      <c r="E113" s="409" t="s">
        <v>2251</v>
      </c>
      <c r="F113" s="409" t="s">
        <v>2252</v>
      </c>
      <c r="G113" s="409" t="s">
        <v>1323</v>
      </c>
      <c r="H113" s="409" t="s">
        <v>1323</v>
      </c>
      <c r="I113" s="409" t="s">
        <v>1323</v>
      </c>
      <c r="J113" s="409" t="s">
        <v>2242</v>
      </c>
      <c r="K113" s="838">
        <v>44409</v>
      </c>
      <c r="L113" s="409">
        <v>0</v>
      </c>
      <c r="M113" s="409">
        <v>0</v>
      </c>
      <c r="N113" s="409">
        <v>20.052</v>
      </c>
      <c r="O113" s="409">
        <v>20.052</v>
      </c>
      <c r="P113" s="409">
        <v>20.052</v>
      </c>
      <c r="Q113" s="409">
        <v>20.052</v>
      </c>
      <c r="R113" s="409"/>
      <c r="S113" s="409">
        <v>215.17</v>
      </c>
      <c r="T113" s="409">
        <v>164.24</v>
      </c>
      <c r="U113" s="409"/>
      <c r="V113" s="409">
        <v>7607.9293199999993</v>
      </c>
      <c r="W113" s="409">
        <v>7607.9293199999993</v>
      </c>
      <c r="X113" s="409">
        <v>7376.9302800000005</v>
      </c>
      <c r="Y113" s="409">
        <v>0</v>
      </c>
      <c r="Z113" s="409">
        <v>726.37662793052459</v>
      </c>
      <c r="AA113" s="409">
        <v>0</v>
      </c>
      <c r="AB113" s="409">
        <v>0</v>
      </c>
      <c r="AC113" s="409">
        <v>0</v>
      </c>
      <c r="AD113" s="409">
        <v>1035.748174135312</v>
      </c>
      <c r="AE113" s="409">
        <v>2383.1303753155416</v>
      </c>
      <c r="AF113" s="409">
        <v>3293.4117811792798</v>
      </c>
      <c r="AG113" s="409">
        <v>0</v>
      </c>
      <c r="AH113" s="409">
        <v>0</v>
      </c>
      <c r="AI113" s="409">
        <v>0</v>
      </c>
      <c r="AJ113" s="409">
        <v>0</v>
      </c>
      <c r="AK113" s="409">
        <v>0</v>
      </c>
      <c r="AL113" s="409">
        <v>112.32988642068175</v>
      </c>
      <c r="AM113" s="409"/>
      <c r="AN113" s="409">
        <v>12.814327304708593</v>
      </c>
      <c r="AO113" s="409">
        <v>0</v>
      </c>
      <c r="AP113" s="409">
        <v>0</v>
      </c>
      <c r="AQ113" s="409">
        <v>0</v>
      </c>
      <c r="AR113" s="409">
        <v>0</v>
      </c>
      <c r="AS113" s="409">
        <v>0</v>
      </c>
      <c r="AT113" s="409">
        <v>0</v>
      </c>
      <c r="AU113" s="409">
        <v>0</v>
      </c>
      <c r="AV113" s="409">
        <v>0</v>
      </c>
      <c r="AW113" s="409">
        <v>0</v>
      </c>
      <c r="AX113" s="409">
        <v>0</v>
      </c>
      <c r="AY113" s="409">
        <v>0</v>
      </c>
      <c r="AZ113" s="409">
        <v>0</v>
      </c>
      <c r="BA113" s="409"/>
      <c r="BB113" s="409">
        <v>0</v>
      </c>
      <c r="BC113" s="409">
        <v>0</v>
      </c>
      <c r="BD113" s="409">
        <v>0</v>
      </c>
      <c r="BE113" s="409">
        <v>0</v>
      </c>
      <c r="BF113" s="409">
        <v>0</v>
      </c>
      <c r="BG113" s="409">
        <v>44.255881755995354</v>
      </c>
      <c r="BH113" s="409">
        <v>0</v>
      </c>
      <c r="BI113" s="409">
        <v>0</v>
      </c>
      <c r="BJ113" s="409">
        <v>0</v>
      </c>
      <c r="BK113" s="409">
        <v>2037.08</v>
      </c>
      <c r="BL113" s="409">
        <v>6</v>
      </c>
      <c r="BM113" s="409"/>
      <c r="BN113" s="409"/>
      <c r="BO113" s="409"/>
      <c r="BP113" s="409"/>
      <c r="BQ113" s="409"/>
      <c r="BR113" s="409"/>
      <c r="BS113" s="409"/>
      <c r="BT113" s="409"/>
      <c r="BU113" s="409"/>
      <c r="BV113" s="409">
        <v>3337.6676629352751</v>
      </c>
      <c r="BW113" s="409"/>
      <c r="BX113" s="409"/>
      <c r="BY113" s="409"/>
      <c r="BZ113" s="409"/>
      <c r="CA113" s="409"/>
      <c r="CB113" s="409"/>
      <c r="CC113" s="409"/>
      <c r="CD113" s="409"/>
      <c r="CE113" s="409"/>
      <c r="CF113" s="409"/>
      <c r="CG113" s="409"/>
      <c r="CH113" s="409"/>
      <c r="CI113" s="409">
        <v>7376.1945000000005</v>
      </c>
      <c r="CJ113" s="409">
        <v>-231.76481999999942</v>
      </c>
      <c r="CK113" s="409"/>
      <c r="CL113" s="409"/>
      <c r="CM113" s="409"/>
      <c r="CN113" s="409"/>
      <c r="CO113" s="409">
        <v>-387.60515999999967</v>
      </c>
      <c r="CP113" s="409">
        <v>156.60612000000003</v>
      </c>
      <c r="CQ113" s="409">
        <v>31</v>
      </c>
      <c r="CR113" s="409">
        <v>147.52513346369142</v>
      </c>
      <c r="CS113" s="409">
        <v>0</v>
      </c>
      <c r="CT113" s="409">
        <v>0</v>
      </c>
      <c r="CU113" s="409">
        <v>0</v>
      </c>
      <c r="CV113" s="409">
        <v>0</v>
      </c>
      <c r="CW113" s="409">
        <v>0</v>
      </c>
      <c r="CX113" s="409">
        <v>0</v>
      </c>
      <c r="CY113" s="409">
        <v>0</v>
      </c>
      <c r="CZ113" s="409">
        <v>35.503833821466515</v>
      </c>
      <c r="DA113" s="409">
        <v>0</v>
      </c>
      <c r="DB113" s="409">
        <v>0</v>
      </c>
      <c r="DC113" s="409">
        <v>177.41517203797866</v>
      </c>
      <c r="DD113" s="409">
        <v>0</v>
      </c>
      <c r="DE113" s="409">
        <v>0</v>
      </c>
      <c r="DF113" s="409">
        <v>0</v>
      </c>
      <c r="DG113" s="409">
        <v>2.3840519792581176</v>
      </c>
      <c r="DH113" s="409">
        <v>0</v>
      </c>
      <c r="DI113" s="409">
        <v>-46.300172482999415</v>
      </c>
      <c r="DJ113" s="409"/>
      <c r="DK113" s="409">
        <v>0</v>
      </c>
      <c r="DL113" s="409">
        <v>0</v>
      </c>
      <c r="DM113" s="409">
        <v>0</v>
      </c>
      <c r="DN113" s="409">
        <v>0</v>
      </c>
      <c r="DO113" s="409">
        <v>-5.8896578751743789</v>
      </c>
      <c r="DP113" s="409">
        <v>-0.84548188915927547</v>
      </c>
      <c r="DQ113" s="409">
        <v>0</v>
      </c>
      <c r="DR113" s="409">
        <v>-14.742612127677354</v>
      </c>
      <c r="DS113" s="409"/>
      <c r="DT113" s="409"/>
      <c r="DU113" s="409"/>
      <c r="DV113" s="409">
        <v>2383.1303753155416</v>
      </c>
      <c r="DW113" s="409">
        <v>0</v>
      </c>
      <c r="DX113" s="409">
        <v>0</v>
      </c>
      <c r="DY113" s="409">
        <v>-387.60515999999961</v>
      </c>
      <c r="DZ113" s="409">
        <v>156.60611999999992</v>
      </c>
      <c r="EA113" s="409">
        <v>0</v>
      </c>
      <c r="EB113" s="409">
        <v>0</v>
      </c>
      <c r="EC113" s="409">
        <v>-378.80567897904029</v>
      </c>
      <c r="ED113" s="409">
        <v>0</v>
      </c>
      <c r="EE113" s="409">
        <v>0</v>
      </c>
      <c r="EF113" s="409">
        <v>0</v>
      </c>
      <c r="EG113" s="409">
        <v>0</v>
      </c>
      <c r="EH113" s="409">
        <v>0</v>
      </c>
      <c r="EI113" s="409">
        <v>0</v>
      </c>
      <c r="EJ113" s="409">
        <v>0</v>
      </c>
      <c r="EK113" s="409">
        <v>0</v>
      </c>
      <c r="EL113" s="409">
        <v>0</v>
      </c>
      <c r="EM113" s="409">
        <v>0</v>
      </c>
      <c r="EN113" s="409">
        <v>0</v>
      </c>
      <c r="EO113" s="409">
        <v>0</v>
      </c>
      <c r="EP113" s="409">
        <v>0</v>
      </c>
      <c r="EQ113" s="409">
        <v>0</v>
      </c>
      <c r="ER113" s="409">
        <v>0</v>
      </c>
      <c r="ES113" s="409">
        <v>0</v>
      </c>
      <c r="ET113" s="409">
        <v>0</v>
      </c>
      <c r="EU113" s="409">
        <v>0</v>
      </c>
      <c r="EV113" s="409">
        <v>210</v>
      </c>
      <c r="EW113" s="409">
        <v>0</v>
      </c>
      <c r="EX113" s="409">
        <v>0</v>
      </c>
      <c r="EY113" s="409">
        <v>0</v>
      </c>
      <c r="EZ113" s="409"/>
      <c r="FA113" s="409">
        <v>0</v>
      </c>
      <c r="FB113" s="409"/>
      <c r="FC113" s="409"/>
      <c r="FD113" s="409"/>
      <c r="FE113" s="409"/>
      <c r="FF113" s="409">
        <v>0</v>
      </c>
      <c r="FG113" s="409">
        <v>0</v>
      </c>
      <c r="FH113" s="409">
        <v>0</v>
      </c>
      <c r="FI113" s="409">
        <v>0</v>
      </c>
    </row>
    <row r="114" spans="1:165" s="877" customFormat="1">
      <c r="A114" s="409">
        <v>112</v>
      </c>
      <c r="B114" s="409" t="s">
        <v>1035</v>
      </c>
      <c r="C114" s="409" t="s">
        <v>2241</v>
      </c>
      <c r="D114" s="409" t="s">
        <v>1992</v>
      </c>
      <c r="E114" s="409" t="s">
        <v>1000</v>
      </c>
      <c r="F114" s="409" t="s">
        <v>2253</v>
      </c>
      <c r="G114" s="409" t="s">
        <v>1323</v>
      </c>
      <c r="H114" s="409" t="s">
        <v>1323</v>
      </c>
      <c r="I114" s="409" t="s">
        <v>1323</v>
      </c>
      <c r="J114" s="409" t="s">
        <v>2242</v>
      </c>
      <c r="K114" s="838">
        <v>44409</v>
      </c>
      <c r="L114" s="409">
        <v>0</v>
      </c>
      <c r="M114" s="409">
        <v>0</v>
      </c>
      <c r="N114" s="409">
        <v>4.0640000000000001</v>
      </c>
      <c r="O114" s="409">
        <v>3.82016</v>
      </c>
      <c r="P114" s="409">
        <v>4.0640000000000001</v>
      </c>
      <c r="Q114" s="409">
        <v>3.82016</v>
      </c>
      <c r="R114" s="409"/>
      <c r="S114" s="409">
        <v>358.62</v>
      </c>
      <c r="T114" s="409">
        <v>273.74</v>
      </c>
      <c r="U114" s="409"/>
      <c r="V114" s="409">
        <v>2569.91104</v>
      </c>
      <c r="W114" s="409">
        <v>2569.91104</v>
      </c>
      <c r="X114" s="409">
        <v>2491.80096</v>
      </c>
      <c r="Y114" s="409">
        <v>0</v>
      </c>
      <c r="Z114" s="409">
        <v>245.36161113684867</v>
      </c>
      <c r="AA114" s="409">
        <v>0</v>
      </c>
      <c r="AB114" s="409">
        <v>0</v>
      </c>
      <c r="AC114" s="409">
        <v>0</v>
      </c>
      <c r="AD114" s="409">
        <v>349.86373592708151</v>
      </c>
      <c r="AE114" s="409">
        <v>804.99383646538547</v>
      </c>
      <c r="AF114" s="409">
        <v>1112.4763513791318</v>
      </c>
      <c r="AG114" s="409">
        <v>0</v>
      </c>
      <c r="AH114" s="409">
        <v>0</v>
      </c>
      <c r="AI114" s="409">
        <v>0</v>
      </c>
      <c r="AJ114" s="409">
        <v>0</v>
      </c>
      <c r="AK114" s="409">
        <v>0</v>
      </c>
      <c r="AL114" s="409">
        <v>37.943734491459807</v>
      </c>
      <c r="AM114" s="409"/>
      <c r="AN114" s="409">
        <v>4.3285313323970849</v>
      </c>
      <c r="AO114" s="409">
        <v>0</v>
      </c>
      <c r="AP114" s="409">
        <v>0</v>
      </c>
      <c r="AQ114" s="409">
        <v>0</v>
      </c>
      <c r="AR114" s="409">
        <v>0</v>
      </c>
      <c r="AS114" s="409">
        <v>0</v>
      </c>
      <c r="AT114" s="409">
        <v>0</v>
      </c>
      <c r="AU114" s="409">
        <v>0</v>
      </c>
      <c r="AV114" s="409">
        <v>0</v>
      </c>
      <c r="AW114" s="409">
        <v>0</v>
      </c>
      <c r="AX114" s="409">
        <v>0</v>
      </c>
      <c r="AY114" s="409">
        <v>0</v>
      </c>
      <c r="AZ114" s="409">
        <v>0</v>
      </c>
      <c r="BA114" s="409"/>
      <c r="BB114" s="409">
        <v>0</v>
      </c>
      <c r="BC114" s="409">
        <v>0</v>
      </c>
      <c r="BD114" s="409">
        <v>0</v>
      </c>
      <c r="BE114" s="409">
        <v>0</v>
      </c>
      <c r="BF114" s="409">
        <v>0</v>
      </c>
      <c r="BG114" s="409">
        <v>14.949124231694647</v>
      </c>
      <c r="BH114" s="409">
        <v>0</v>
      </c>
      <c r="BI114" s="409">
        <v>0</v>
      </c>
      <c r="BJ114" s="409">
        <v>0</v>
      </c>
      <c r="BK114" s="409">
        <v>549.59</v>
      </c>
      <c r="BL114" s="409">
        <v>3</v>
      </c>
      <c r="BM114" s="409"/>
      <c r="BN114" s="409"/>
      <c r="BO114" s="409"/>
      <c r="BP114" s="409"/>
      <c r="BQ114" s="409">
        <v>149.50805760000003</v>
      </c>
      <c r="BR114" s="409"/>
      <c r="BS114" s="409"/>
      <c r="BT114" s="409"/>
      <c r="BU114" s="409"/>
      <c r="BV114" s="409">
        <v>1127.4254756108264</v>
      </c>
      <c r="BW114" s="409"/>
      <c r="BX114" s="409"/>
      <c r="BY114" s="409"/>
      <c r="BZ114" s="409"/>
      <c r="CA114" s="409"/>
      <c r="CB114" s="409"/>
      <c r="CC114" s="409"/>
      <c r="CD114" s="409"/>
      <c r="CE114" s="409"/>
      <c r="CF114" s="409"/>
      <c r="CG114" s="409"/>
      <c r="CH114" s="409"/>
      <c r="CI114" s="409">
        <v>2342.1948000000002</v>
      </c>
      <c r="CJ114" s="409">
        <v>-73.551577600000201</v>
      </c>
      <c r="CK114" s="409"/>
      <c r="CL114" s="409"/>
      <c r="CM114" s="409"/>
      <c r="CN114" s="409"/>
      <c r="CO114" s="409">
        <v>-130.94208000000012</v>
      </c>
      <c r="CP114" s="409">
        <v>52.832000000000001</v>
      </c>
      <c r="CQ114" s="409">
        <v>31</v>
      </c>
      <c r="CR114" s="409">
        <v>49.832281268406405</v>
      </c>
      <c r="CS114" s="409">
        <v>0</v>
      </c>
      <c r="CT114" s="409">
        <v>0</v>
      </c>
      <c r="CU114" s="409">
        <v>0</v>
      </c>
      <c r="CV114" s="409">
        <v>0</v>
      </c>
      <c r="CW114" s="409">
        <v>0</v>
      </c>
      <c r="CX114" s="409">
        <v>0</v>
      </c>
      <c r="CY114" s="409">
        <v>0</v>
      </c>
      <c r="CZ114" s="409">
        <v>11.992783816281531</v>
      </c>
      <c r="DA114" s="409">
        <v>0</v>
      </c>
      <c r="DB114" s="409">
        <v>0</v>
      </c>
      <c r="DC114" s="409">
        <v>59.928790075997767</v>
      </c>
      <c r="DD114" s="409">
        <v>0</v>
      </c>
      <c r="DE114" s="409">
        <v>0</v>
      </c>
      <c r="DF114" s="409">
        <v>0</v>
      </c>
      <c r="DG114" s="409">
        <v>0.80530514360206595</v>
      </c>
      <c r="DH114" s="409">
        <v>0</v>
      </c>
      <c r="DI114" s="409">
        <v>-15.639661959813736</v>
      </c>
      <c r="DJ114" s="409"/>
      <c r="DK114" s="409">
        <v>0</v>
      </c>
      <c r="DL114" s="409">
        <v>0</v>
      </c>
      <c r="DM114" s="409">
        <v>0</v>
      </c>
      <c r="DN114" s="409">
        <v>0</v>
      </c>
      <c r="DO114" s="409">
        <v>-1.9894582090489266</v>
      </c>
      <c r="DP114" s="409">
        <v>-0.28559398875784847</v>
      </c>
      <c r="DQ114" s="409">
        <v>0</v>
      </c>
      <c r="DR114" s="409">
        <v>-4.9798836098544559</v>
      </c>
      <c r="DS114" s="409"/>
      <c r="DT114" s="409"/>
      <c r="DU114" s="409"/>
      <c r="DV114" s="409">
        <v>804.99383646538547</v>
      </c>
      <c r="DW114" s="409">
        <v>0</v>
      </c>
      <c r="DX114" s="409">
        <v>0</v>
      </c>
      <c r="DY114" s="409">
        <v>-130.94208000000026</v>
      </c>
      <c r="DZ114" s="409">
        <v>52.832000000000107</v>
      </c>
      <c r="EA114" s="409">
        <v>0</v>
      </c>
      <c r="EB114" s="409">
        <v>0</v>
      </c>
      <c r="EC114" s="409">
        <v>-127.95617057075185</v>
      </c>
      <c r="ED114" s="409">
        <v>0</v>
      </c>
      <c r="EE114" s="409">
        <v>0</v>
      </c>
      <c r="EF114" s="409">
        <v>0</v>
      </c>
      <c r="EG114" s="409">
        <v>0</v>
      </c>
      <c r="EH114" s="409">
        <v>0</v>
      </c>
      <c r="EI114" s="409">
        <v>0</v>
      </c>
      <c r="EJ114" s="409">
        <v>0</v>
      </c>
      <c r="EK114" s="409">
        <v>0</v>
      </c>
      <c r="EL114" s="409">
        <v>0</v>
      </c>
      <c r="EM114" s="409">
        <v>0</v>
      </c>
      <c r="EN114" s="409">
        <v>0</v>
      </c>
      <c r="EO114" s="409">
        <v>0</v>
      </c>
      <c r="EP114" s="409">
        <v>0</v>
      </c>
      <c r="EQ114" s="409">
        <v>0</v>
      </c>
      <c r="ER114" s="409">
        <v>0</v>
      </c>
      <c r="ES114" s="409">
        <v>0</v>
      </c>
      <c r="ET114" s="409">
        <v>0</v>
      </c>
      <c r="EU114" s="409">
        <v>0</v>
      </c>
      <c r="EV114" s="409">
        <v>210</v>
      </c>
      <c r="EW114" s="409">
        <v>0</v>
      </c>
      <c r="EX114" s="409">
        <v>0</v>
      </c>
      <c r="EY114" s="409">
        <v>0</v>
      </c>
      <c r="EZ114" s="409"/>
      <c r="FA114" s="409">
        <v>0</v>
      </c>
      <c r="FB114" s="409"/>
      <c r="FC114" s="409"/>
      <c r="FD114" s="409"/>
      <c r="FE114" s="409"/>
      <c r="FF114" s="409">
        <v>0</v>
      </c>
      <c r="FG114" s="409">
        <v>0</v>
      </c>
      <c r="FH114" s="409">
        <v>0</v>
      </c>
      <c r="FI114" s="409">
        <v>0</v>
      </c>
    </row>
    <row r="115" spans="1:165" s="877" customFormat="1">
      <c r="A115" s="409">
        <v>113</v>
      </c>
      <c r="B115" s="409" t="s">
        <v>1035</v>
      </c>
      <c r="C115" s="409" t="s">
        <v>2246</v>
      </c>
      <c r="D115" s="409" t="s">
        <v>595</v>
      </c>
      <c r="E115" s="409" t="s">
        <v>1000</v>
      </c>
      <c r="F115" s="409" t="s">
        <v>2253</v>
      </c>
      <c r="G115" s="409" t="s">
        <v>1323</v>
      </c>
      <c r="H115" s="409" t="s">
        <v>1323</v>
      </c>
      <c r="I115" s="409" t="s">
        <v>972</v>
      </c>
      <c r="J115" s="409" t="s">
        <v>2242</v>
      </c>
      <c r="K115" s="838">
        <v>44409</v>
      </c>
      <c r="L115" s="409">
        <v>0</v>
      </c>
      <c r="M115" s="409">
        <v>0</v>
      </c>
      <c r="N115" s="409">
        <v>5.9660000000000002</v>
      </c>
      <c r="O115" s="409">
        <v>5.6080399999999999</v>
      </c>
      <c r="P115" s="409">
        <v>5.9660000000000002</v>
      </c>
      <c r="Q115" s="409">
        <v>5.6080399999999999</v>
      </c>
      <c r="R115" s="409"/>
      <c r="S115" s="409">
        <v>1856.88</v>
      </c>
      <c r="T115" s="409">
        <v>273.74</v>
      </c>
      <c r="U115" s="409"/>
      <c r="V115" s="409">
        <v>12711.278920000001</v>
      </c>
      <c r="W115" s="409">
        <v>12711.278920000001</v>
      </c>
      <c r="X115" s="409">
        <v>11647.242819999999</v>
      </c>
      <c r="Y115" s="409">
        <v>0</v>
      </c>
      <c r="Z115" s="409">
        <v>313.36855651499047</v>
      </c>
      <c r="AA115" s="409">
        <v>0</v>
      </c>
      <c r="AB115" s="409">
        <v>0</v>
      </c>
      <c r="AC115" s="409">
        <v>0</v>
      </c>
      <c r="AD115" s="409">
        <v>2923.8880989576141</v>
      </c>
      <c r="AE115" s="409">
        <v>7770.0081540502833</v>
      </c>
      <c r="AF115" s="409">
        <v>1633.1284233090305</v>
      </c>
      <c r="AG115" s="409">
        <v>0</v>
      </c>
      <c r="AH115" s="409">
        <v>0</v>
      </c>
      <c r="AI115" s="409">
        <v>0</v>
      </c>
      <c r="AJ115" s="409">
        <v>0</v>
      </c>
      <c r="AK115" s="409">
        <v>0</v>
      </c>
      <c r="AL115" s="409">
        <v>55.701850387807383</v>
      </c>
      <c r="AM115" s="409"/>
      <c r="AN115" s="409">
        <v>5.1790124720584698</v>
      </c>
      <c r="AO115" s="409">
        <v>0</v>
      </c>
      <c r="AP115" s="409">
        <v>0</v>
      </c>
      <c r="AQ115" s="409">
        <v>0</v>
      </c>
      <c r="AR115" s="409">
        <v>0</v>
      </c>
      <c r="AS115" s="409">
        <v>0</v>
      </c>
      <c r="AT115" s="409">
        <v>0</v>
      </c>
      <c r="AU115" s="409">
        <v>0</v>
      </c>
      <c r="AV115" s="409">
        <v>0</v>
      </c>
      <c r="AW115" s="409">
        <v>0</v>
      </c>
      <c r="AX115" s="409">
        <v>0</v>
      </c>
      <c r="AY115" s="409">
        <v>0</v>
      </c>
      <c r="AZ115" s="409">
        <v>0</v>
      </c>
      <c r="BA115" s="409"/>
      <c r="BB115" s="409">
        <v>0</v>
      </c>
      <c r="BC115" s="409">
        <v>0</v>
      </c>
      <c r="BD115" s="409">
        <v>0</v>
      </c>
      <c r="BE115" s="409">
        <v>0</v>
      </c>
      <c r="BF115" s="409">
        <v>0</v>
      </c>
      <c r="BG115" s="409">
        <v>9.9830621584766366</v>
      </c>
      <c r="BH115" s="409">
        <v>0</v>
      </c>
      <c r="BI115" s="409">
        <v>0</v>
      </c>
      <c r="BJ115" s="409">
        <v>0</v>
      </c>
      <c r="BK115" s="409">
        <v>0</v>
      </c>
      <c r="BL115" s="409">
        <v>0</v>
      </c>
      <c r="BM115" s="409"/>
      <c r="BN115" s="409"/>
      <c r="BO115" s="409"/>
      <c r="BP115" s="409"/>
      <c r="BQ115" s="409">
        <v>698.83456920000049</v>
      </c>
      <c r="BR115" s="409"/>
      <c r="BS115" s="409"/>
      <c r="BT115" s="409"/>
      <c r="BU115" s="409"/>
      <c r="BV115" s="409">
        <v>1643.1114854675072</v>
      </c>
      <c r="BW115" s="409"/>
      <c r="BX115" s="409"/>
      <c r="BY115" s="409"/>
      <c r="BZ115" s="409"/>
      <c r="CA115" s="409"/>
      <c r="CB115" s="409"/>
      <c r="CC115" s="409"/>
      <c r="CD115" s="409"/>
      <c r="CE115" s="409"/>
      <c r="CF115" s="409"/>
      <c r="CG115" s="409"/>
      <c r="CH115" s="409"/>
      <c r="CI115" s="409">
        <v>10952.234700000001</v>
      </c>
      <c r="CJ115" s="409">
        <v>-996.39748480000162</v>
      </c>
      <c r="CK115" s="409"/>
      <c r="CL115" s="409"/>
      <c r="CM115" s="409"/>
      <c r="CN115" s="409"/>
      <c r="CO115" s="409">
        <v>-1141.5941000000009</v>
      </c>
      <c r="CP115" s="409">
        <v>77.558000000000007</v>
      </c>
      <c r="CQ115" s="409">
        <v>31</v>
      </c>
      <c r="CR115" s="409">
        <v>171.09399437747015</v>
      </c>
      <c r="CS115" s="409">
        <v>0</v>
      </c>
      <c r="CT115" s="409">
        <v>0</v>
      </c>
      <c r="CU115" s="409">
        <v>0</v>
      </c>
      <c r="CV115" s="409">
        <v>0</v>
      </c>
      <c r="CW115" s="409">
        <v>0</v>
      </c>
      <c r="CX115" s="409">
        <v>0</v>
      </c>
      <c r="CY115" s="409">
        <v>0</v>
      </c>
      <c r="CZ115" s="409">
        <v>100.22632891882267</v>
      </c>
      <c r="DA115" s="409">
        <v>0</v>
      </c>
      <c r="DB115" s="409">
        <v>0</v>
      </c>
      <c r="DC115" s="409">
        <v>87.97617165192014</v>
      </c>
      <c r="DD115" s="409">
        <v>0</v>
      </c>
      <c r="DE115" s="409">
        <v>0</v>
      </c>
      <c r="DF115" s="409">
        <v>0</v>
      </c>
      <c r="DG115" s="409">
        <v>0.53778476789135965</v>
      </c>
      <c r="DH115" s="409">
        <v>0</v>
      </c>
      <c r="DI115" s="409">
        <v>-19.974511375358304</v>
      </c>
      <c r="DJ115" s="409"/>
      <c r="DK115" s="409">
        <v>0</v>
      </c>
      <c r="DL115" s="409">
        <v>0</v>
      </c>
      <c r="DM115" s="409">
        <v>0</v>
      </c>
      <c r="DN115" s="409">
        <v>0</v>
      </c>
      <c r="DO115" s="409">
        <v>-2.9205481484217231</v>
      </c>
      <c r="DP115" s="409">
        <v>-0.34170824146551571</v>
      </c>
      <c r="DQ115" s="409">
        <v>0</v>
      </c>
      <c r="DR115" s="409">
        <v>5.5904768040810957</v>
      </c>
      <c r="DS115" s="409"/>
      <c r="DT115" s="409"/>
      <c r="DU115" s="409"/>
      <c r="DV115" s="409">
        <v>7770.0081540502833</v>
      </c>
      <c r="DW115" s="409">
        <v>0</v>
      </c>
      <c r="DX115" s="409">
        <v>0</v>
      </c>
      <c r="DY115" s="409">
        <v>-1141.5941000000003</v>
      </c>
      <c r="DZ115" s="409">
        <v>77.557999999999993</v>
      </c>
      <c r="EA115" s="409">
        <v>0</v>
      </c>
      <c r="EB115" s="409">
        <v>0</v>
      </c>
      <c r="EC115" s="409">
        <v>-1235.0659640590857</v>
      </c>
      <c r="ED115" s="409">
        <v>0</v>
      </c>
      <c r="EE115" s="409">
        <v>0</v>
      </c>
      <c r="EF115" s="409">
        <v>0</v>
      </c>
      <c r="EG115" s="409">
        <v>0</v>
      </c>
      <c r="EH115" s="409">
        <v>0</v>
      </c>
      <c r="EI115" s="409">
        <v>0</v>
      </c>
      <c r="EJ115" s="409">
        <v>0</v>
      </c>
      <c r="EK115" s="409">
        <v>0</v>
      </c>
      <c r="EL115" s="409">
        <v>0</v>
      </c>
      <c r="EM115" s="409">
        <v>0</v>
      </c>
      <c r="EN115" s="409">
        <v>0</v>
      </c>
      <c r="EO115" s="409">
        <v>0</v>
      </c>
      <c r="EP115" s="409">
        <v>0</v>
      </c>
      <c r="EQ115" s="409">
        <v>0</v>
      </c>
      <c r="ER115" s="409">
        <v>0</v>
      </c>
      <c r="ES115" s="409">
        <v>0</v>
      </c>
      <c r="ET115" s="409">
        <v>0</v>
      </c>
      <c r="EU115" s="409">
        <v>0</v>
      </c>
      <c r="EV115" s="409">
        <v>210</v>
      </c>
      <c r="EW115" s="409">
        <v>0</v>
      </c>
      <c r="EX115" s="409">
        <v>0</v>
      </c>
      <c r="EY115" s="409">
        <v>0</v>
      </c>
      <c r="EZ115" s="409"/>
      <c r="FA115" s="409">
        <v>0</v>
      </c>
      <c r="FB115" s="409"/>
      <c r="FC115" s="409"/>
      <c r="FD115" s="409"/>
      <c r="FE115" s="409"/>
      <c r="FF115" s="409">
        <v>0</v>
      </c>
      <c r="FG115" s="409">
        <v>0</v>
      </c>
      <c r="FH115" s="409">
        <v>0</v>
      </c>
      <c r="FI115" s="409">
        <v>0</v>
      </c>
    </row>
    <row r="116" spans="1:165" s="877" customFormat="1">
      <c r="A116" s="409">
        <v>114</v>
      </c>
      <c r="B116" s="409" t="s">
        <v>1035</v>
      </c>
      <c r="C116" s="409" t="s">
        <v>2246</v>
      </c>
      <c r="D116" s="409" t="s">
        <v>595</v>
      </c>
      <c r="E116" s="409" t="s">
        <v>1000</v>
      </c>
      <c r="F116" s="409" t="s">
        <v>2253</v>
      </c>
      <c r="G116" s="409" t="s">
        <v>1323</v>
      </c>
      <c r="H116" s="409" t="s">
        <v>1323</v>
      </c>
      <c r="I116" s="409" t="s">
        <v>2234</v>
      </c>
      <c r="J116" s="409" t="s">
        <v>2242</v>
      </c>
      <c r="K116" s="838">
        <v>44409</v>
      </c>
      <c r="L116" s="409">
        <v>0</v>
      </c>
      <c r="M116" s="409">
        <v>0</v>
      </c>
      <c r="N116" s="409">
        <v>65.215999999999994</v>
      </c>
      <c r="O116" s="409">
        <v>61.303039999999989</v>
      </c>
      <c r="P116" s="409">
        <v>65.215999999999994</v>
      </c>
      <c r="Q116" s="409">
        <v>61.303039999999989</v>
      </c>
      <c r="R116" s="409"/>
      <c r="S116" s="409">
        <v>64.400000000000006</v>
      </c>
      <c r="T116" s="409">
        <v>273.74</v>
      </c>
      <c r="U116" s="409"/>
      <c r="V116" s="409">
        <v>22052.13824</v>
      </c>
      <c r="W116" s="409">
        <v>22052.13824</v>
      </c>
      <c r="X116" s="409">
        <v>22657.994879999998</v>
      </c>
      <c r="Y116" s="409">
        <v>0</v>
      </c>
      <c r="Z116" s="409">
        <v>3425.5185688370129</v>
      </c>
      <c r="AA116" s="409">
        <v>0</v>
      </c>
      <c r="AB116" s="409">
        <v>0</v>
      </c>
      <c r="AC116" s="409">
        <v>0</v>
      </c>
      <c r="AD116" s="409">
        <v>0</v>
      </c>
      <c r="AE116" s="409">
        <v>0</v>
      </c>
      <c r="AF116" s="409">
        <v>17852.179559926535</v>
      </c>
      <c r="AG116" s="409">
        <v>0</v>
      </c>
      <c r="AH116" s="409">
        <v>0</v>
      </c>
      <c r="AI116" s="409">
        <v>0</v>
      </c>
      <c r="AJ116" s="409">
        <v>0</v>
      </c>
      <c r="AK116" s="409">
        <v>0</v>
      </c>
      <c r="AL116" s="409">
        <v>608.89236924090608</v>
      </c>
      <c r="AM116" s="409"/>
      <c r="AN116" s="409">
        <v>56.613221149474541</v>
      </c>
      <c r="AO116" s="409">
        <v>0</v>
      </c>
      <c r="AP116" s="409">
        <v>0</v>
      </c>
      <c r="AQ116" s="409">
        <v>0</v>
      </c>
      <c r="AR116" s="409">
        <v>0</v>
      </c>
      <c r="AS116" s="409">
        <v>0</v>
      </c>
      <c r="AT116" s="409">
        <v>0</v>
      </c>
      <c r="AU116" s="409">
        <v>0</v>
      </c>
      <c r="AV116" s="409">
        <v>0</v>
      </c>
      <c r="AW116" s="409">
        <v>0</v>
      </c>
      <c r="AX116" s="409">
        <v>0</v>
      </c>
      <c r="AY116" s="409">
        <v>0</v>
      </c>
      <c r="AZ116" s="409">
        <v>0</v>
      </c>
      <c r="BA116" s="409"/>
      <c r="BB116" s="409">
        <v>0</v>
      </c>
      <c r="BC116" s="409">
        <v>0</v>
      </c>
      <c r="BD116" s="409">
        <v>0</v>
      </c>
      <c r="BE116" s="409">
        <v>0</v>
      </c>
      <c r="BF116" s="409">
        <v>0</v>
      </c>
      <c r="BG116" s="409">
        <v>109.1276201353021</v>
      </c>
      <c r="BH116" s="409">
        <v>0</v>
      </c>
      <c r="BI116" s="409">
        <v>0</v>
      </c>
      <c r="BJ116" s="409">
        <v>0</v>
      </c>
      <c r="BK116" s="409">
        <v>0</v>
      </c>
      <c r="BL116" s="409">
        <v>0</v>
      </c>
      <c r="BM116" s="409"/>
      <c r="BN116" s="409"/>
      <c r="BO116" s="409"/>
      <c r="BP116" s="409"/>
      <c r="BQ116" s="409">
        <v>1359.4796928000019</v>
      </c>
      <c r="BR116" s="409"/>
      <c r="BS116" s="409"/>
      <c r="BT116" s="409"/>
      <c r="BU116" s="409"/>
      <c r="BV116" s="409">
        <v>17961.307180061838</v>
      </c>
      <c r="BW116" s="409"/>
      <c r="BX116" s="409"/>
      <c r="BY116" s="409"/>
      <c r="BZ116" s="409"/>
      <c r="CA116" s="409"/>
      <c r="CB116" s="409"/>
      <c r="CC116" s="409"/>
      <c r="CD116" s="409"/>
      <c r="CE116" s="409"/>
      <c r="CF116" s="409"/>
      <c r="CG116" s="409"/>
      <c r="CH116" s="409"/>
      <c r="CI116" s="409">
        <v>21297.458999999999</v>
      </c>
      <c r="CJ116" s="409">
        <v>568.41905440000119</v>
      </c>
      <c r="CK116" s="409"/>
      <c r="CL116" s="409"/>
      <c r="CM116" s="409"/>
      <c r="CN116" s="409"/>
      <c r="CO116" s="409">
        <v>-241.95136000000051</v>
      </c>
      <c r="CP116" s="409">
        <v>847.80799999999988</v>
      </c>
      <c r="CQ116" s="409">
        <v>31</v>
      </c>
      <c r="CR116" s="409">
        <v>605.95608457377239</v>
      </c>
      <c r="CS116" s="409">
        <v>0</v>
      </c>
      <c r="CT116" s="409">
        <v>0</v>
      </c>
      <c r="CU116" s="409">
        <v>0</v>
      </c>
      <c r="CV116" s="409">
        <v>0</v>
      </c>
      <c r="CW116" s="409">
        <v>0</v>
      </c>
      <c r="CX116" s="409">
        <v>0</v>
      </c>
      <c r="CY116" s="409">
        <v>0</v>
      </c>
      <c r="CZ116" s="409">
        <v>0</v>
      </c>
      <c r="DA116" s="409">
        <v>0</v>
      </c>
      <c r="DB116" s="409">
        <v>0</v>
      </c>
      <c r="DC116" s="409">
        <v>961.69192263688092</v>
      </c>
      <c r="DD116" s="409">
        <v>0</v>
      </c>
      <c r="DE116" s="409">
        <v>0</v>
      </c>
      <c r="DF116" s="409">
        <v>0</v>
      </c>
      <c r="DG116" s="409">
        <v>5.8786743920219351</v>
      </c>
      <c r="DH116" s="409">
        <v>0</v>
      </c>
      <c r="DI116" s="409">
        <v>-218.34692153123842</v>
      </c>
      <c r="DJ116" s="409"/>
      <c r="DK116" s="409">
        <v>0</v>
      </c>
      <c r="DL116" s="409">
        <v>0</v>
      </c>
      <c r="DM116" s="409">
        <v>0</v>
      </c>
      <c r="DN116" s="409">
        <v>0</v>
      </c>
      <c r="DO116" s="409">
        <v>-31.925321496391348</v>
      </c>
      <c r="DP116" s="409">
        <v>-3.7353075218597098</v>
      </c>
      <c r="DQ116" s="409">
        <v>0</v>
      </c>
      <c r="DR116" s="409">
        <v>-107.60696190563844</v>
      </c>
      <c r="DS116" s="409"/>
      <c r="DT116" s="409"/>
      <c r="DU116" s="409"/>
      <c r="DV116" s="409">
        <v>0</v>
      </c>
      <c r="DW116" s="409">
        <v>0</v>
      </c>
      <c r="DX116" s="409">
        <v>0</v>
      </c>
      <c r="DY116" s="409">
        <v>-241.95136000000048</v>
      </c>
      <c r="DZ116" s="409">
        <v>847.8080000000009</v>
      </c>
      <c r="EA116" s="409">
        <v>0</v>
      </c>
      <c r="EB116" s="409">
        <v>0</v>
      </c>
      <c r="EC116" s="409">
        <v>0</v>
      </c>
      <c r="ED116" s="409">
        <v>0</v>
      </c>
      <c r="EE116" s="409">
        <v>0</v>
      </c>
      <c r="EF116" s="409">
        <v>0</v>
      </c>
      <c r="EG116" s="409">
        <v>0</v>
      </c>
      <c r="EH116" s="409">
        <v>0</v>
      </c>
      <c r="EI116" s="409">
        <v>0</v>
      </c>
      <c r="EJ116" s="409">
        <v>0</v>
      </c>
      <c r="EK116" s="409">
        <v>0</v>
      </c>
      <c r="EL116" s="409">
        <v>0</v>
      </c>
      <c r="EM116" s="409">
        <v>0</v>
      </c>
      <c r="EN116" s="409">
        <v>0</v>
      </c>
      <c r="EO116" s="409">
        <v>0</v>
      </c>
      <c r="EP116" s="409">
        <v>0</v>
      </c>
      <c r="EQ116" s="409">
        <v>0</v>
      </c>
      <c r="ER116" s="409">
        <v>0</v>
      </c>
      <c r="ES116" s="409">
        <v>0</v>
      </c>
      <c r="ET116" s="409">
        <v>0</v>
      </c>
      <c r="EU116" s="409">
        <v>0</v>
      </c>
      <c r="EV116" s="409">
        <v>210</v>
      </c>
      <c r="EW116" s="409">
        <v>0</v>
      </c>
      <c r="EX116" s="409">
        <v>0</v>
      </c>
      <c r="EY116" s="409">
        <v>0</v>
      </c>
      <c r="EZ116" s="409"/>
      <c r="FA116" s="409">
        <v>0</v>
      </c>
      <c r="FB116" s="409"/>
      <c r="FC116" s="409"/>
      <c r="FD116" s="409"/>
      <c r="FE116" s="409"/>
      <c r="FF116" s="409">
        <v>0</v>
      </c>
      <c r="FG116" s="409">
        <v>0</v>
      </c>
      <c r="FH116" s="409">
        <v>0</v>
      </c>
      <c r="FI116" s="409">
        <v>0</v>
      </c>
    </row>
    <row r="117" spans="1:165" s="877" customFormat="1">
      <c r="A117" s="409">
        <v>115</v>
      </c>
      <c r="B117" s="409" t="s">
        <v>1035</v>
      </c>
      <c r="C117" s="409" t="s">
        <v>2246</v>
      </c>
      <c r="D117" s="409" t="s">
        <v>595</v>
      </c>
      <c r="E117" s="409" t="s">
        <v>1000</v>
      </c>
      <c r="F117" s="409" t="s">
        <v>2253</v>
      </c>
      <c r="G117" s="409" t="s">
        <v>1323</v>
      </c>
      <c r="H117" s="409" t="s">
        <v>1323</v>
      </c>
      <c r="I117" s="409" t="s">
        <v>1323</v>
      </c>
      <c r="J117" s="409" t="s">
        <v>2242</v>
      </c>
      <c r="K117" s="838">
        <v>44409</v>
      </c>
      <c r="L117" s="409">
        <v>140</v>
      </c>
      <c r="M117" s="409">
        <v>131.6</v>
      </c>
      <c r="N117" s="409">
        <v>0</v>
      </c>
      <c r="O117" s="409">
        <v>0</v>
      </c>
      <c r="P117" s="409">
        <v>0</v>
      </c>
      <c r="Q117" s="409">
        <v>0</v>
      </c>
      <c r="R117" s="409">
        <v>33.6</v>
      </c>
      <c r="S117" s="409"/>
      <c r="T117" s="409"/>
      <c r="U117" s="409">
        <v>4704</v>
      </c>
      <c r="V117" s="409"/>
      <c r="W117" s="409">
        <v>4704</v>
      </c>
      <c r="X117" s="409">
        <v>4446.4000000000005</v>
      </c>
      <c r="Y117" s="409">
        <v>0</v>
      </c>
      <c r="Z117" s="409">
        <v>0</v>
      </c>
      <c r="AA117" s="409">
        <v>0</v>
      </c>
      <c r="AB117" s="409">
        <v>0</v>
      </c>
      <c r="AC117" s="409">
        <v>0</v>
      </c>
      <c r="AD117" s="409">
        <v>2498.3720823538683</v>
      </c>
      <c r="AE117" s="409">
        <v>2205.721001824802</v>
      </c>
      <c r="AF117" s="409"/>
      <c r="AG117" s="409"/>
      <c r="AH117" s="409"/>
      <c r="AI117" s="409">
        <v>0</v>
      </c>
      <c r="AJ117" s="409">
        <v>0</v>
      </c>
      <c r="AK117" s="409">
        <v>0</v>
      </c>
      <c r="AL117" s="409">
        <v>0</v>
      </c>
      <c r="AM117" s="409"/>
      <c r="AN117" s="409">
        <v>0</v>
      </c>
      <c r="AO117" s="409">
        <v>0</v>
      </c>
      <c r="AP117" s="409">
        <v>0</v>
      </c>
      <c r="AQ117" s="409">
        <v>0</v>
      </c>
      <c r="AR117" s="409">
        <v>0</v>
      </c>
      <c r="AS117" s="409"/>
      <c r="AT117" s="409"/>
      <c r="AU117" s="409">
        <v>0</v>
      </c>
      <c r="AV117" s="409">
        <v>0</v>
      </c>
      <c r="AW117" s="409">
        <v>0</v>
      </c>
      <c r="AX117" s="409"/>
      <c r="AY117" s="409"/>
      <c r="AZ117" s="409">
        <v>0</v>
      </c>
      <c r="BA117" s="409"/>
      <c r="BB117" s="409">
        <v>0</v>
      </c>
      <c r="BC117" s="409">
        <v>0</v>
      </c>
      <c r="BD117" s="409">
        <v>0</v>
      </c>
      <c r="BE117" s="409">
        <v>0</v>
      </c>
      <c r="BF117" s="409"/>
      <c r="BG117" s="409">
        <v>0</v>
      </c>
      <c r="BH117" s="409">
        <v>0</v>
      </c>
      <c r="BI117" s="409">
        <v>0</v>
      </c>
      <c r="BJ117" s="409">
        <v>0</v>
      </c>
      <c r="BK117" s="409">
        <v>8672.2099999999991</v>
      </c>
      <c r="BL117" s="409">
        <v>1</v>
      </c>
      <c r="BM117" s="409"/>
      <c r="BN117" s="409"/>
      <c r="BO117" s="409"/>
      <c r="BP117" s="409"/>
      <c r="BQ117" s="409">
        <v>266.78400000000022</v>
      </c>
      <c r="BR117" s="409"/>
      <c r="BS117" s="409"/>
      <c r="BT117" s="409"/>
      <c r="BU117" s="409"/>
      <c r="BV117" s="409">
        <v>0</v>
      </c>
      <c r="BW117" s="409"/>
      <c r="BX117" s="409"/>
      <c r="BY117" s="409"/>
      <c r="BZ117" s="409"/>
      <c r="CA117" s="409"/>
      <c r="CB117" s="409"/>
      <c r="CC117" s="409"/>
      <c r="CD117" s="409"/>
      <c r="CE117" s="409"/>
      <c r="CF117" s="409"/>
      <c r="CG117" s="409"/>
      <c r="CH117" s="409"/>
      <c r="CI117" s="409">
        <v>4179.616</v>
      </c>
      <c r="CJ117" s="409">
        <v>-242.17400000000089</v>
      </c>
      <c r="CK117" s="409"/>
      <c r="CL117" s="409"/>
      <c r="CM117" s="409"/>
      <c r="CN117" s="409"/>
      <c r="CO117" s="409">
        <v>-257.59999999999997</v>
      </c>
      <c r="CP117" s="409">
        <v>0</v>
      </c>
      <c r="CQ117" s="409">
        <v>31</v>
      </c>
      <c r="CR117" s="409">
        <v>92.429688544023975</v>
      </c>
      <c r="CS117" s="409">
        <v>0</v>
      </c>
      <c r="CT117" s="409">
        <v>0</v>
      </c>
      <c r="CU117" s="409">
        <v>0</v>
      </c>
      <c r="CV117" s="409">
        <v>0</v>
      </c>
      <c r="CW117" s="409"/>
      <c r="CX117" s="409"/>
      <c r="CY117" s="409"/>
      <c r="CZ117" s="409">
        <v>85.640302779317608</v>
      </c>
      <c r="DA117" s="409">
        <v>0</v>
      </c>
      <c r="DB117" s="409">
        <v>0</v>
      </c>
      <c r="DC117" s="409"/>
      <c r="DD117" s="409"/>
      <c r="DE117" s="409">
        <v>0</v>
      </c>
      <c r="DF117" s="409">
        <v>0</v>
      </c>
      <c r="DG117" s="409">
        <v>0</v>
      </c>
      <c r="DH117" s="409">
        <v>0</v>
      </c>
      <c r="DI117" s="409">
        <v>0</v>
      </c>
      <c r="DJ117" s="409"/>
      <c r="DK117" s="409">
        <v>0</v>
      </c>
      <c r="DL117" s="409">
        <v>0</v>
      </c>
      <c r="DM117" s="409"/>
      <c r="DN117" s="409">
        <v>0</v>
      </c>
      <c r="DO117" s="409">
        <v>0</v>
      </c>
      <c r="DP117" s="409">
        <v>0</v>
      </c>
      <c r="DQ117" s="409">
        <v>0</v>
      </c>
      <c r="DR117" s="409">
        <v>6.7893857647062585</v>
      </c>
      <c r="DS117" s="409"/>
      <c r="DT117" s="409"/>
      <c r="DU117" s="409">
        <v>2205.721001824802</v>
      </c>
      <c r="DV117" s="409"/>
      <c r="DW117" s="409">
        <v>0</v>
      </c>
      <c r="DX117" s="409">
        <v>0</v>
      </c>
      <c r="DY117" s="409">
        <v>-257.59999999999945</v>
      </c>
      <c r="DZ117" s="409"/>
      <c r="EA117" s="409">
        <v>0</v>
      </c>
      <c r="EB117" s="409"/>
      <c r="EC117" s="409">
        <v>-350.60593007797002</v>
      </c>
      <c r="ED117" s="409"/>
      <c r="EE117" s="409">
        <v>0</v>
      </c>
      <c r="EF117" s="409">
        <v>0</v>
      </c>
      <c r="EG117" s="409"/>
      <c r="EH117" s="409">
        <v>0</v>
      </c>
      <c r="EI117" s="409">
        <v>0</v>
      </c>
      <c r="EJ117" s="409">
        <v>0</v>
      </c>
      <c r="EK117" s="409">
        <v>0</v>
      </c>
      <c r="EL117" s="409">
        <v>0</v>
      </c>
      <c r="EM117" s="409"/>
      <c r="EN117" s="409"/>
      <c r="EO117" s="409">
        <v>0</v>
      </c>
      <c r="EP117" s="409">
        <v>0</v>
      </c>
      <c r="EQ117" s="409"/>
      <c r="ER117" s="409">
        <v>0</v>
      </c>
      <c r="ES117" s="409"/>
      <c r="ET117" s="409">
        <v>0</v>
      </c>
      <c r="EU117" s="409"/>
      <c r="EV117" s="409">
        <v>210</v>
      </c>
      <c r="EW117" s="409"/>
      <c r="EX117" s="409"/>
      <c r="EY117" s="409"/>
      <c r="EZ117" s="409"/>
      <c r="FA117" s="409">
        <v>0</v>
      </c>
      <c r="FB117" s="409"/>
      <c r="FC117" s="409"/>
      <c r="FD117" s="409"/>
      <c r="FE117" s="409"/>
      <c r="FF117" s="409">
        <v>0</v>
      </c>
      <c r="FG117" s="409">
        <v>0</v>
      </c>
      <c r="FH117" s="409">
        <v>0</v>
      </c>
      <c r="FI117" s="409">
        <v>0</v>
      </c>
    </row>
    <row r="118" spans="1:165" s="877" customFormat="1">
      <c r="A118" s="409">
        <v>116</v>
      </c>
      <c r="B118" s="409" t="s">
        <v>1035</v>
      </c>
      <c r="C118" s="409" t="s">
        <v>2241</v>
      </c>
      <c r="D118" s="409" t="s">
        <v>2247</v>
      </c>
      <c r="E118" s="409" t="s">
        <v>973</v>
      </c>
      <c r="F118" s="409" t="s">
        <v>2254</v>
      </c>
      <c r="G118" s="409" t="s">
        <v>2255</v>
      </c>
      <c r="H118" s="409" t="s">
        <v>1323</v>
      </c>
      <c r="I118" s="409" t="s">
        <v>1323</v>
      </c>
      <c r="J118" s="409" t="s">
        <v>2242</v>
      </c>
      <c r="K118" s="838">
        <v>44409</v>
      </c>
      <c r="L118" s="409">
        <v>0</v>
      </c>
      <c r="M118" s="409">
        <v>0</v>
      </c>
      <c r="N118" s="409">
        <v>0</v>
      </c>
      <c r="O118" s="409">
        <v>0</v>
      </c>
      <c r="P118" s="409">
        <v>0</v>
      </c>
      <c r="Q118" s="409">
        <v>0</v>
      </c>
      <c r="R118" s="409"/>
      <c r="S118" s="409"/>
      <c r="T118" s="409"/>
      <c r="U118" s="409"/>
      <c r="V118" s="409"/>
      <c r="W118" s="409"/>
      <c r="X118" s="409"/>
      <c r="Y118" s="409"/>
      <c r="Z118" s="409"/>
      <c r="AA118" s="409">
        <v>0</v>
      </c>
      <c r="AB118" s="409"/>
      <c r="AC118" s="409"/>
      <c r="AD118" s="409"/>
      <c r="AE118" s="409"/>
      <c r="AF118" s="409"/>
      <c r="AG118" s="409"/>
      <c r="AH118" s="409"/>
      <c r="AI118" s="409"/>
      <c r="AJ118" s="409"/>
      <c r="AK118" s="409"/>
      <c r="AL118" s="409"/>
      <c r="AM118" s="409"/>
      <c r="AN118" s="409"/>
      <c r="AO118" s="409"/>
      <c r="AP118" s="409"/>
      <c r="AQ118" s="409"/>
      <c r="AR118" s="409"/>
      <c r="AS118" s="409"/>
      <c r="AT118" s="409"/>
      <c r="AU118" s="409"/>
      <c r="AV118" s="409"/>
      <c r="AW118" s="409"/>
      <c r="AX118" s="409"/>
      <c r="AY118" s="409"/>
      <c r="AZ118" s="409">
        <v>0</v>
      </c>
      <c r="BA118" s="409"/>
      <c r="BB118" s="409"/>
      <c r="BC118" s="409"/>
      <c r="BD118" s="409"/>
      <c r="BE118" s="409"/>
      <c r="BF118" s="409"/>
      <c r="BG118" s="409"/>
      <c r="BH118" s="409"/>
      <c r="BI118" s="409">
        <v>117.93</v>
      </c>
      <c r="BJ118" s="409">
        <v>544.67999999999995</v>
      </c>
      <c r="BK118" s="409">
        <v>851.02</v>
      </c>
      <c r="BL118" s="409">
        <v>34</v>
      </c>
      <c r="BM118" s="409"/>
      <c r="BN118" s="409"/>
      <c r="BO118" s="409"/>
      <c r="BP118" s="409"/>
      <c r="BQ118" s="409"/>
      <c r="BR118" s="409"/>
      <c r="BS118" s="409"/>
      <c r="BT118" s="409"/>
      <c r="BU118" s="409"/>
      <c r="BV118" s="409"/>
      <c r="BW118" s="409"/>
      <c r="BX118" s="409"/>
      <c r="BY118" s="409"/>
      <c r="BZ118" s="409"/>
      <c r="CA118" s="409"/>
      <c r="CB118" s="409"/>
      <c r="CC118" s="409"/>
      <c r="CD118" s="409"/>
      <c r="CE118" s="409"/>
      <c r="CF118" s="409"/>
      <c r="CG118" s="409"/>
      <c r="CH118" s="409"/>
      <c r="CI118" s="409"/>
      <c r="CJ118" s="409">
        <v>-0.03</v>
      </c>
      <c r="CK118" s="409"/>
      <c r="CL118" s="409"/>
      <c r="CM118" s="409"/>
      <c r="CN118" s="409"/>
      <c r="CO118" s="409">
        <v>0</v>
      </c>
      <c r="CP118" s="409">
        <v>0</v>
      </c>
      <c r="CQ118" s="409">
        <v>31</v>
      </c>
      <c r="CR118" s="409"/>
      <c r="CS118" s="409"/>
      <c r="CT118" s="409"/>
      <c r="CU118" s="409"/>
      <c r="CV118" s="409"/>
      <c r="CW118" s="409"/>
      <c r="CX118" s="409"/>
      <c r="CY118" s="409"/>
      <c r="CZ118" s="409"/>
      <c r="DA118" s="409"/>
      <c r="DB118" s="409"/>
      <c r="DC118" s="409"/>
      <c r="DD118" s="409"/>
      <c r="DE118" s="409"/>
      <c r="DF118" s="409"/>
      <c r="DG118" s="409"/>
      <c r="DH118" s="409"/>
      <c r="DI118" s="409"/>
      <c r="DJ118" s="409"/>
      <c r="DK118" s="409">
        <v>0</v>
      </c>
      <c r="DL118" s="409"/>
      <c r="DM118" s="409"/>
      <c r="DN118" s="409"/>
      <c r="DO118" s="409"/>
      <c r="DP118" s="409"/>
      <c r="DQ118" s="409"/>
      <c r="DR118" s="409"/>
      <c r="DS118" s="409"/>
      <c r="DT118" s="409"/>
      <c r="DU118" s="409"/>
      <c r="DV118" s="409"/>
      <c r="DW118" s="409"/>
      <c r="DX118" s="409"/>
      <c r="DY118" s="409"/>
      <c r="DZ118" s="409"/>
      <c r="EA118" s="409"/>
      <c r="EB118" s="409"/>
      <c r="EC118" s="409"/>
      <c r="ED118" s="409"/>
      <c r="EE118" s="409"/>
      <c r="EF118" s="409"/>
      <c r="EG118" s="409"/>
      <c r="EH118" s="409"/>
      <c r="EI118" s="409"/>
      <c r="EJ118" s="409"/>
      <c r="EK118" s="409"/>
      <c r="EL118" s="409"/>
      <c r="EM118" s="409"/>
      <c r="EN118" s="409"/>
      <c r="EO118" s="409"/>
      <c r="EP118" s="409"/>
      <c r="EQ118" s="409"/>
      <c r="ER118" s="409"/>
      <c r="ES118" s="409"/>
      <c r="ET118" s="409"/>
      <c r="EU118" s="409"/>
      <c r="EV118" s="409">
        <v>210</v>
      </c>
      <c r="EW118" s="409"/>
      <c r="EX118" s="409"/>
      <c r="EY118" s="409"/>
      <c r="EZ118" s="409"/>
      <c r="FA118" s="409">
        <v>0</v>
      </c>
      <c r="FB118" s="409"/>
      <c r="FC118" s="409"/>
      <c r="FD118" s="409"/>
      <c r="FE118" s="409"/>
      <c r="FF118" s="409">
        <v>0</v>
      </c>
      <c r="FG118" s="409">
        <v>0</v>
      </c>
      <c r="FH118" s="409">
        <v>0</v>
      </c>
      <c r="FI118" s="409">
        <v>0</v>
      </c>
    </row>
    <row r="119" spans="1:165" s="877" customFormat="1">
      <c r="A119" s="409">
        <v>117</v>
      </c>
      <c r="B119" s="409" t="s">
        <v>1035</v>
      </c>
      <c r="C119" s="409" t="s">
        <v>2241</v>
      </c>
      <c r="D119" s="409" t="s">
        <v>2247</v>
      </c>
      <c r="E119" s="409" t="s">
        <v>973</v>
      </c>
      <c r="F119" s="409" t="s">
        <v>2254</v>
      </c>
      <c r="G119" s="409" t="s">
        <v>2255</v>
      </c>
      <c r="H119" s="409" t="s">
        <v>1323</v>
      </c>
      <c r="I119" s="409" t="s">
        <v>1323</v>
      </c>
      <c r="J119" s="409" t="s">
        <v>2242</v>
      </c>
      <c r="K119" s="838">
        <v>44409</v>
      </c>
      <c r="L119" s="409">
        <v>0</v>
      </c>
      <c r="M119" s="409">
        <v>0</v>
      </c>
      <c r="N119" s="409">
        <v>27.564</v>
      </c>
      <c r="O119" s="409">
        <v>27.564</v>
      </c>
      <c r="P119" s="409">
        <v>27.564</v>
      </c>
      <c r="Q119" s="409">
        <v>27.564</v>
      </c>
      <c r="R119" s="409"/>
      <c r="S119" s="409">
        <v>358.62</v>
      </c>
      <c r="T119" s="409">
        <v>273.74</v>
      </c>
      <c r="U119" s="409"/>
      <c r="V119" s="409">
        <v>17430.371039999998</v>
      </c>
      <c r="W119" s="409">
        <v>17430.371039999998</v>
      </c>
      <c r="X119" s="409">
        <v>16900.590959999998</v>
      </c>
      <c r="Y119" s="409">
        <v>0</v>
      </c>
      <c r="Z119" s="409">
        <v>1664.1602975827009</v>
      </c>
      <c r="AA119" s="409">
        <v>0</v>
      </c>
      <c r="AB119" s="409">
        <v>0</v>
      </c>
      <c r="AC119" s="409">
        <v>0</v>
      </c>
      <c r="AD119" s="409">
        <v>2372.9439018440144</v>
      </c>
      <c r="AE119" s="409">
        <v>5459.8548494911129</v>
      </c>
      <c r="AF119" s="409">
        <v>7545.3489540881856</v>
      </c>
      <c r="AG119" s="409">
        <v>0</v>
      </c>
      <c r="AH119" s="409">
        <v>0</v>
      </c>
      <c r="AI119" s="409">
        <v>0</v>
      </c>
      <c r="AJ119" s="409">
        <v>0</v>
      </c>
      <c r="AK119" s="409">
        <v>0</v>
      </c>
      <c r="AL119" s="409">
        <v>257.35263226441879</v>
      </c>
      <c r="AM119" s="409"/>
      <c r="AN119" s="409">
        <v>29.358178554673533</v>
      </c>
      <c r="AO119" s="409">
        <v>0</v>
      </c>
      <c r="AP119" s="409">
        <v>0</v>
      </c>
      <c r="AQ119" s="409">
        <v>0</v>
      </c>
      <c r="AR119" s="409">
        <v>0</v>
      </c>
      <c r="AS119" s="409">
        <v>0</v>
      </c>
      <c r="AT119" s="409">
        <v>0</v>
      </c>
      <c r="AU119" s="409">
        <v>0</v>
      </c>
      <c r="AV119" s="409">
        <v>0</v>
      </c>
      <c r="AW119" s="409">
        <v>0</v>
      </c>
      <c r="AX119" s="409">
        <v>0</v>
      </c>
      <c r="AY119" s="409">
        <v>0</v>
      </c>
      <c r="AZ119" s="409">
        <v>0</v>
      </c>
      <c r="BA119" s="409"/>
      <c r="BB119" s="409">
        <v>0</v>
      </c>
      <c r="BC119" s="409">
        <v>0</v>
      </c>
      <c r="BD119" s="409">
        <v>0</v>
      </c>
      <c r="BE119" s="409">
        <v>0</v>
      </c>
      <c r="BF119" s="409">
        <v>0</v>
      </c>
      <c r="BG119" s="409">
        <v>101.39214082736989</v>
      </c>
      <c r="BH119" s="409">
        <v>0</v>
      </c>
      <c r="BI119" s="409">
        <v>0</v>
      </c>
      <c r="BJ119" s="409">
        <v>0</v>
      </c>
      <c r="BK119" s="409">
        <v>0</v>
      </c>
      <c r="BL119" s="409">
        <v>0</v>
      </c>
      <c r="BM119" s="409"/>
      <c r="BN119" s="409"/>
      <c r="BO119" s="409"/>
      <c r="BP119" s="409"/>
      <c r="BQ119" s="409"/>
      <c r="BR119" s="409">
        <v>2366.0937600000002</v>
      </c>
      <c r="BS119" s="409"/>
      <c r="BT119" s="409"/>
      <c r="BU119" s="409"/>
      <c r="BV119" s="409">
        <v>7646.7410949155555</v>
      </c>
      <c r="BW119" s="409"/>
      <c r="BX119" s="409"/>
      <c r="BY119" s="409"/>
      <c r="BZ119" s="409"/>
      <c r="CA119" s="409"/>
      <c r="CB119" s="409"/>
      <c r="CC119" s="409"/>
      <c r="CD119" s="409"/>
      <c r="CE119" s="409"/>
      <c r="CF119" s="409"/>
      <c r="CG119" s="409"/>
      <c r="CH119" s="409"/>
      <c r="CI119" s="409">
        <v>14532.387999999999</v>
      </c>
      <c r="CJ119" s="409">
        <v>-458.04776000000129</v>
      </c>
      <c r="CK119" s="409"/>
      <c r="CL119" s="409"/>
      <c r="CM119" s="409"/>
      <c r="CN119" s="409"/>
      <c r="CO119" s="409">
        <v>-888.11208000000079</v>
      </c>
      <c r="CP119" s="409">
        <v>358.33199999999999</v>
      </c>
      <c r="CQ119" s="409">
        <v>31</v>
      </c>
      <c r="CR119" s="409">
        <v>337.98646675254713</v>
      </c>
      <c r="CS119" s="409">
        <v>0</v>
      </c>
      <c r="CT119" s="409">
        <v>0</v>
      </c>
      <c r="CU119" s="409">
        <v>0</v>
      </c>
      <c r="CV119" s="409">
        <v>0</v>
      </c>
      <c r="CW119" s="409">
        <v>0</v>
      </c>
      <c r="CX119" s="409">
        <v>0</v>
      </c>
      <c r="CY119" s="409">
        <v>0</v>
      </c>
      <c r="CZ119" s="409">
        <v>81.340820155508027</v>
      </c>
      <c r="DA119" s="409">
        <v>0</v>
      </c>
      <c r="DB119" s="409">
        <v>0</v>
      </c>
      <c r="DC119" s="409">
        <v>406.46583898986319</v>
      </c>
      <c r="DD119" s="409">
        <v>0</v>
      </c>
      <c r="DE119" s="409">
        <v>0</v>
      </c>
      <c r="DF119" s="409">
        <v>0</v>
      </c>
      <c r="DG119" s="409">
        <v>5.4619662840175636</v>
      </c>
      <c r="DH119" s="409">
        <v>0</v>
      </c>
      <c r="DI119" s="409">
        <v>-106.07569937507537</v>
      </c>
      <c r="DJ119" s="409"/>
      <c r="DK119" s="409">
        <v>0</v>
      </c>
      <c r="DL119" s="409">
        <v>0</v>
      </c>
      <c r="DM119" s="409">
        <v>0</v>
      </c>
      <c r="DN119" s="409">
        <v>0</v>
      </c>
      <c r="DO119" s="409">
        <v>-13.493461140311155</v>
      </c>
      <c r="DP119" s="409">
        <v>-1.937035606821194</v>
      </c>
      <c r="DQ119" s="409">
        <v>0</v>
      </c>
      <c r="DR119" s="409">
        <v>-33.775962554632926</v>
      </c>
      <c r="DS119" s="409"/>
      <c r="DT119" s="409"/>
      <c r="DU119" s="409"/>
      <c r="DV119" s="409">
        <v>5459.8548494911129</v>
      </c>
      <c r="DW119" s="409">
        <v>0</v>
      </c>
      <c r="DX119" s="409">
        <v>0</v>
      </c>
      <c r="DY119" s="409">
        <v>-888.11208000000079</v>
      </c>
      <c r="DZ119" s="409">
        <v>358.33199999999943</v>
      </c>
      <c r="EA119" s="409">
        <v>0</v>
      </c>
      <c r="EB119" s="409">
        <v>0</v>
      </c>
      <c r="EC119" s="409">
        <v>-867.86020807386831</v>
      </c>
      <c r="ED119" s="409">
        <v>0</v>
      </c>
      <c r="EE119" s="409">
        <v>0</v>
      </c>
      <c r="EF119" s="409">
        <v>0</v>
      </c>
      <c r="EG119" s="409">
        <v>0</v>
      </c>
      <c r="EH119" s="409">
        <v>0</v>
      </c>
      <c r="EI119" s="409">
        <v>0</v>
      </c>
      <c r="EJ119" s="409">
        <v>0</v>
      </c>
      <c r="EK119" s="409">
        <v>0</v>
      </c>
      <c r="EL119" s="409">
        <v>0</v>
      </c>
      <c r="EM119" s="409">
        <v>0</v>
      </c>
      <c r="EN119" s="409">
        <v>0</v>
      </c>
      <c r="EO119" s="409">
        <v>0</v>
      </c>
      <c r="EP119" s="409">
        <v>0</v>
      </c>
      <c r="EQ119" s="409">
        <v>0</v>
      </c>
      <c r="ER119" s="409">
        <v>0</v>
      </c>
      <c r="ES119" s="409">
        <v>0</v>
      </c>
      <c r="ET119" s="409">
        <v>0</v>
      </c>
      <c r="EU119" s="409">
        <v>0</v>
      </c>
      <c r="EV119" s="409">
        <v>210</v>
      </c>
      <c r="EW119" s="409">
        <v>0</v>
      </c>
      <c r="EX119" s="409">
        <v>0</v>
      </c>
      <c r="EY119" s="409">
        <v>0</v>
      </c>
      <c r="EZ119" s="409"/>
      <c r="FA119" s="409">
        <v>0</v>
      </c>
      <c r="FB119" s="409"/>
      <c r="FC119" s="409"/>
      <c r="FD119" s="409"/>
      <c r="FE119" s="409"/>
      <c r="FF119" s="409">
        <v>0</v>
      </c>
      <c r="FG119" s="409">
        <v>0</v>
      </c>
      <c r="FH119" s="409">
        <v>0</v>
      </c>
      <c r="FI119" s="409">
        <v>0</v>
      </c>
    </row>
    <row r="120" spans="1:165" s="877" customFormat="1">
      <c r="A120" s="409">
        <v>118</v>
      </c>
      <c r="B120" s="409" t="s">
        <v>1035</v>
      </c>
      <c r="C120" s="409" t="s">
        <v>2241</v>
      </c>
      <c r="D120" s="409" t="s">
        <v>2247</v>
      </c>
      <c r="E120" s="409" t="s">
        <v>973</v>
      </c>
      <c r="F120" s="409" t="s">
        <v>2254</v>
      </c>
      <c r="G120" s="409" t="s">
        <v>2256</v>
      </c>
      <c r="H120" s="409" t="s">
        <v>1323</v>
      </c>
      <c r="I120" s="409" t="s">
        <v>1323</v>
      </c>
      <c r="J120" s="409" t="s">
        <v>2242</v>
      </c>
      <c r="K120" s="838">
        <v>44409</v>
      </c>
      <c r="L120" s="409">
        <v>0</v>
      </c>
      <c r="M120" s="409">
        <v>0</v>
      </c>
      <c r="N120" s="409">
        <v>35.982999999999997</v>
      </c>
      <c r="O120" s="409">
        <v>14.3932</v>
      </c>
      <c r="P120" s="409">
        <v>35.982999999999997</v>
      </c>
      <c r="Q120" s="409">
        <v>14.3932</v>
      </c>
      <c r="R120" s="409"/>
      <c r="S120" s="409">
        <v>358.62</v>
      </c>
      <c r="T120" s="409">
        <v>273.74</v>
      </c>
      <c r="U120" s="409"/>
      <c r="V120" s="409">
        <v>22754.209879999999</v>
      </c>
      <c r="W120" s="409">
        <v>22754.209879999999</v>
      </c>
      <c r="X120" s="409">
        <v>22062.616619999997</v>
      </c>
      <c r="Y120" s="409">
        <v>0</v>
      </c>
      <c r="Z120" s="409">
        <v>2172.4524738034511</v>
      </c>
      <c r="AA120" s="409">
        <v>0</v>
      </c>
      <c r="AB120" s="409">
        <v>0</v>
      </c>
      <c r="AC120" s="409">
        <v>0</v>
      </c>
      <c r="AD120" s="409">
        <v>3097.723132348468</v>
      </c>
      <c r="AE120" s="409">
        <v>7127.4835673065854</v>
      </c>
      <c r="AF120" s="409">
        <v>9849.9597814161643</v>
      </c>
      <c r="AG120" s="409">
        <v>0</v>
      </c>
      <c r="AH120" s="409">
        <v>0</v>
      </c>
      <c r="AI120" s="409">
        <v>0</v>
      </c>
      <c r="AJ120" s="409">
        <v>0</v>
      </c>
      <c r="AK120" s="409">
        <v>0</v>
      </c>
      <c r="AL120" s="409">
        <v>335.95703696018654</v>
      </c>
      <c r="AM120" s="409"/>
      <c r="AN120" s="409">
        <v>38.325182808475461</v>
      </c>
      <c r="AO120" s="409">
        <v>0</v>
      </c>
      <c r="AP120" s="409">
        <v>0</v>
      </c>
      <c r="AQ120" s="409">
        <v>0</v>
      </c>
      <c r="AR120" s="409">
        <v>0</v>
      </c>
      <c r="AS120" s="409">
        <v>0</v>
      </c>
      <c r="AT120" s="409">
        <v>0</v>
      </c>
      <c r="AU120" s="409">
        <v>0</v>
      </c>
      <c r="AV120" s="409">
        <v>0</v>
      </c>
      <c r="AW120" s="409">
        <v>0</v>
      </c>
      <c r="AX120" s="409">
        <v>0</v>
      </c>
      <c r="AY120" s="409">
        <v>0</v>
      </c>
      <c r="AZ120" s="409">
        <v>0</v>
      </c>
      <c r="BA120" s="409"/>
      <c r="BB120" s="409">
        <v>0</v>
      </c>
      <c r="BC120" s="409">
        <v>0</v>
      </c>
      <c r="BD120" s="409">
        <v>0</v>
      </c>
      <c r="BE120" s="409">
        <v>0</v>
      </c>
      <c r="BF120" s="409">
        <v>0</v>
      </c>
      <c r="BG120" s="409">
        <v>132.36081132605031</v>
      </c>
      <c r="BH120" s="409">
        <v>0</v>
      </c>
      <c r="BI120" s="409">
        <v>0</v>
      </c>
      <c r="BJ120" s="409">
        <v>0</v>
      </c>
      <c r="BK120" s="409">
        <v>0</v>
      </c>
      <c r="BL120" s="409">
        <v>0</v>
      </c>
      <c r="BM120" s="409"/>
      <c r="BN120" s="409"/>
      <c r="BO120" s="409"/>
      <c r="BP120" s="409"/>
      <c r="BQ120" s="409"/>
      <c r="BR120" s="409"/>
      <c r="BS120" s="409">
        <v>14473.082259999997</v>
      </c>
      <c r="BT120" s="409"/>
      <c r="BU120" s="409"/>
      <c r="BV120" s="409">
        <v>9982.320592742215</v>
      </c>
      <c r="BW120" s="409"/>
      <c r="BX120" s="409"/>
      <c r="BY120" s="409"/>
      <c r="BZ120" s="409"/>
      <c r="CA120" s="409"/>
      <c r="CB120" s="409"/>
      <c r="CC120" s="409"/>
      <c r="CD120" s="409"/>
      <c r="CE120" s="409"/>
      <c r="CF120" s="409"/>
      <c r="CG120" s="409"/>
      <c r="CH120" s="409"/>
      <c r="CI120" s="409">
        <v>7587.8469999999998</v>
      </c>
      <c r="CJ120" s="409">
        <v>-239.78088800000114</v>
      </c>
      <c r="CK120" s="409"/>
      <c r="CL120" s="409"/>
      <c r="CM120" s="409"/>
      <c r="CN120" s="409"/>
      <c r="CO120" s="409">
        <v>-1159.3722600000008</v>
      </c>
      <c r="CP120" s="409">
        <v>467.77899999999994</v>
      </c>
      <c r="CQ120" s="409">
        <v>31</v>
      </c>
      <c r="CR120" s="409">
        <v>441.2192364372695</v>
      </c>
      <c r="CS120" s="409">
        <v>0</v>
      </c>
      <c r="CT120" s="409">
        <v>0</v>
      </c>
      <c r="CU120" s="409">
        <v>0</v>
      </c>
      <c r="CV120" s="409">
        <v>0</v>
      </c>
      <c r="CW120" s="409">
        <v>0</v>
      </c>
      <c r="CX120" s="409">
        <v>0</v>
      </c>
      <c r="CY120" s="409">
        <v>0</v>
      </c>
      <c r="CZ120" s="409">
        <v>106.18512304656906</v>
      </c>
      <c r="DA120" s="409">
        <v>0</v>
      </c>
      <c r="DB120" s="409">
        <v>0</v>
      </c>
      <c r="DC120" s="409">
        <v>530.61458004543056</v>
      </c>
      <c r="DD120" s="409">
        <v>0</v>
      </c>
      <c r="DE120" s="409">
        <v>0</v>
      </c>
      <c r="DF120" s="409">
        <v>0</v>
      </c>
      <c r="DG120" s="409">
        <v>7.1302399070455351</v>
      </c>
      <c r="DH120" s="409">
        <v>0</v>
      </c>
      <c r="DI120" s="409">
        <v>-138.47489082184507</v>
      </c>
      <c r="DJ120" s="409"/>
      <c r="DK120" s="409">
        <v>0</v>
      </c>
      <c r="DL120" s="409">
        <v>0</v>
      </c>
      <c r="DM120" s="409">
        <v>0</v>
      </c>
      <c r="DN120" s="409">
        <v>0</v>
      </c>
      <c r="DO120" s="409">
        <v>-17.61483138194086</v>
      </c>
      <c r="DP120" s="409">
        <v>-2.5286733507563142</v>
      </c>
      <c r="DQ120" s="409">
        <v>0</v>
      </c>
      <c r="DR120" s="409">
        <v>-44.092311007232496</v>
      </c>
      <c r="DS120" s="409"/>
      <c r="DT120" s="409"/>
      <c r="DU120" s="409"/>
      <c r="DV120" s="409">
        <v>7127.4835673065854</v>
      </c>
      <c r="DW120" s="409">
        <v>0</v>
      </c>
      <c r="DX120" s="409">
        <v>0</v>
      </c>
      <c r="DY120" s="409">
        <v>-1159.3722600000019</v>
      </c>
      <c r="DZ120" s="409">
        <v>467.77900000000045</v>
      </c>
      <c r="EA120" s="409">
        <v>0</v>
      </c>
      <c r="EB120" s="409">
        <v>0</v>
      </c>
      <c r="EC120" s="409">
        <v>-1132.9347651691351</v>
      </c>
      <c r="ED120" s="409">
        <v>0</v>
      </c>
      <c r="EE120" s="409">
        <v>0</v>
      </c>
      <c r="EF120" s="409">
        <v>0</v>
      </c>
      <c r="EG120" s="409">
        <v>0</v>
      </c>
      <c r="EH120" s="409">
        <v>0</v>
      </c>
      <c r="EI120" s="409">
        <v>0</v>
      </c>
      <c r="EJ120" s="409">
        <v>0</v>
      </c>
      <c r="EK120" s="409">
        <v>0</v>
      </c>
      <c r="EL120" s="409">
        <v>0</v>
      </c>
      <c r="EM120" s="409">
        <v>0</v>
      </c>
      <c r="EN120" s="409">
        <v>0</v>
      </c>
      <c r="EO120" s="409">
        <v>0</v>
      </c>
      <c r="EP120" s="409">
        <v>0</v>
      </c>
      <c r="EQ120" s="409">
        <v>0</v>
      </c>
      <c r="ER120" s="409">
        <v>0</v>
      </c>
      <c r="ES120" s="409">
        <v>0</v>
      </c>
      <c r="ET120" s="409">
        <v>0</v>
      </c>
      <c r="EU120" s="409">
        <v>0</v>
      </c>
      <c r="EV120" s="409">
        <v>210</v>
      </c>
      <c r="EW120" s="409">
        <v>0</v>
      </c>
      <c r="EX120" s="409">
        <v>0</v>
      </c>
      <c r="EY120" s="409">
        <v>0</v>
      </c>
      <c r="EZ120" s="409"/>
      <c r="FA120" s="409">
        <v>0</v>
      </c>
      <c r="FB120" s="409"/>
      <c r="FC120" s="409"/>
      <c r="FD120" s="409"/>
      <c r="FE120" s="409"/>
      <c r="FF120" s="409">
        <v>0</v>
      </c>
      <c r="FG120" s="409">
        <v>0</v>
      </c>
      <c r="FH120" s="409">
        <v>0</v>
      </c>
      <c r="FI120" s="409">
        <v>0</v>
      </c>
    </row>
    <row r="121" spans="1:165" s="877" customFormat="1">
      <c r="A121" s="409">
        <v>119</v>
      </c>
      <c r="B121" s="409" t="s">
        <v>1035</v>
      </c>
      <c r="C121" s="409" t="s">
        <v>2241</v>
      </c>
      <c r="D121" s="409" t="s">
        <v>1989</v>
      </c>
      <c r="E121" s="409" t="s">
        <v>968</v>
      </c>
      <c r="F121" s="409" t="s">
        <v>968</v>
      </c>
      <c r="G121" s="409" t="s">
        <v>1323</v>
      </c>
      <c r="H121" s="409" t="s">
        <v>1323</v>
      </c>
      <c r="I121" s="409" t="s">
        <v>1323</v>
      </c>
      <c r="J121" s="409" t="s">
        <v>2242</v>
      </c>
      <c r="K121" s="838">
        <v>44440</v>
      </c>
      <c r="L121" s="409">
        <v>0</v>
      </c>
      <c r="M121" s="409">
        <v>0</v>
      </c>
      <c r="N121" s="409">
        <v>79.066000000000003</v>
      </c>
      <c r="O121" s="409">
        <v>79.066000000000003</v>
      </c>
      <c r="P121" s="409">
        <v>79.066000000000003</v>
      </c>
      <c r="Q121" s="409">
        <v>79.066000000000003</v>
      </c>
      <c r="R121" s="409"/>
      <c r="S121" s="409">
        <v>358.62</v>
      </c>
      <c r="T121" s="409">
        <v>273.74</v>
      </c>
      <c r="U121" s="409"/>
      <c r="V121" s="409">
        <v>49998.175759999998</v>
      </c>
      <c r="W121" s="409">
        <v>49998.175759999998</v>
      </c>
      <c r="X121" s="409">
        <v>48478.527240000003</v>
      </c>
      <c r="Y121" s="409">
        <v>0</v>
      </c>
      <c r="Z121" s="409">
        <v>4773.5632741501176</v>
      </c>
      <c r="AA121" s="409">
        <v>0</v>
      </c>
      <c r="AB121" s="409">
        <v>0</v>
      </c>
      <c r="AC121" s="409">
        <v>0</v>
      </c>
      <c r="AD121" s="409">
        <v>6806.6747403569461</v>
      </c>
      <c r="AE121" s="409">
        <v>15661.329398123073</v>
      </c>
      <c r="AF121" s="409">
        <v>21643.468306629537</v>
      </c>
      <c r="AG121" s="409">
        <v>0</v>
      </c>
      <c r="AH121" s="409">
        <v>0</v>
      </c>
      <c r="AI121" s="409">
        <v>0</v>
      </c>
      <c r="AJ121" s="409">
        <v>0</v>
      </c>
      <c r="AK121" s="409">
        <v>0</v>
      </c>
      <c r="AL121" s="409">
        <v>738.20357069433089</v>
      </c>
      <c r="AM121" s="409"/>
      <c r="AN121" s="409">
        <v>84.212514352191903</v>
      </c>
      <c r="AO121" s="409">
        <v>0</v>
      </c>
      <c r="AP121" s="409">
        <v>0</v>
      </c>
      <c r="AQ121" s="409">
        <v>0</v>
      </c>
      <c r="AR121" s="409">
        <v>0</v>
      </c>
      <c r="AS121" s="409">
        <v>0</v>
      </c>
      <c r="AT121" s="409">
        <v>0</v>
      </c>
      <c r="AU121" s="409">
        <v>0</v>
      </c>
      <c r="AV121" s="409">
        <v>0</v>
      </c>
      <c r="AW121" s="409">
        <v>0</v>
      </c>
      <c r="AX121" s="409">
        <v>0</v>
      </c>
      <c r="AY121" s="409">
        <v>0</v>
      </c>
      <c r="AZ121" s="409">
        <v>0</v>
      </c>
      <c r="BA121" s="409"/>
      <c r="BB121" s="409">
        <v>0</v>
      </c>
      <c r="BC121" s="409">
        <v>0</v>
      </c>
      <c r="BD121" s="409">
        <v>0</v>
      </c>
      <c r="BE121" s="409">
        <v>0</v>
      </c>
      <c r="BF121" s="409">
        <v>0</v>
      </c>
      <c r="BG121" s="409">
        <v>290.83844894270891</v>
      </c>
      <c r="BH121" s="409">
        <v>0</v>
      </c>
      <c r="BI121" s="409">
        <v>426.36</v>
      </c>
      <c r="BJ121" s="409">
        <v>1989.42</v>
      </c>
      <c r="BK121" s="409">
        <v>9550.15</v>
      </c>
      <c r="BL121" s="409">
        <v>730</v>
      </c>
      <c r="BM121" s="409"/>
      <c r="BN121" s="409"/>
      <c r="BO121" s="409"/>
      <c r="BP121" s="409"/>
      <c r="BQ121" s="409"/>
      <c r="BR121" s="409"/>
      <c r="BS121" s="409"/>
      <c r="BT121" s="409"/>
      <c r="BU121" s="409"/>
      <c r="BV121" s="409">
        <v>21934.306755572245</v>
      </c>
      <c r="BW121" s="409"/>
      <c r="BX121" s="409"/>
      <c r="BY121" s="409"/>
      <c r="BZ121" s="409"/>
      <c r="CA121" s="409"/>
      <c r="CB121" s="409"/>
      <c r="CC121" s="409"/>
      <c r="CD121" s="409"/>
      <c r="CE121" s="409"/>
      <c r="CF121" s="409"/>
      <c r="CG121" s="409"/>
      <c r="CH121" s="409"/>
      <c r="CI121" s="409">
        <v>48480.979799999994</v>
      </c>
      <c r="CJ121" s="409">
        <v>-1517.2259600000107</v>
      </c>
      <c r="CK121" s="409"/>
      <c r="CL121" s="409"/>
      <c r="CM121" s="409"/>
      <c r="CN121" s="409"/>
      <c r="CO121" s="409">
        <v>-2547.5065200000022</v>
      </c>
      <c r="CP121" s="409">
        <v>1027.8579999999999</v>
      </c>
      <c r="CQ121" s="409">
        <v>30</v>
      </c>
      <c r="CR121" s="409">
        <v>969.49782253145531</v>
      </c>
      <c r="CS121" s="409">
        <v>0</v>
      </c>
      <c r="CT121" s="409">
        <v>0</v>
      </c>
      <c r="CU121" s="409">
        <v>0</v>
      </c>
      <c r="CV121" s="409">
        <v>0</v>
      </c>
      <c r="CW121" s="409">
        <v>0</v>
      </c>
      <c r="CX121" s="409">
        <v>0</v>
      </c>
      <c r="CY121" s="409">
        <v>0</v>
      </c>
      <c r="CZ121" s="409">
        <v>233.32220600839446</v>
      </c>
      <c r="DA121" s="409">
        <v>0</v>
      </c>
      <c r="DB121" s="409">
        <v>0</v>
      </c>
      <c r="DC121" s="409">
        <v>1165.9275876350475</v>
      </c>
      <c r="DD121" s="409">
        <v>0</v>
      </c>
      <c r="DE121" s="409">
        <v>0</v>
      </c>
      <c r="DF121" s="409">
        <v>0</v>
      </c>
      <c r="DG121" s="409">
        <v>15.667385945876219</v>
      </c>
      <c r="DH121" s="409">
        <v>0</v>
      </c>
      <c r="DI121" s="409">
        <v>-304.27300996915255</v>
      </c>
      <c r="DJ121" s="409"/>
      <c r="DK121" s="409">
        <v>0</v>
      </c>
      <c r="DL121" s="409">
        <v>0</v>
      </c>
      <c r="DM121" s="409">
        <v>0</v>
      </c>
      <c r="DN121" s="409">
        <v>0</v>
      </c>
      <c r="DO121" s="409">
        <v>-38.7053402452417</v>
      </c>
      <c r="DP121" s="409">
        <v>-5.5562928925019861</v>
      </c>
      <c r="DQ121" s="409">
        <v>0</v>
      </c>
      <c r="DR121" s="409">
        <v>-96.884713950972539</v>
      </c>
      <c r="DS121" s="409"/>
      <c r="DT121" s="409"/>
      <c r="DU121" s="409"/>
      <c r="DV121" s="409">
        <v>15661.329398123073</v>
      </c>
      <c r="DW121" s="409">
        <v>0</v>
      </c>
      <c r="DX121" s="409">
        <v>0</v>
      </c>
      <c r="DY121" s="409">
        <v>-2547.506519999999</v>
      </c>
      <c r="DZ121" s="409">
        <v>1027.8580000000002</v>
      </c>
      <c r="EA121" s="409">
        <v>0</v>
      </c>
      <c r="EB121" s="409">
        <v>0</v>
      </c>
      <c r="EC121" s="409">
        <v>-2489.4150054987858</v>
      </c>
      <c r="ED121" s="409">
        <v>0</v>
      </c>
      <c r="EE121" s="409">
        <v>0</v>
      </c>
      <c r="EF121" s="409">
        <v>0</v>
      </c>
      <c r="EG121" s="409">
        <v>0</v>
      </c>
      <c r="EH121" s="409">
        <v>0</v>
      </c>
      <c r="EI121" s="409">
        <v>0</v>
      </c>
      <c r="EJ121" s="409">
        <v>0</v>
      </c>
      <c r="EK121" s="409">
        <v>0</v>
      </c>
      <c r="EL121" s="409">
        <v>0</v>
      </c>
      <c r="EM121" s="409">
        <v>0</v>
      </c>
      <c r="EN121" s="409">
        <v>0</v>
      </c>
      <c r="EO121" s="409">
        <v>0</v>
      </c>
      <c r="EP121" s="409">
        <v>0</v>
      </c>
      <c r="EQ121" s="409">
        <v>0</v>
      </c>
      <c r="ER121" s="409">
        <v>0</v>
      </c>
      <c r="ES121" s="409">
        <v>0</v>
      </c>
      <c r="ET121" s="409">
        <v>0</v>
      </c>
      <c r="EU121" s="409">
        <v>0</v>
      </c>
      <c r="EV121" s="409">
        <v>210</v>
      </c>
      <c r="EW121" s="409">
        <v>0</v>
      </c>
      <c r="EX121" s="409">
        <v>0</v>
      </c>
      <c r="EY121" s="409">
        <v>0</v>
      </c>
      <c r="EZ121" s="409"/>
      <c r="FA121" s="409">
        <v>0</v>
      </c>
      <c r="FB121" s="409"/>
      <c r="FC121" s="409"/>
      <c r="FD121" s="409"/>
      <c r="FE121" s="409"/>
      <c r="FF121" s="409">
        <v>0</v>
      </c>
      <c r="FG121" s="409">
        <v>0</v>
      </c>
      <c r="FH121" s="409">
        <v>0</v>
      </c>
      <c r="FI121" s="409">
        <v>0</v>
      </c>
    </row>
    <row r="122" spans="1:165" s="877" customFormat="1">
      <c r="A122" s="409">
        <v>120</v>
      </c>
      <c r="B122" s="409" t="s">
        <v>2240</v>
      </c>
      <c r="C122" s="409" t="s">
        <v>2241</v>
      </c>
      <c r="D122" s="409" t="s">
        <v>1989</v>
      </c>
      <c r="E122" s="409" t="s">
        <v>968</v>
      </c>
      <c r="F122" s="409" t="s">
        <v>968</v>
      </c>
      <c r="G122" s="409" t="s">
        <v>1323</v>
      </c>
      <c r="H122" s="409" t="s">
        <v>1323</v>
      </c>
      <c r="I122" s="409" t="s">
        <v>1323</v>
      </c>
      <c r="J122" s="409" t="s">
        <v>2242</v>
      </c>
      <c r="K122" s="838">
        <v>44440</v>
      </c>
      <c r="L122" s="409">
        <v>0</v>
      </c>
      <c r="M122" s="409">
        <v>0</v>
      </c>
      <c r="N122" s="409">
        <v>0.2</v>
      </c>
      <c r="O122" s="409">
        <v>0.2</v>
      </c>
      <c r="P122" s="409">
        <v>0.2</v>
      </c>
      <c r="Q122" s="409">
        <v>0.2</v>
      </c>
      <c r="R122" s="409"/>
      <c r="S122" s="409">
        <v>358.62</v>
      </c>
      <c r="T122" s="409">
        <v>273.74</v>
      </c>
      <c r="U122" s="409"/>
      <c r="V122" s="409">
        <v>126.47200000000001</v>
      </c>
      <c r="W122" s="409">
        <v>126.47200000000001</v>
      </c>
      <c r="X122" s="409">
        <v>122.62800000000001</v>
      </c>
      <c r="Y122" s="409">
        <v>0</v>
      </c>
      <c r="Z122" s="409">
        <v>12.07488243783704</v>
      </c>
      <c r="AA122" s="409">
        <v>0</v>
      </c>
      <c r="AB122" s="409">
        <v>0</v>
      </c>
      <c r="AC122" s="409">
        <v>0</v>
      </c>
      <c r="AD122" s="409">
        <v>17.217703539718581</v>
      </c>
      <c r="AE122" s="409">
        <v>39.615838408729601</v>
      </c>
      <c r="AF122" s="409">
        <v>54.747851937949399</v>
      </c>
      <c r="AG122" s="409">
        <v>0</v>
      </c>
      <c r="AH122" s="409">
        <v>0</v>
      </c>
      <c r="AI122" s="409">
        <v>0</v>
      </c>
      <c r="AJ122" s="409">
        <v>0</v>
      </c>
      <c r="AK122" s="409">
        <v>0</v>
      </c>
      <c r="AL122" s="409">
        <v>1.8673097682805022</v>
      </c>
      <c r="AM122" s="409"/>
      <c r="AN122" s="409">
        <v>0.21301827423214001</v>
      </c>
      <c r="AO122" s="409">
        <v>0</v>
      </c>
      <c r="AP122" s="409">
        <v>0</v>
      </c>
      <c r="AQ122" s="409">
        <v>0</v>
      </c>
      <c r="AR122" s="409">
        <v>0</v>
      </c>
      <c r="AS122" s="409">
        <v>0</v>
      </c>
      <c r="AT122" s="409">
        <v>0</v>
      </c>
      <c r="AU122" s="409">
        <v>0</v>
      </c>
      <c r="AV122" s="409">
        <v>0</v>
      </c>
      <c r="AW122" s="409">
        <v>0</v>
      </c>
      <c r="AX122" s="409">
        <v>0</v>
      </c>
      <c r="AY122" s="409">
        <v>0</v>
      </c>
      <c r="AZ122" s="409">
        <v>0</v>
      </c>
      <c r="BA122" s="409"/>
      <c r="BB122" s="409">
        <v>0</v>
      </c>
      <c r="BC122" s="409">
        <v>0</v>
      </c>
      <c r="BD122" s="409">
        <v>0</v>
      </c>
      <c r="BE122" s="409">
        <v>0</v>
      </c>
      <c r="BF122" s="409">
        <v>0</v>
      </c>
      <c r="BG122" s="409">
        <v>0.7356852476227681</v>
      </c>
      <c r="BH122" s="409">
        <v>0</v>
      </c>
      <c r="BI122" s="409">
        <v>1.1299999999999999</v>
      </c>
      <c r="BJ122" s="409">
        <v>5.27</v>
      </c>
      <c r="BK122" s="409">
        <v>78.95</v>
      </c>
      <c r="BL122" s="409">
        <v>3</v>
      </c>
      <c r="BM122" s="409"/>
      <c r="BN122" s="409"/>
      <c r="BO122" s="409"/>
      <c r="BP122" s="409"/>
      <c r="BQ122" s="409"/>
      <c r="BR122" s="409"/>
      <c r="BS122" s="409"/>
      <c r="BT122" s="409"/>
      <c r="BU122" s="409"/>
      <c r="BV122" s="409">
        <v>55.483537185572168</v>
      </c>
      <c r="BW122" s="409"/>
      <c r="BX122" s="409"/>
      <c r="BY122" s="409"/>
      <c r="BZ122" s="409"/>
      <c r="CA122" s="409"/>
      <c r="CB122" s="409"/>
      <c r="CC122" s="409"/>
      <c r="CD122" s="409"/>
      <c r="CE122" s="409"/>
      <c r="CF122" s="409"/>
      <c r="CG122" s="409"/>
      <c r="CH122" s="409"/>
      <c r="CI122" s="409">
        <v>122.62800000000001</v>
      </c>
      <c r="CJ122" s="409">
        <v>-3.8740000000000094</v>
      </c>
      <c r="CK122" s="409"/>
      <c r="CL122" s="409"/>
      <c r="CM122" s="409"/>
      <c r="CN122" s="409"/>
      <c r="CO122" s="409">
        <v>-6.4440000000000062</v>
      </c>
      <c r="CP122" s="409">
        <v>2.6</v>
      </c>
      <c r="CQ122" s="409">
        <v>30</v>
      </c>
      <c r="CR122" s="409">
        <v>2.4523760466735496</v>
      </c>
      <c r="CS122" s="409">
        <v>0</v>
      </c>
      <c r="CT122" s="409">
        <v>0</v>
      </c>
      <c r="CU122" s="409">
        <v>0</v>
      </c>
      <c r="CV122" s="409">
        <v>0</v>
      </c>
      <c r="CW122" s="409">
        <v>0</v>
      </c>
      <c r="CX122" s="409">
        <v>0</v>
      </c>
      <c r="CY122" s="409">
        <v>0</v>
      </c>
      <c r="CZ122" s="409">
        <v>0.59019605395086217</v>
      </c>
      <c r="DA122" s="409">
        <v>0</v>
      </c>
      <c r="DB122" s="409">
        <v>0</v>
      </c>
      <c r="DC122" s="409">
        <v>2.9492514801180008</v>
      </c>
      <c r="DD122" s="409">
        <v>0</v>
      </c>
      <c r="DE122" s="409">
        <v>0</v>
      </c>
      <c r="DF122" s="409">
        <v>0</v>
      </c>
      <c r="DG122" s="409">
        <v>3.9631158641833975E-2</v>
      </c>
      <c r="DH122" s="409">
        <v>0</v>
      </c>
      <c r="DI122" s="409">
        <v>-0.76966840353414057</v>
      </c>
      <c r="DJ122" s="409"/>
      <c r="DK122" s="409">
        <v>0</v>
      </c>
      <c r="DL122" s="409">
        <v>0</v>
      </c>
      <c r="DM122" s="409">
        <v>0</v>
      </c>
      <c r="DN122" s="409">
        <v>0</v>
      </c>
      <c r="DO122" s="409">
        <v>-9.7906407925635985E-2</v>
      </c>
      <c r="DP122" s="409">
        <v>-1.4054822281390184E-2</v>
      </c>
      <c r="DQ122" s="409">
        <v>0</v>
      </c>
      <c r="DR122" s="409">
        <v>-0.24507301229598702</v>
      </c>
      <c r="DS122" s="409"/>
      <c r="DT122" s="409"/>
      <c r="DU122" s="409"/>
      <c r="DV122" s="409">
        <v>39.615838408729601</v>
      </c>
      <c r="DW122" s="409">
        <v>0</v>
      </c>
      <c r="DX122" s="409">
        <v>0</v>
      </c>
      <c r="DY122" s="409">
        <v>-6.4440000000000026</v>
      </c>
      <c r="DZ122" s="409">
        <v>2.6000000000000014</v>
      </c>
      <c r="EA122" s="409">
        <v>0</v>
      </c>
      <c r="EB122" s="409">
        <v>0</v>
      </c>
      <c r="EC122" s="409">
        <v>-6.2970556383244016</v>
      </c>
      <c r="ED122" s="409">
        <v>0</v>
      </c>
      <c r="EE122" s="409">
        <v>0</v>
      </c>
      <c r="EF122" s="409">
        <v>0</v>
      </c>
      <c r="EG122" s="409">
        <v>0</v>
      </c>
      <c r="EH122" s="409">
        <v>0</v>
      </c>
      <c r="EI122" s="409">
        <v>0</v>
      </c>
      <c r="EJ122" s="409">
        <v>0</v>
      </c>
      <c r="EK122" s="409">
        <v>0</v>
      </c>
      <c r="EL122" s="409">
        <v>0</v>
      </c>
      <c r="EM122" s="409">
        <v>0</v>
      </c>
      <c r="EN122" s="409">
        <v>0</v>
      </c>
      <c r="EO122" s="409">
        <v>0</v>
      </c>
      <c r="EP122" s="409">
        <v>0</v>
      </c>
      <c r="EQ122" s="409">
        <v>0</v>
      </c>
      <c r="ER122" s="409">
        <v>0</v>
      </c>
      <c r="ES122" s="409">
        <v>0</v>
      </c>
      <c r="ET122" s="409">
        <v>0</v>
      </c>
      <c r="EU122" s="409">
        <v>0</v>
      </c>
      <c r="EV122" s="409">
        <v>210</v>
      </c>
      <c r="EW122" s="409">
        <v>0</v>
      </c>
      <c r="EX122" s="409">
        <v>0</v>
      </c>
      <c r="EY122" s="409">
        <v>0</v>
      </c>
      <c r="EZ122" s="409"/>
      <c r="FA122" s="409">
        <v>0</v>
      </c>
      <c r="FB122" s="409"/>
      <c r="FC122" s="409"/>
      <c r="FD122" s="409"/>
      <c r="FE122" s="409"/>
      <c r="FF122" s="409">
        <v>0</v>
      </c>
      <c r="FG122" s="409">
        <v>0</v>
      </c>
      <c r="FH122" s="409">
        <v>0</v>
      </c>
      <c r="FI122" s="409">
        <v>0</v>
      </c>
    </row>
    <row r="123" spans="1:165" s="877" customFormat="1">
      <c r="A123" s="409">
        <v>121</v>
      </c>
      <c r="B123" s="409" t="s">
        <v>1035</v>
      </c>
      <c r="C123" s="409" t="s">
        <v>2241</v>
      </c>
      <c r="D123" s="409" t="s">
        <v>1989</v>
      </c>
      <c r="E123" s="409" t="s">
        <v>968</v>
      </c>
      <c r="F123" s="409" t="s">
        <v>2243</v>
      </c>
      <c r="G123" s="409" t="s">
        <v>1323</v>
      </c>
      <c r="H123" s="409" t="s">
        <v>1323</v>
      </c>
      <c r="I123" s="409" t="s">
        <v>1323</v>
      </c>
      <c r="J123" s="409" t="s">
        <v>2242</v>
      </c>
      <c r="K123" s="838">
        <v>44440</v>
      </c>
      <c r="L123" s="409">
        <v>0</v>
      </c>
      <c r="M123" s="409">
        <v>0</v>
      </c>
      <c r="N123" s="409">
        <v>0.3</v>
      </c>
      <c r="O123" s="409">
        <v>0.3</v>
      </c>
      <c r="P123" s="409">
        <v>0.3</v>
      </c>
      <c r="Q123" s="409">
        <v>0.3</v>
      </c>
      <c r="R123" s="409"/>
      <c r="S123" s="409">
        <v>288.91000000000003</v>
      </c>
      <c r="T123" s="409">
        <v>273.74</v>
      </c>
      <c r="U123" s="409"/>
      <c r="V123" s="409">
        <v>168.79500000000002</v>
      </c>
      <c r="W123" s="409">
        <v>168.79500000000002</v>
      </c>
      <c r="X123" s="409">
        <v>164.298</v>
      </c>
      <c r="Y123" s="409">
        <v>0</v>
      </c>
      <c r="Z123" s="409">
        <v>0</v>
      </c>
      <c r="AA123" s="409">
        <v>0</v>
      </c>
      <c r="AB123" s="409">
        <v>0</v>
      </c>
      <c r="AC123" s="409">
        <v>0</v>
      </c>
      <c r="AD123" s="409">
        <v>25.826555309577866</v>
      </c>
      <c r="AE123" s="409">
        <v>59.423757613094395</v>
      </c>
      <c r="AF123" s="409">
        <v>82.121777906924095</v>
      </c>
      <c r="AG123" s="409">
        <v>0</v>
      </c>
      <c r="AH123" s="409">
        <v>0</v>
      </c>
      <c r="AI123" s="409">
        <v>0</v>
      </c>
      <c r="AJ123" s="409">
        <v>0</v>
      </c>
      <c r="AK123" s="409">
        <v>0</v>
      </c>
      <c r="AL123" s="409">
        <v>0</v>
      </c>
      <c r="AM123" s="409"/>
      <c r="AN123" s="409">
        <v>0.31952741134821</v>
      </c>
      <c r="AO123" s="409">
        <v>0</v>
      </c>
      <c r="AP123" s="409">
        <v>0</v>
      </c>
      <c r="AQ123" s="409">
        <v>0</v>
      </c>
      <c r="AR123" s="409">
        <v>0</v>
      </c>
      <c r="AS123" s="409">
        <v>0</v>
      </c>
      <c r="AT123" s="409">
        <v>0</v>
      </c>
      <c r="AU123" s="409">
        <v>0</v>
      </c>
      <c r="AV123" s="409">
        <v>0</v>
      </c>
      <c r="AW123" s="409">
        <v>0</v>
      </c>
      <c r="AX123" s="409">
        <v>0</v>
      </c>
      <c r="AY123" s="409">
        <v>0</v>
      </c>
      <c r="AZ123" s="409">
        <v>0</v>
      </c>
      <c r="BA123" s="409"/>
      <c r="BB123" s="409">
        <v>0</v>
      </c>
      <c r="BC123" s="409">
        <v>0</v>
      </c>
      <c r="BD123" s="409">
        <v>0</v>
      </c>
      <c r="BE123" s="409">
        <v>0</v>
      </c>
      <c r="BF123" s="409">
        <v>0</v>
      </c>
      <c r="BG123" s="409">
        <v>1.1035278714341521</v>
      </c>
      <c r="BH123" s="409">
        <v>0</v>
      </c>
      <c r="BI123" s="409">
        <v>0.41</v>
      </c>
      <c r="BJ123" s="409">
        <v>2.06</v>
      </c>
      <c r="BK123" s="409">
        <v>9.69</v>
      </c>
      <c r="BL123" s="409">
        <v>0</v>
      </c>
      <c r="BM123" s="409"/>
      <c r="BN123" s="409"/>
      <c r="BO123" s="409"/>
      <c r="BP123" s="409"/>
      <c r="BQ123" s="409"/>
      <c r="BR123" s="409"/>
      <c r="BS123" s="409"/>
      <c r="BT123" s="409">
        <v>106.794</v>
      </c>
      <c r="BU123" s="409"/>
      <c r="BV123" s="409">
        <v>83.225305778358248</v>
      </c>
      <c r="BW123" s="409"/>
      <c r="BX123" s="409"/>
      <c r="BY123" s="409"/>
      <c r="BZ123" s="409"/>
      <c r="CA123" s="409"/>
      <c r="CB123" s="409"/>
      <c r="CC123" s="409"/>
      <c r="CD123" s="409"/>
      <c r="CE123" s="409"/>
      <c r="CF123" s="409"/>
      <c r="CG123" s="409"/>
      <c r="CH123" s="409"/>
      <c r="CI123" s="409">
        <v>57.503999999999991</v>
      </c>
      <c r="CJ123" s="409">
        <v>-1.6050000000000111</v>
      </c>
      <c r="CK123" s="409"/>
      <c r="CL123" s="409"/>
      <c r="CM123" s="409"/>
      <c r="CN123" s="409"/>
      <c r="CO123" s="409">
        <v>-8.397000000000002</v>
      </c>
      <c r="CP123" s="409">
        <v>3.9</v>
      </c>
      <c r="CQ123" s="409">
        <v>30</v>
      </c>
      <c r="CR123" s="409">
        <v>4.9497422794861308</v>
      </c>
      <c r="CS123" s="409">
        <v>0</v>
      </c>
      <c r="CT123" s="409">
        <v>0</v>
      </c>
      <c r="CU123" s="409">
        <v>0</v>
      </c>
      <c r="CV123" s="409">
        <v>0</v>
      </c>
      <c r="CW123" s="409">
        <v>0</v>
      </c>
      <c r="CX123" s="409">
        <v>0</v>
      </c>
      <c r="CY123" s="409">
        <v>0</v>
      </c>
      <c r="CZ123" s="409">
        <v>0.88529408092629325</v>
      </c>
      <c r="DA123" s="409">
        <v>0</v>
      </c>
      <c r="DB123" s="409">
        <v>0</v>
      </c>
      <c r="DC123" s="409">
        <v>4.4238772201770047</v>
      </c>
      <c r="DD123" s="409">
        <v>0</v>
      </c>
      <c r="DE123" s="409">
        <v>0</v>
      </c>
      <c r="DF123" s="409">
        <v>0</v>
      </c>
      <c r="DG123" s="409">
        <v>5.9446737962750795E-2</v>
      </c>
      <c r="DH123" s="409">
        <v>0</v>
      </c>
      <c r="DI123" s="409">
        <v>0</v>
      </c>
      <c r="DJ123" s="409"/>
      <c r="DK123" s="409">
        <v>0</v>
      </c>
      <c r="DL123" s="409">
        <v>0</v>
      </c>
      <c r="DM123" s="409">
        <v>0</v>
      </c>
      <c r="DN123" s="409">
        <v>0</v>
      </c>
      <c r="DO123" s="409">
        <v>0</v>
      </c>
      <c r="DP123" s="409">
        <v>-2.1082233422085317E-2</v>
      </c>
      <c r="DQ123" s="409">
        <v>0</v>
      </c>
      <c r="DR123" s="409">
        <v>-0.39779352615783092</v>
      </c>
      <c r="DS123" s="409"/>
      <c r="DT123" s="409"/>
      <c r="DU123" s="409"/>
      <c r="DV123" s="409">
        <v>59.423757613094395</v>
      </c>
      <c r="DW123" s="409">
        <v>0</v>
      </c>
      <c r="DX123" s="409">
        <v>0</v>
      </c>
      <c r="DY123" s="409">
        <v>-8.3970000000000056</v>
      </c>
      <c r="DZ123" s="409">
        <v>3.9000000000000057</v>
      </c>
      <c r="EA123" s="409">
        <v>0</v>
      </c>
      <c r="EB123" s="409">
        <v>0</v>
      </c>
      <c r="EC123" s="409">
        <v>-9.4455834574865989</v>
      </c>
      <c r="ED123" s="409">
        <v>0</v>
      </c>
      <c r="EE123" s="409">
        <v>0</v>
      </c>
      <c r="EF123" s="409">
        <v>0</v>
      </c>
      <c r="EG123" s="409">
        <v>0</v>
      </c>
      <c r="EH123" s="409">
        <v>0</v>
      </c>
      <c r="EI123" s="409">
        <v>0</v>
      </c>
      <c r="EJ123" s="409">
        <v>0</v>
      </c>
      <c r="EK123" s="409">
        <v>0</v>
      </c>
      <c r="EL123" s="409">
        <v>0</v>
      </c>
      <c r="EM123" s="409">
        <v>0</v>
      </c>
      <c r="EN123" s="409">
        <v>0</v>
      </c>
      <c r="EO123" s="409">
        <v>0</v>
      </c>
      <c r="EP123" s="409">
        <v>0</v>
      </c>
      <c r="EQ123" s="409">
        <v>0</v>
      </c>
      <c r="ER123" s="409">
        <v>0</v>
      </c>
      <c r="ES123" s="409">
        <v>0</v>
      </c>
      <c r="ET123" s="409">
        <v>0</v>
      </c>
      <c r="EU123" s="409">
        <v>0</v>
      </c>
      <c r="EV123" s="409">
        <v>210</v>
      </c>
      <c r="EW123" s="409">
        <v>0</v>
      </c>
      <c r="EX123" s="409">
        <v>0</v>
      </c>
      <c r="EY123" s="409">
        <v>0</v>
      </c>
      <c r="EZ123" s="409"/>
      <c r="FA123" s="409">
        <v>0</v>
      </c>
      <c r="FB123" s="409"/>
      <c r="FC123" s="409"/>
      <c r="FD123" s="409"/>
      <c r="FE123" s="409"/>
      <c r="FF123" s="409">
        <v>0</v>
      </c>
      <c r="FG123" s="409">
        <v>0</v>
      </c>
      <c r="FH123" s="409">
        <v>0</v>
      </c>
      <c r="FI123" s="409">
        <v>0</v>
      </c>
    </row>
    <row r="124" spans="1:165" s="877" customFormat="1">
      <c r="A124" s="409">
        <v>122</v>
      </c>
      <c r="B124" s="409" t="s">
        <v>1035</v>
      </c>
      <c r="C124" s="409" t="s">
        <v>2241</v>
      </c>
      <c r="D124" s="409" t="s">
        <v>1989</v>
      </c>
      <c r="E124" s="409" t="s">
        <v>968</v>
      </c>
      <c r="F124" s="409" t="s">
        <v>2244</v>
      </c>
      <c r="G124" s="409" t="s">
        <v>1323</v>
      </c>
      <c r="H124" s="409" t="s">
        <v>1323</v>
      </c>
      <c r="I124" s="409" t="s">
        <v>1323</v>
      </c>
      <c r="J124" s="409" t="s">
        <v>2242</v>
      </c>
      <c r="K124" s="838">
        <v>44440</v>
      </c>
      <c r="L124" s="409">
        <v>0</v>
      </c>
      <c r="M124" s="409">
        <v>0</v>
      </c>
      <c r="N124" s="409">
        <v>0.63500000000000001</v>
      </c>
      <c r="O124" s="409">
        <v>0.63500000000000001</v>
      </c>
      <c r="P124" s="409">
        <v>0.63500000000000001</v>
      </c>
      <c r="Q124" s="409">
        <v>0.63500000000000001</v>
      </c>
      <c r="R124" s="409"/>
      <c r="S124" s="409">
        <v>288.91000000000003</v>
      </c>
      <c r="T124" s="409">
        <v>273.74</v>
      </c>
      <c r="U124" s="409"/>
      <c r="V124" s="409">
        <v>357.28275000000002</v>
      </c>
      <c r="W124" s="409">
        <v>357.28275000000002</v>
      </c>
      <c r="X124" s="409">
        <v>347.76409999999998</v>
      </c>
      <c r="Y124" s="409">
        <v>0</v>
      </c>
      <c r="Z124" s="409">
        <v>0</v>
      </c>
      <c r="AA124" s="409">
        <v>0</v>
      </c>
      <c r="AB124" s="409">
        <v>0</v>
      </c>
      <c r="AC124" s="409">
        <v>0</v>
      </c>
      <c r="AD124" s="409">
        <v>54.666208738606493</v>
      </c>
      <c r="AE124" s="409">
        <v>125.78028694771648</v>
      </c>
      <c r="AF124" s="409">
        <v>173.82442990298932</v>
      </c>
      <c r="AG124" s="409">
        <v>0</v>
      </c>
      <c r="AH124" s="409">
        <v>0</v>
      </c>
      <c r="AI124" s="409">
        <v>0</v>
      </c>
      <c r="AJ124" s="409">
        <v>0</v>
      </c>
      <c r="AK124" s="409">
        <v>0</v>
      </c>
      <c r="AL124" s="409">
        <v>0</v>
      </c>
      <c r="AM124" s="409"/>
      <c r="AN124" s="409">
        <v>0.67633302068704448</v>
      </c>
      <c r="AO124" s="409">
        <v>0</v>
      </c>
      <c r="AP124" s="409">
        <v>0</v>
      </c>
      <c r="AQ124" s="409">
        <v>0</v>
      </c>
      <c r="AR124" s="409">
        <v>0</v>
      </c>
      <c r="AS124" s="409">
        <v>0</v>
      </c>
      <c r="AT124" s="409">
        <v>0</v>
      </c>
      <c r="AU124" s="409">
        <v>0</v>
      </c>
      <c r="AV124" s="409">
        <v>0</v>
      </c>
      <c r="AW124" s="409">
        <v>0</v>
      </c>
      <c r="AX124" s="409">
        <v>0</v>
      </c>
      <c r="AY124" s="409">
        <v>0</v>
      </c>
      <c r="AZ124" s="409">
        <v>0</v>
      </c>
      <c r="BA124" s="409"/>
      <c r="BB124" s="409">
        <v>0</v>
      </c>
      <c r="BC124" s="409">
        <v>0</v>
      </c>
      <c r="BD124" s="409">
        <v>0</v>
      </c>
      <c r="BE124" s="409">
        <v>0</v>
      </c>
      <c r="BF124" s="409">
        <v>0</v>
      </c>
      <c r="BG124" s="409">
        <v>2.3358006612022884</v>
      </c>
      <c r="BH124" s="409">
        <v>0</v>
      </c>
      <c r="BI124" s="409">
        <v>1.69</v>
      </c>
      <c r="BJ124" s="409">
        <v>7.78</v>
      </c>
      <c r="BK124" s="409">
        <v>39.01</v>
      </c>
      <c r="BL124" s="409">
        <v>1</v>
      </c>
      <c r="BM124" s="409"/>
      <c r="BN124" s="409"/>
      <c r="BO124" s="409"/>
      <c r="BP124" s="409"/>
      <c r="BQ124" s="409"/>
      <c r="BR124" s="409"/>
      <c r="BS124" s="409"/>
      <c r="BT124" s="409">
        <v>139.10309999999998</v>
      </c>
      <c r="BU124" s="409"/>
      <c r="BV124" s="409">
        <v>176.16023056419161</v>
      </c>
      <c r="BW124" s="409"/>
      <c r="BX124" s="409"/>
      <c r="BY124" s="409"/>
      <c r="BZ124" s="409"/>
      <c r="CA124" s="409"/>
      <c r="CB124" s="409"/>
      <c r="CC124" s="409"/>
      <c r="CD124" s="409"/>
      <c r="CE124" s="409"/>
      <c r="CF124" s="409"/>
      <c r="CG124" s="409"/>
      <c r="CH124" s="409"/>
      <c r="CI124" s="409">
        <v>210.30400000000003</v>
      </c>
      <c r="CJ124" s="409">
        <v>-4.0956499999999778</v>
      </c>
      <c r="CK124" s="409"/>
      <c r="CL124" s="409"/>
      <c r="CM124" s="409"/>
      <c r="CN124" s="409"/>
      <c r="CO124" s="409">
        <v>-17.773650000000007</v>
      </c>
      <c r="CP124" s="409">
        <v>8.2550000000000008</v>
      </c>
      <c r="CQ124" s="409">
        <v>30</v>
      </c>
      <c r="CR124" s="409">
        <v>10.476954491578994</v>
      </c>
      <c r="CS124" s="409">
        <v>0</v>
      </c>
      <c r="CT124" s="409">
        <v>0</v>
      </c>
      <c r="CU124" s="409">
        <v>0</v>
      </c>
      <c r="CV124" s="409">
        <v>0</v>
      </c>
      <c r="CW124" s="409">
        <v>0</v>
      </c>
      <c r="CX124" s="409">
        <v>0</v>
      </c>
      <c r="CY124" s="409">
        <v>0</v>
      </c>
      <c r="CZ124" s="409">
        <v>1.8738724712939856</v>
      </c>
      <c r="DA124" s="409">
        <v>0</v>
      </c>
      <c r="DB124" s="409">
        <v>0</v>
      </c>
      <c r="DC124" s="409">
        <v>9.3638734493746654</v>
      </c>
      <c r="DD124" s="409">
        <v>0</v>
      </c>
      <c r="DE124" s="409">
        <v>0</v>
      </c>
      <c r="DF124" s="409">
        <v>0</v>
      </c>
      <c r="DG124" s="409">
        <v>0.12582892868782292</v>
      </c>
      <c r="DH124" s="409">
        <v>0</v>
      </c>
      <c r="DI124" s="409">
        <v>0</v>
      </c>
      <c r="DJ124" s="409"/>
      <c r="DK124" s="409">
        <v>0</v>
      </c>
      <c r="DL124" s="409">
        <v>0</v>
      </c>
      <c r="DM124" s="409">
        <v>0</v>
      </c>
      <c r="DN124" s="409">
        <v>0</v>
      </c>
      <c r="DO124" s="409">
        <v>0</v>
      </c>
      <c r="DP124" s="409">
        <v>-4.4624060743413851E-2</v>
      </c>
      <c r="DQ124" s="409">
        <v>0</v>
      </c>
      <c r="DR124" s="409">
        <v>-0.84199629703407541</v>
      </c>
      <c r="DS124" s="409"/>
      <c r="DT124" s="409"/>
      <c r="DU124" s="409"/>
      <c r="DV124" s="409">
        <v>125.78028694771648</v>
      </c>
      <c r="DW124" s="409">
        <v>0</v>
      </c>
      <c r="DX124" s="409">
        <v>0</v>
      </c>
      <c r="DY124" s="409">
        <v>-17.773650000000004</v>
      </c>
      <c r="DZ124" s="409">
        <v>8.2549999999999955</v>
      </c>
      <c r="EA124" s="409">
        <v>0</v>
      </c>
      <c r="EB124" s="409">
        <v>0</v>
      </c>
      <c r="EC124" s="409">
        <v>-19.993151651679966</v>
      </c>
      <c r="ED124" s="409">
        <v>0</v>
      </c>
      <c r="EE124" s="409">
        <v>0</v>
      </c>
      <c r="EF124" s="409">
        <v>0</v>
      </c>
      <c r="EG124" s="409">
        <v>0</v>
      </c>
      <c r="EH124" s="409">
        <v>0</v>
      </c>
      <c r="EI124" s="409">
        <v>0</v>
      </c>
      <c r="EJ124" s="409">
        <v>0</v>
      </c>
      <c r="EK124" s="409">
        <v>0</v>
      </c>
      <c r="EL124" s="409">
        <v>0</v>
      </c>
      <c r="EM124" s="409">
        <v>0</v>
      </c>
      <c r="EN124" s="409">
        <v>0</v>
      </c>
      <c r="EO124" s="409">
        <v>0</v>
      </c>
      <c r="EP124" s="409">
        <v>0</v>
      </c>
      <c r="EQ124" s="409">
        <v>0</v>
      </c>
      <c r="ER124" s="409">
        <v>0</v>
      </c>
      <c r="ES124" s="409">
        <v>0</v>
      </c>
      <c r="ET124" s="409">
        <v>0</v>
      </c>
      <c r="EU124" s="409">
        <v>0</v>
      </c>
      <c r="EV124" s="409">
        <v>210</v>
      </c>
      <c r="EW124" s="409">
        <v>0</v>
      </c>
      <c r="EX124" s="409">
        <v>0</v>
      </c>
      <c r="EY124" s="409">
        <v>0</v>
      </c>
      <c r="EZ124" s="409"/>
      <c r="FA124" s="409">
        <v>0</v>
      </c>
      <c r="FB124" s="409"/>
      <c r="FC124" s="409"/>
      <c r="FD124" s="409"/>
      <c r="FE124" s="409"/>
      <c r="FF124" s="409">
        <v>0</v>
      </c>
      <c r="FG124" s="409">
        <v>0</v>
      </c>
      <c r="FH124" s="409">
        <v>0</v>
      </c>
      <c r="FI124" s="409">
        <v>0</v>
      </c>
    </row>
    <row r="125" spans="1:165" s="877" customFormat="1">
      <c r="A125" s="409">
        <v>123</v>
      </c>
      <c r="B125" s="409" t="s">
        <v>1035</v>
      </c>
      <c r="C125" s="409" t="s">
        <v>2241</v>
      </c>
      <c r="D125" s="409" t="s">
        <v>1989</v>
      </c>
      <c r="E125" s="409" t="s">
        <v>968</v>
      </c>
      <c r="F125" s="409" t="s">
        <v>2245</v>
      </c>
      <c r="G125" s="409" t="s">
        <v>1323</v>
      </c>
      <c r="H125" s="409" t="s">
        <v>1323</v>
      </c>
      <c r="I125" s="409" t="s">
        <v>1323</v>
      </c>
      <c r="J125" s="409" t="s">
        <v>2242</v>
      </c>
      <c r="K125" s="838">
        <v>44440</v>
      </c>
      <c r="L125" s="409">
        <v>0</v>
      </c>
      <c r="M125" s="409">
        <v>0</v>
      </c>
      <c r="N125" s="409">
        <v>0.54200000000000004</v>
      </c>
      <c r="O125" s="409">
        <v>0.54200000000000004</v>
      </c>
      <c r="P125" s="409">
        <v>0.54200000000000004</v>
      </c>
      <c r="Q125" s="409">
        <v>0.54200000000000004</v>
      </c>
      <c r="R125" s="409"/>
      <c r="S125" s="409">
        <v>288.91000000000003</v>
      </c>
      <c r="T125" s="409">
        <v>273.74</v>
      </c>
      <c r="U125" s="409"/>
      <c r="V125" s="409">
        <v>304.95630000000006</v>
      </c>
      <c r="W125" s="409">
        <v>304.95630000000006</v>
      </c>
      <c r="X125" s="409">
        <v>296.83172000000002</v>
      </c>
      <c r="Y125" s="409">
        <v>0</v>
      </c>
      <c r="Z125" s="409">
        <v>0</v>
      </c>
      <c r="AA125" s="409">
        <v>0</v>
      </c>
      <c r="AB125" s="409">
        <v>0</v>
      </c>
      <c r="AC125" s="409">
        <v>0</v>
      </c>
      <c r="AD125" s="409">
        <v>46.659976592637349</v>
      </c>
      <c r="AE125" s="409">
        <v>107.35892208765722</v>
      </c>
      <c r="AF125" s="409">
        <v>148.36667875184287</v>
      </c>
      <c r="AG125" s="409">
        <v>0</v>
      </c>
      <c r="AH125" s="409">
        <v>0</v>
      </c>
      <c r="AI125" s="409">
        <v>0</v>
      </c>
      <c r="AJ125" s="409">
        <v>0</v>
      </c>
      <c r="AK125" s="409">
        <v>0</v>
      </c>
      <c r="AL125" s="409">
        <v>0</v>
      </c>
      <c r="AM125" s="409"/>
      <c r="AN125" s="409">
        <v>0.57727952316909947</v>
      </c>
      <c r="AO125" s="409">
        <v>0</v>
      </c>
      <c r="AP125" s="409">
        <v>0</v>
      </c>
      <c r="AQ125" s="409">
        <v>0</v>
      </c>
      <c r="AR125" s="409">
        <v>0</v>
      </c>
      <c r="AS125" s="409">
        <v>0</v>
      </c>
      <c r="AT125" s="409">
        <v>0</v>
      </c>
      <c r="AU125" s="409">
        <v>0</v>
      </c>
      <c r="AV125" s="409">
        <v>0</v>
      </c>
      <c r="AW125" s="409">
        <v>0</v>
      </c>
      <c r="AX125" s="409">
        <v>0</v>
      </c>
      <c r="AY125" s="409">
        <v>0</v>
      </c>
      <c r="AZ125" s="409">
        <v>0</v>
      </c>
      <c r="BA125" s="409"/>
      <c r="BB125" s="409">
        <v>0</v>
      </c>
      <c r="BC125" s="409">
        <v>0</v>
      </c>
      <c r="BD125" s="409">
        <v>0</v>
      </c>
      <c r="BE125" s="409">
        <v>0</v>
      </c>
      <c r="BF125" s="409">
        <v>0</v>
      </c>
      <c r="BG125" s="409">
        <v>1.9937070210577015</v>
      </c>
      <c r="BH125" s="409">
        <v>0</v>
      </c>
      <c r="BI125" s="409">
        <v>2.8</v>
      </c>
      <c r="BJ125" s="409">
        <v>12.97</v>
      </c>
      <c r="BK125" s="409">
        <v>74.290000000000006</v>
      </c>
      <c r="BL125" s="409">
        <v>8</v>
      </c>
      <c r="BM125" s="409"/>
      <c r="BN125" s="409"/>
      <c r="BO125" s="409"/>
      <c r="BP125" s="409"/>
      <c r="BQ125" s="409"/>
      <c r="BR125" s="409"/>
      <c r="BS125" s="409"/>
      <c r="BT125" s="409">
        <v>29.679920000000013</v>
      </c>
      <c r="BU125" s="409"/>
      <c r="BV125" s="409">
        <v>150.36038577290057</v>
      </c>
      <c r="BW125" s="409"/>
      <c r="BX125" s="409"/>
      <c r="BY125" s="409"/>
      <c r="BZ125" s="409"/>
      <c r="CA125" s="409"/>
      <c r="CB125" s="409"/>
      <c r="CC125" s="409"/>
      <c r="CD125" s="409"/>
      <c r="CE125" s="409"/>
      <c r="CF125" s="409"/>
      <c r="CG125" s="409"/>
      <c r="CH125" s="409"/>
      <c r="CI125" s="409">
        <v>266.166</v>
      </c>
      <c r="CJ125" s="409">
        <v>-8.3273800000000051</v>
      </c>
      <c r="CK125" s="409"/>
      <c r="CL125" s="409"/>
      <c r="CM125" s="409"/>
      <c r="CN125" s="409"/>
      <c r="CO125" s="409">
        <v>-15.170580000000006</v>
      </c>
      <c r="CP125" s="409">
        <v>7.0460000000000003</v>
      </c>
      <c r="CQ125" s="409">
        <v>30</v>
      </c>
      <c r="CR125" s="409">
        <v>8.9425343849382841</v>
      </c>
      <c r="CS125" s="409">
        <v>0</v>
      </c>
      <c r="CT125" s="409">
        <v>0</v>
      </c>
      <c r="CU125" s="409">
        <v>0</v>
      </c>
      <c r="CV125" s="409">
        <v>0</v>
      </c>
      <c r="CW125" s="409">
        <v>0</v>
      </c>
      <c r="CX125" s="409">
        <v>0</v>
      </c>
      <c r="CY125" s="409">
        <v>0</v>
      </c>
      <c r="CZ125" s="409">
        <v>1.5994313062068386</v>
      </c>
      <c r="DA125" s="409">
        <v>0</v>
      </c>
      <c r="DB125" s="409">
        <v>0</v>
      </c>
      <c r="DC125" s="409">
        <v>7.9924715111197884</v>
      </c>
      <c r="DD125" s="409">
        <v>0</v>
      </c>
      <c r="DE125" s="409">
        <v>0</v>
      </c>
      <c r="DF125" s="409">
        <v>0</v>
      </c>
      <c r="DG125" s="409">
        <v>0.10740043991936998</v>
      </c>
      <c r="DH125" s="409">
        <v>0</v>
      </c>
      <c r="DI125" s="409">
        <v>0</v>
      </c>
      <c r="DJ125" s="409"/>
      <c r="DK125" s="409">
        <v>0</v>
      </c>
      <c r="DL125" s="409">
        <v>0</v>
      </c>
      <c r="DM125" s="409">
        <v>0</v>
      </c>
      <c r="DN125" s="409">
        <v>0</v>
      </c>
      <c r="DO125" s="409">
        <v>0</v>
      </c>
      <c r="DP125" s="409">
        <v>-3.8088568382567467E-2</v>
      </c>
      <c r="DQ125" s="409">
        <v>0</v>
      </c>
      <c r="DR125" s="409">
        <v>-0.71868030392514781</v>
      </c>
      <c r="DS125" s="409"/>
      <c r="DT125" s="409"/>
      <c r="DU125" s="409"/>
      <c r="DV125" s="409">
        <v>107.35892208765722</v>
      </c>
      <c r="DW125" s="409">
        <v>0</v>
      </c>
      <c r="DX125" s="409">
        <v>0</v>
      </c>
      <c r="DY125" s="409">
        <v>-15.170580000000001</v>
      </c>
      <c r="DZ125" s="409">
        <v>7.0459999999999923</v>
      </c>
      <c r="EA125" s="409">
        <v>0</v>
      </c>
      <c r="EB125" s="409">
        <v>0</v>
      </c>
      <c r="EC125" s="409">
        <v>-17.065020779859125</v>
      </c>
      <c r="ED125" s="409">
        <v>0</v>
      </c>
      <c r="EE125" s="409">
        <v>0</v>
      </c>
      <c r="EF125" s="409">
        <v>0</v>
      </c>
      <c r="EG125" s="409">
        <v>0</v>
      </c>
      <c r="EH125" s="409">
        <v>0</v>
      </c>
      <c r="EI125" s="409">
        <v>0</v>
      </c>
      <c r="EJ125" s="409">
        <v>0</v>
      </c>
      <c r="EK125" s="409">
        <v>0</v>
      </c>
      <c r="EL125" s="409">
        <v>0</v>
      </c>
      <c r="EM125" s="409">
        <v>0</v>
      </c>
      <c r="EN125" s="409">
        <v>0</v>
      </c>
      <c r="EO125" s="409">
        <v>0</v>
      </c>
      <c r="EP125" s="409">
        <v>0</v>
      </c>
      <c r="EQ125" s="409">
        <v>0</v>
      </c>
      <c r="ER125" s="409">
        <v>0</v>
      </c>
      <c r="ES125" s="409">
        <v>0</v>
      </c>
      <c r="ET125" s="409">
        <v>0</v>
      </c>
      <c r="EU125" s="409">
        <v>0</v>
      </c>
      <c r="EV125" s="409">
        <v>210</v>
      </c>
      <c r="EW125" s="409">
        <v>0</v>
      </c>
      <c r="EX125" s="409">
        <v>0</v>
      </c>
      <c r="EY125" s="409">
        <v>0</v>
      </c>
      <c r="EZ125" s="409"/>
      <c r="FA125" s="409">
        <v>0</v>
      </c>
      <c r="FB125" s="409"/>
      <c r="FC125" s="409"/>
      <c r="FD125" s="409"/>
      <c r="FE125" s="409"/>
      <c r="FF125" s="409">
        <v>0</v>
      </c>
      <c r="FG125" s="409">
        <v>0</v>
      </c>
      <c r="FH125" s="409">
        <v>0</v>
      </c>
      <c r="FI125" s="409">
        <v>0</v>
      </c>
    </row>
    <row r="126" spans="1:165" s="877" customFormat="1">
      <c r="A126" s="409">
        <v>124</v>
      </c>
      <c r="B126" s="409" t="s">
        <v>1035</v>
      </c>
      <c r="C126" s="409" t="s">
        <v>2241</v>
      </c>
      <c r="D126" s="409" t="s">
        <v>1989</v>
      </c>
      <c r="E126" s="409" t="s">
        <v>968</v>
      </c>
      <c r="F126" s="409" t="s">
        <v>2258</v>
      </c>
      <c r="G126" s="409" t="s">
        <v>1323</v>
      </c>
      <c r="H126" s="409" t="s">
        <v>1323</v>
      </c>
      <c r="I126" s="409" t="s">
        <v>1323</v>
      </c>
      <c r="J126" s="409" t="s">
        <v>2242</v>
      </c>
      <c r="K126" s="838">
        <v>44440</v>
      </c>
      <c r="L126" s="409">
        <v>0</v>
      </c>
      <c r="M126" s="409">
        <v>0</v>
      </c>
      <c r="N126" s="409">
        <v>1.9E-2</v>
      </c>
      <c r="O126" s="409">
        <v>1.9E-2</v>
      </c>
      <c r="P126" s="409">
        <v>1.9E-2</v>
      </c>
      <c r="Q126" s="409">
        <v>1.9E-2</v>
      </c>
      <c r="R126" s="409"/>
      <c r="S126" s="409">
        <v>288.91000000000003</v>
      </c>
      <c r="T126" s="409">
        <v>273.74</v>
      </c>
      <c r="U126" s="409"/>
      <c r="V126" s="409">
        <v>10.69035</v>
      </c>
      <c r="W126" s="409">
        <v>10.69035</v>
      </c>
      <c r="X126" s="409">
        <v>10.40554</v>
      </c>
      <c r="Y126" s="409">
        <v>0</v>
      </c>
      <c r="Z126" s="409">
        <v>0</v>
      </c>
      <c r="AA126" s="409">
        <v>0</v>
      </c>
      <c r="AB126" s="409">
        <v>0</v>
      </c>
      <c r="AC126" s="409">
        <v>0</v>
      </c>
      <c r="AD126" s="409">
        <v>1.635681836273265</v>
      </c>
      <c r="AE126" s="409">
        <v>3.7635046488293118</v>
      </c>
      <c r="AF126" s="409">
        <v>5.201045934105192</v>
      </c>
      <c r="AG126" s="409">
        <v>0</v>
      </c>
      <c r="AH126" s="409">
        <v>0</v>
      </c>
      <c r="AI126" s="409">
        <v>0</v>
      </c>
      <c r="AJ126" s="409">
        <v>0</v>
      </c>
      <c r="AK126" s="409">
        <v>0</v>
      </c>
      <c r="AL126" s="409">
        <v>0</v>
      </c>
      <c r="AM126" s="409"/>
      <c r="AN126" s="409">
        <v>2.0236736052053297E-2</v>
      </c>
      <c r="AO126" s="409">
        <v>0</v>
      </c>
      <c r="AP126" s="409">
        <v>0</v>
      </c>
      <c r="AQ126" s="409">
        <v>0</v>
      </c>
      <c r="AR126" s="409">
        <v>0</v>
      </c>
      <c r="AS126" s="409">
        <v>0</v>
      </c>
      <c r="AT126" s="409">
        <v>0</v>
      </c>
      <c r="AU126" s="409">
        <v>0</v>
      </c>
      <c r="AV126" s="409">
        <v>0</v>
      </c>
      <c r="AW126" s="409">
        <v>0</v>
      </c>
      <c r="AX126" s="409">
        <v>0</v>
      </c>
      <c r="AY126" s="409">
        <v>0</v>
      </c>
      <c r="AZ126" s="409">
        <v>0</v>
      </c>
      <c r="BA126" s="409"/>
      <c r="BB126" s="409">
        <v>0</v>
      </c>
      <c r="BC126" s="409">
        <v>0</v>
      </c>
      <c r="BD126" s="409">
        <v>0</v>
      </c>
      <c r="BE126" s="409">
        <v>0</v>
      </c>
      <c r="BF126" s="409">
        <v>0</v>
      </c>
      <c r="BG126" s="409">
        <v>6.9890098524162961E-2</v>
      </c>
      <c r="BH126" s="409">
        <v>0</v>
      </c>
      <c r="BI126" s="409">
        <v>0.25</v>
      </c>
      <c r="BJ126" s="409">
        <v>1.1499999999999999</v>
      </c>
      <c r="BK126" s="409">
        <v>9.6</v>
      </c>
      <c r="BL126" s="409">
        <v>1</v>
      </c>
      <c r="BM126" s="409"/>
      <c r="BN126" s="409"/>
      <c r="BO126" s="409"/>
      <c r="BP126" s="409"/>
      <c r="BQ126" s="409"/>
      <c r="BR126" s="409"/>
      <c r="BS126" s="409"/>
      <c r="BT126" s="409"/>
      <c r="BU126" s="409"/>
      <c r="BV126" s="409">
        <v>5.2709360326293551</v>
      </c>
      <c r="BW126" s="409"/>
      <c r="BX126" s="409"/>
      <c r="BY126" s="409"/>
      <c r="BZ126" s="409"/>
      <c r="CA126" s="409"/>
      <c r="CB126" s="409"/>
      <c r="CC126" s="409"/>
      <c r="CD126" s="409"/>
      <c r="CE126" s="409"/>
      <c r="CF126" s="409"/>
      <c r="CG126" s="409"/>
      <c r="CH126" s="409"/>
      <c r="CI126" s="409">
        <v>10.953200000000001</v>
      </c>
      <c r="CJ126" s="409">
        <v>0.23285000000000089</v>
      </c>
      <c r="CK126" s="409"/>
      <c r="CL126" s="409"/>
      <c r="CM126" s="409"/>
      <c r="CN126" s="409"/>
      <c r="CO126" s="409">
        <v>-0.53181000000000012</v>
      </c>
      <c r="CP126" s="409">
        <v>0.247</v>
      </c>
      <c r="CQ126" s="409">
        <v>30</v>
      </c>
      <c r="CR126" s="409">
        <v>0.31348367770078855</v>
      </c>
      <c r="CS126" s="409">
        <v>0</v>
      </c>
      <c r="CT126" s="409">
        <v>0</v>
      </c>
      <c r="CU126" s="409">
        <v>0</v>
      </c>
      <c r="CV126" s="409">
        <v>0</v>
      </c>
      <c r="CW126" s="409">
        <v>0</v>
      </c>
      <c r="CX126" s="409">
        <v>0</v>
      </c>
      <c r="CY126" s="409">
        <v>0</v>
      </c>
      <c r="CZ126" s="409">
        <v>5.606862512533195E-2</v>
      </c>
      <c r="DA126" s="409">
        <v>0</v>
      </c>
      <c r="DB126" s="409">
        <v>0</v>
      </c>
      <c r="DC126" s="409">
        <v>0.28017889061121082</v>
      </c>
      <c r="DD126" s="409">
        <v>0</v>
      </c>
      <c r="DE126" s="409">
        <v>0</v>
      </c>
      <c r="DF126" s="409">
        <v>0</v>
      </c>
      <c r="DG126" s="409">
        <v>3.7649600709742242E-3</v>
      </c>
      <c r="DH126" s="409">
        <v>0</v>
      </c>
      <c r="DI126" s="409">
        <v>0</v>
      </c>
      <c r="DJ126" s="409"/>
      <c r="DK126" s="409">
        <v>0</v>
      </c>
      <c r="DL126" s="409">
        <v>0</v>
      </c>
      <c r="DM126" s="409">
        <v>0</v>
      </c>
      <c r="DN126" s="409">
        <v>0</v>
      </c>
      <c r="DO126" s="409">
        <v>0</v>
      </c>
      <c r="DP126" s="409">
        <v>-1.3352081167320659E-3</v>
      </c>
      <c r="DQ126" s="409">
        <v>0</v>
      </c>
      <c r="DR126" s="409">
        <v>-2.5193589989995956E-2</v>
      </c>
      <c r="DS126" s="409"/>
      <c r="DT126" s="409"/>
      <c r="DU126" s="409"/>
      <c r="DV126" s="409">
        <v>3.7635046488293118</v>
      </c>
      <c r="DW126" s="409">
        <v>0</v>
      </c>
      <c r="DX126" s="409">
        <v>0</v>
      </c>
      <c r="DY126" s="409">
        <v>-0.53181000000000012</v>
      </c>
      <c r="DZ126" s="409">
        <v>0.24699999999999989</v>
      </c>
      <c r="EA126" s="409">
        <v>0</v>
      </c>
      <c r="EB126" s="409">
        <v>0</v>
      </c>
      <c r="EC126" s="409">
        <v>-0.59822028564081808</v>
      </c>
      <c r="ED126" s="409">
        <v>0</v>
      </c>
      <c r="EE126" s="409">
        <v>0</v>
      </c>
      <c r="EF126" s="409">
        <v>0</v>
      </c>
      <c r="EG126" s="409">
        <v>0</v>
      </c>
      <c r="EH126" s="409">
        <v>0</v>
      </c>
      <c r="EI126" s="409">
        <v>0</v>
      </c>
      <c r="EJ126" s="409">
        <v>0</v>
      </c>
      <c r="EK126" s="409">
        <v>0</v>
      </c>
      <c r="EL126" s="409">
        <v>0</v>
      </c>
      <c r="EM126" s="409">
        <v>0</v>
      </c>
      <c r="EN126" s="409">
        <v>0</v>
      </c>
      <c r="EO126" s="409">
        <v>0</v>
      </c>
      <c r="EP126" s="409">
        <v>0</v>
      </c>
      <c r="EQ126" s="409">
        <v>0</v>
      </c>
      <c r="ER126" s="409">
        <v>0</v>
      </c>
      <c r="ES126" s="409">
        <v>0</v>
      </c>
      <c r="ET126" s="409">
        <v>0</v>
      </c>
      <c r="EU126" s="409">
        <v>0</v>
      </c>
      <c r="EV126" s="409">
        <v>210</v>
      </c>
      <c r="EW126" s="409">
        <v>0</v>
      </c>
      <c r="EX126" s="409">
        <v>0</v>
      </c>
      <c r="EY126" s="409">
        <v>0</v>
      </c>
      <c r="EZ126" s="409"/>
      <c r="FA126" s="409">
        <v>0</v>
      </c>
      <c r="FB126" s="409"/>
      <c r="FC126" s="409"/>
      <c r="FD126" s="409"/>
      <c r="FE126" s="409"/>
      <c r="FF126" s="409">
        <v>0</v>
      </c>
      <c r="FG126" s="409">
        <v>0</v>
      </c>
      <c r="FH126" s="409">
        <v>0</v>
      </c>
      <c r="FI126" s="409">
        <v>0</v>
      </c>
    </row>
    <row r="127" spans="1:165" s="877" customFormat="1">
      <c r="A127" s="409">
        <v>125</v>
      </c>
      <c r="B127" s="409" t="s">
        <v>1035</v>
      </c>
      <c r="C127" s="409" t="s">
        <v>2241</v>
      </c>
      <c r="D127" s="409" t="s">
        <v>1992</v>
      </c>
      <c r="E127" s="409" t="s">
        <v>969</v>
      </c>
      <c r="F127" s="409" t="s">
        <v>1323</v>
      </c>
      <c r="G127" s="409" t="s">
        <v>1323</v>
      </c>
      <c r="H127" s="409" t="s">
        <v>1323</v>
      </c>
      <c r="I127" s="409" t="s">
        <v>1323</v>
      </c>
      <c r="J127" s="409" t="s">
        <v>2242</v>
      </c>
      <c r="K127" s="838">
        <v>44440</v>
      </c>
      <c r="L127" s="409">
        <v>0</v>
      </c>
      <c r="M127" s="409">
        <v>0</v>
      </c>
      <c r="N127" s="409">
        <v>31.161999999999999</v>
      </c>
      <c r="O127" s="409">
        <v>31.161999999999999</v>
      </c>
      <c r="P127" s="409">
        <v>31.161999999999999</v>
      </c>
      <c r="Q127" s="409">
        <v>31.161999999999999</v>
      </c>
      <c r="R127" s="409"/>
      <c r="S127" s="409">
        <v>358.62</v>
      </c>
      <c r="T127" s="409">
        <v>273.74</v>
      </c>
      <c r="U127" s="409"/>
      <c r="V127" s="409">
        <v>19705.602319999998</v>
      </c>
      <c r="W127" s="409">
        <v>19705.602319999998</v>
      </c>
      <c r="X127" s="409">
        <v>19106.668679999999</v>
      </c>
      <c r="Y127" s="409">
        <v>0</v>
      </c>
      <c r="Z127" s="409">
        <v>1881.3874326393891</v>
      </c>
      <c r="AA127" s="409">
        <v>0</v>
      </c>
      <c r="AB127" s="409">
        <v>0</v>
      </c>
      <c r="AC127" s="409">
        <v>0</v>
      </c>
      <c r="AD127" s="409">
        <v>2682.6903885235515</v>
      </c>
      <c r="AE127" s="409">
        <v>6172.5437824641585</v>
      </c>
      <c r="AF127" s="409">
        <v>8530.2628104518953</v>
      </c>
      <c r="AG127" s="409">
        <v>0</v>
      </c>
      <c r="AH127" s="409">
        <v>0</v>
      </c>
      <c r="AI127" s="409">
        <v>0</v>
      </c>
      <c r="AJ127" s="409">
        <v>0</v>
      </c>
      <c r="AK127" s="409">
        <v>0</v>
      </c>
      <c r="AL127" s="409">
        <v>290.94553499578501</v>
      </c>
      <c r="AM127" s="409"/>
      <c r="AN127" s="409">
        <v>33.190377308109731</v>
      </c>
      <c r="AO127" s="409">
        <v>0</v>
      </c>
      <c r="AP127" s="409">
        <v>0</v>
      </c>
      <c r="AQ127" s="409">
        <v>0</v>
      </c>
      <c r="AR127" s="409">
        <v>0</v>
      </c>
      <c r="AS127" s="409">
        <v>0</v>
      </c>
      <c r="AT127" s="409">
        <v>0</v>
      </c>
      <c r="AU127" s="409">
        <v>0</v>
      </c>
      <c r="AV127" s="409">
        <v>0</v>
      </c>
      <c r="AW127" s="409">
        <v>0</v>
      </c>
      <c r="AX127" s="409">
        <v>0</v>
      </c>
      <c r="AY127" s="409">
        <v>0</v>
      </c>
      <c r="AZ127" s="409">
        <v>0</v>
      </c>
      <c r="BA127" s="409"/>
      <c r="BB127" s="409">
        <v>0</v>
      </c>
      <c r="BC127" s="409">
        <v>0</v>
      </c>
      <c r="BD127" s="409">
        <v>0</v>
      </c>
      <c r="BE127" s="409">
        <v>0</v>
      </c>
      <c r="BF127" s="409">
        <v>0</v>
      </c>
      <c r="BG127" s="409">
        <v>114.62711843210349</v>
      </c>
      <c r="BH127" s="409">
        <v>0</v>
      </c>
      <c r="BI127" s="409">
        <v>182.99</v>
      </c>
      <c r="BJ127" s="409">
        <v>844.83</v>
      </c>
      <c r="BK127" s="409">
        <v>5068.97</v>
      </c>
      <c r="BL127" s="409">
        <v>12</v>
      </c>
      <c r="BM127" s="409"/>
      <c r="BN127" s="409"/>
      <c r="BO127" s="409"/>
      <c r="BP127" s="409"/>
      <c r="BQ127" s="409"/>
      <c r="BR127" s="409"/>
      <c r="BS127" s="409"/>
      <c r="BT127" s="409"/>
      <c r="BU127" s="409"/>
      <c r="BV127" s="409">
        <v>8644.8899288839984</v>
      </c>
      <c r="BW127" s="409"/>
      <c r="BX127" s="409"/>
      <c r="BY127" s="409"/>
      <c r="BZ127" s="409"/>
      <c r="CA127" s="409"/>
      <c r="CB127" s="409"/>
      <c r="CC127" s="409"/>
      <c r="CD127" s="409"/>
      <c r="CE127" s="409"/>
      <c r="CF127" s="409"/>
      <c r="CG127" s="409"/>
      <c r="CH127" s="409"/>
      <c r="CI127" s="409">
        <v>19105.4424</v>
      </c>
      <c r="CJ127" s="409">
        <v>-600.18992000000071</v>
      </c>
      <c r="CK127" s="409"/>
      <c r="CL127" s="409"/>
      <c r="CM127" s="409"/>
      <c r="CN127" s="409"/>
      <c r="CO127" s="409">
        <v>-1004.0396400000009</v>
      </c>
      <c r="CP127" s="409">
        <v>405.10599999999999</v>
      </c>
      <c r="CQ127" s="409">
        <v>30</v>
      </c>
      <c r="CR127" s="409">
        <v>382.10471183220761</v>
      </c>
      <c r="CS127" s="409">
        <v>0</v>
      </c>
      <c r="CT127" s="409">
        <v>0</v>
      </c>
      <c r="CU127" s="409">
        <v>0</v>
      </c>
      <c r="CV127" s="409">
        <v>0</v>
      </c>
      <c r="CW127" s="409">
        <v>0</v>
      </c>
      <c r="CX127" s="409">
        <v>0</v>
      </c>
      <c r="CY127" s="409">
        <v>0</v>
      </c>
      <c r="CZ127" s="409">
        <v>91.95844716608417</v>
      </c>
      <c r="DA127" s="409">
        <v>0</v>
      </c>
      <c r="DB127" s="409">
        <v>0</v>
      </c>
      <c r="DC127" s="409">
        <v>459.52287311718646</v>
      </c>
      <c r="DD127" s="409">
        <v>0</v>
      </c>
      <c r="DE127" s="409">
        <v>0</v>
      </c>
      <c r="DF127" s="409">
        <v>0</v>
      </c>
      <c r="DG127" s="409">
        <v>6.1749308279841415</v>
      </c>
      <c r="DH127" s="409">
        <v>0</v>
      </c>
      <c r="DI127" s="409">
        <v>-119.92203395465435</v>
      </c>
      <c r="DJ127" s="409"/>
      <c r="DK127" s="409">
        <v>0</v>
      </c>
      <c r="DL127" s="409">
        <v>0</v>
      </c>
      <c r="DM127" s="409">
        <v>0</v>
      </c>
      <c r="DN127" s="409">
        <v>0</v>
      </c>
      <c r="DO127" s="409">
        <v>-15.254797418893361</v>
      </c>
      <c r="DP127" s="409">
        <v>-2.1898818596634051</v>
      </c>
      <c r="DQ127" s="409">
        <v>0</v>
      </c>
      <c r="DR127" s="409">
        <v>-38.184826045837731</v>
      </c>
      <c r="DS127" s="409"/>
      <c r="DT127" s="409"/>
      <c r="DU127" s="409"/>
      <c r="DV127" s="409">
        <v>6172.5437824641585</v>
      </c>
      <c r="DW127" s="409">
        <v>0</v>
      </c>
      <c r="DX127" s="409">
        <v>0</v>
      </c>
      <c r="DY127" s="409">
        <v>-1004.0396400000009</v>
      </c>
      <c r="DZ127" s="409">
        <v>405.10599999999977</v>
      </c>
      <c r="EA127" s="409">
        <v>0</v>
      </c>
      <c r="EB127" s="409">
        <v>0</v>
      </c>
      <c r="EC127" s="409">
        <v>-981.14423900732436</v>
      </c>
      <c r="ED127" s="409">
        <v>0</v>
      </c>
      <c r="EE127" s="409">
        <v>0</v>
      </c>
      <c r="EF127" s="409">
        <v>0</v>
      </c>
      <c r="EG127" s="409">
        <v>0</v>
      </c>
      <c r="EH127" s="409">
        <v>0</v>
      </c>
      <c r="EI127" s="409">
        <v>0</v>
      </c>
      <c r="EJ127" s="409">
        <v>0</v>
      </c>
      <c r="EK127" s="409">
        <v>0</v>
      </c>
      <c r="EL127" s="409">
        <v>0</v>
      </c>
      <c r="EM127" s="409">
        <v>0</v>
      </c>
      <c r="EN127" s="409">
        <v>0</v>
      </c>
      <c r="EO127" s="409">
        <v>0</v>
      </c>
      <c r="EP127" s="409">
        <v>0</v>
      </c>
      <c r="EQ127" s="409">
        <v>0</v>
      </c>
      <c r="ER127" s="409">
        <v>0</v>
      </c>
      <c r="ES127" s="409">
        <v>0</v>
      </c>
      <c r="ET127" s="409">
        <v>0</v>
      </c>
      <c r="EU127" s="409">
        <v>0</v>
      </c>
      <c r="EV127" s="409">
        <v>210</v>
      </c>
      <c r="EW127" s="409">
        <v>0</v>
      </c>
      <c r="EX127" s="409">
        <v>0</v>
      </c>
      <c r="EY127" s="409">
        <v>0</v>
      </c>
      <c r="EZ127" s="409"/>
      <c r="FA127" s="409">
        <v>0</v>
      </c>
      <c r="FB127" s="409"/>
      <c r="FC127" s="409"/>
      <c r="FD127" s="409"/>
      <c r="FE127" s="409"/>
      <c r="FF127" s="409">
        <v>0</v>
      </c>
      <c r="FG127" s="409">
        <v>0</v>
      </c>
      <c r="FH127" s="409">
        <v>0</v>
      </c>
      <c r="FI127" s="409">
        <v>0</v>
      </c>
    </row>
    <row r="128" spans="1:165" s="877" customFormat="1">
      <c r="A128" s="409">
        <v>126</v>
      </c>
      <c r="B128" s="409" t="s">
        <v>2240</v>
      </c>
      <c r="C128" s="409" t="s">
        <v>2241</v>
      </c>
      <c r="D128" s="409" t="s">
        <v>1992</v>
      </c>
      <c r="E128" s="409" t="s">
        <v>969</v>
      </c>
      <c r="F128" s="409" t="s">
        <v>1323</v>
      </c>
      <c r="G128" s="409" t="s">
        <v>1323</v>
      </c>
      <c r="H128" s="409" t="s">
        <v>1323</v>
      </c>
      <c r="I128" s="409" t="s">
        <v>1323</v>
      </c>
      <c r="J128" s="409" t="s">
        <v>2242</v>
      </c>
      <c r="K128" s="838">
        <v>44440</v>
      </c>
      <c r="L128" s="409">
        <v>0</v>
      </c>
      <c r="M128" s="409">
        <v>0</v>
      </c>
      <c r="N128" s="409">
        <v>0.1</v>
      </c>
      <c r="O128" s="409">
        <v>0.1</v>
      </c>
      <c r="P128" s="409">
        <v>0.1</v>
      </c>
      <c r="Q128" s="409">
        <v>0.1</v>
      </c>
      <c r="R128" s="409"/>
      <c r="S128" s="409">
        <v>358.62</v>
      </c>
      <c r="T128" s="409">
        <v>273.74</v>
      </c>
      <c r="U128" s="409"/>
      <c r="V128" s="409">
        <v>63.236000000000004</v>
      </c>
      <c r="W128" s="409">
        <v>63.236000000000004</v>
      </c>
      <c r="X128" s="409">
        <v>61.314000000000007</v>
      </c>
      <c r="Y128" s="409">
        <v>0</v>
      </c>
      <c r="Z128" s="409">
        <v>6.03744121891852</v>
      </c>
      <c r="AA128" s="409">
        <v>0</v>
      </c>
      <c r="AB128" s="409">
        <v>0</v>
      </c>
      <c r="AC128" s="409">
        <v>0</v>
      </c>
      <c r="AD128" s="409">
        <v>8.6088517698592906</v>
      </c>
      <c r="AE128" s="409">
        <v>19.807919204364801</v>
      </c>
      <c r="AF128" s="409">
        <v>27.373925968974699</v>
      </c>
      <c r="AG128" s="409">
        <v>0</v>
      </c>
      <c r="AH128" s="409">
        <v>0</v>
      </c>
      <c r="AI128" s="409">
        <v>0</v>
      </c>
      <c r="AJ128" s="409">
        <v>0</v>
      </c>
      <c r="AK128" s="409">
        <v>0</v>
      </c>
      <c r="AL128" s="409">
        <v>0.93365488414025111</v>
      </c>
      <c r="AM128" s="409"/>
      <c r="AN128" s="409">
        <v>0.10650913711607</v>
      </c>
      <c r="AO128" s="409">
        <v>0</v>
      </c>
      <c r="AP128" s="409">
        <v>0</v>
      </c>
      <c r="AQ128" s="409">
        <v>0</v>
      </c>
      <c r="AR128" s="409">
        <v>0</v>
      </c>
      <c r="AS128" s="409">
        <v>0</v>
      </c>
      <c r="AT128" s="409">
        <v>0</v>
      </c>
      <c r="AU128" s="409">
        <v>0</v>
      </c>
      <c r="AV128" s="409">
        <v>0</v>
      </c>
      <c r="AW128" s="409">
        <v>0</v>
      </c>
      <c r="AX128" s="409">
        <v>0</v>
      </c>
      <c r="AY128" s="409">
        <v>0</v>
      </c>
      <c r="AZ128" s="409">
        <v>0</v>
      </c>
      <c r="BA128" s="409"/>
      <c r="BB128" s="409">
        <v>0</v>
      </c>
      <c r="BC128" s="409">
        <v>0</v>
      </c>
      <c r="BD128" s="409">
        <v>0</v>
      </c>
      <c r="BE128" s="409">
        <v>0</v>
      </c>
      <c r="BF128" s="409">
        <v>0</v>
      </c>
      <c r="BG128" s="409">
        <v>0.36784262381138405</v>
      </c>
      <c r="BH128" s="409">
        <v>0</v>
      </c>
      <c r="BI128" s="409">
        <v>0.57999999999999996</v>
      </c>
      <c r="BJ128" s="409">
        <v>2.71</v>
      </c>
      <c r="BK128" s="409">
        <v>177.97</v>
      </c>
      <c r="BL128" s="409">
        <v>1</v>
      </c>
      <c r="BM128" s="409"/>
      <c r="BN128" s="409"/>
      <c r="BO128" s="409"/>
      <c r="BP128" s="409"/>
      <c r="BQ128" s="409"/>
      <c r="BR128" s="409"/>
      <c r="BS128" s="409"/>
      <c r="BT128" s="409"/>
      <c r="BU128" s="409"/>
      <c r="BV128" s="409">
        <v>27.741768592786084</v>
      </c>
      <c r="BW128" s="409"/>
      <c r="BX128" s="409"/>
      <c r="BY128" s="409"/>
      <c r="BZ128" s="409"/>
      <c r="CA128" s="409"/>
      <c r="CB128" s="409"/>
      <c r="CC128" s="409"/>
      <c r="CD128" s="409"/>
      <c r="CE128" s="409"/>
      <c r="CF128" s="409"/>
      <c r="CG128" s="409"/>
      <c r="CH128" s="409"/>
      <c r="CI128" s="409">
        <v>61.314000000000007</v>
      </c>
      <c r="CJ128" s="409">
        <v>-1.9519999999999911</v>
      </c>
      <c r="CK128" s="409"/>
      <c r="CL128" s="409"/>
      <c r="CM128" s="409"/>
      <c r="CN128" s="409"/>
      <c r="CO128" s="409">
        <v>-3.2220000000000031</v>
      </c>
      <c r="CP128" s="409">
        <v>1.3</v>
      </c>
      <c r="CQ128" s="409">
        <v>30</v>
      </c>
      <c r="CR128" s="409">
        <v>1.2261880233367748</v>
      </c>
      <c r="CS128" s="409">
        <v>0</v>
      </c>
      <c r="CT128" s="409">
        <v>0</v>
      </c>
      <c r="CU128" s="409">
        <v>0</v>
      </c>
      <c r="CV128" s="409">
        <v>0</v>
      </c>
      <c r="CW128" s="409">
        <v>0</v>
      </c>
      <c r="CX128" s="409">
        <v>0</v>
      </c>
      <c r="CY128" s="409">
        <v>0</v>
      </c>
      <c r="CZ128" s="409">
        <v>0.29509802697543108</v>
      </c>
      <c r="DA128" s="409">
        <v>0</v>
      </c>
      <c r="DB128" s="409">
        <v>0</v>
      </c>
      <c r="DC128" s="409">
        <v>1.4746257400590004</v>
      </c>
      <c r="DD128" s="409">
        <v>0</v>
      </c>
      <c r="DE128" s="409">
        <v>0</v>
      </c>
      <c r="DF128" s="409">
        <v>0</v>
      </c>
      <c r="DG128" s="409">
        <v>1.9815579320916987E-2</v>
      </c>
      <c r="DH128" s="409">
        <v>0</v>
      </c>
      <c r="DI128" s="409">
        <v>-0.38483420176707028</v>
      </c>
      <c r="DJ128" s="409"/>
      <c r="DK128" s="409">
        <v>0</v>
      </c>
      <c r="DL128" s="409">
        <v>0</v>
      </c>
      <c r="DM128" s="409">
        <v>0</v>
      </c>
      <c r="DN128" s="409">
        <v>0</v>
      </c>
      <c r="DO128" s="409">
        <v>-4.8953203962817993E-2</v>
      </c>
      <c r="DP128" s="409">
        <v>-7.0274111406950918E-3</v>
      </c>
      <c r="DQ128" s="409">
        <v>0</v>
      </c>
      <c r="DR128" s="409">
        <v>-0.12253650614799351</v>
      </c>
      <c r="DS128" s="409"/>
      <c r="DT128" s="409"/>
      <c r="DU128" s="409"/>
      <c r="DV128" s="409">
        <v>19.807919204364801</v>
      </c>
      <c r="DW128" s="409">
        <v>0</v>
      </c>
      <c r="DX128" s="409">
        <v>0</v>
      </c>
      <c r="DY128" s="409">
        <v>-3.2220000000000013</v>
      </c>
      <c r="DZ128" s="409">
        <v>1.3000000000000007</v>
      </c>
      <c r="EA128" s="409">
        <v>0</v>
      </c>
      <c r="EB128" s="409">
        <v>0</v>
      </c>
      <c r="EC128" s="409">
        <v>-3.1485278191622008</v>
      </c>
      <c r="ED128" s="409">
        <v>0</v>
      </c>
      <c r="EE128" s="409">
        <v>0</v>
      </c>
      <c r="EF128" s="409">
        <v>0</v>
      </c>
      <c r="EG128" s="409">
        <v>0</v>
      </c>
      <c r="EH128" s="409">
        <v>0</v>
      </c>
      <c r="EI128" s="409">
        <v>0</v>
      </c>
      <c r="EJ128" s="409">
        <v>0</v>
      </c>
      <c r="EK128" s="409">
        <v>0</v>
      </c>
      <c r="EL128" s="409">
        <v>0</v>
      </c>
      <c r="EM128" s="409">
        <v>0</v>
      </c>
      <c r="EN128" s="409">
        <v>0</v>
      </c>
      <c r="EO128" s="409">
        <v>0</v>
      </c>
      <c r="EP128" s="409">
        <v>0</v>
      </c>
      <c r="EQ128" s="409">
        <v>0</v>
      </c>
      <c r="ER128" s="409">
        <v>0</v>
      </c>
      <c r="ES128" s="409">
        <v>0</v>
      </c>
      <c r="ET128" s="409">
        <v>0</v>
      </c>
      <c r="EU128" s="409">
        <v>0</v>
      </c>
      <c r="EV128" s="409">
        <v>210</v>
      </c>
      <c r="EW128" s="409">
        <v>0</v>
      </c>
      <c r="EX128" s="409">
        <v>0</v>
      </c>
      <c r="EY128" s="409">
        <v>0</v>
      </c>
      <c r="EZ128" s="409"/>
      <c r="FA128" s="409">
        <v>0</v>
      </c>
      <c r="FB128" s="409"/>
      <c r="FC128" s="409"/>
      <c r="FD128" s="409"/>
      <c r="FE128" s="409"/>
      <c r="FF128" s="409">
        <v>0</v>
      </c>
      <c r="FG128" s="409">
        <v>0</v>
      </c>
      <c r="FH128" s="409">
        <v>0</v>
      </c>
      <c r="FI128" s="409">
        <v>0</v>
      </c>
    </row>
    <row r="129" spans="1:165" s="877" customFormat="1">
      <c r="A129" s="409">
        <v>127</v>
      </c>
      <c r="B129" s="409" t="s">
        <v>1035</v>
      </c>
      <c r="C129" s="409" t="s">
        <v>2246</v>
      </c>
      <c r="D129" s="409" t="s">
        <v>595</v>
      </c>
      <c r="E129" s="409" t="s">
        <v>969</v>
      </c>
      <c r="F129" s="409" t="s">
        <v>1323</v>
      </c>
      <c r="G129" s="409" t="s">
        <v>1323</v>
      </c>
      <c r="H129" s="409" t="s">
        <v>1323</v>
      </c>
      <c r="I129" s="409" t="s">
        <v>972</v>
      </c>
      <c r="J129" s="409" t="s">
        <v>2242</v>
      </c>
      <c r="K129" s="838">
        <v>44440</v>
      </c>
      <c r="L129" s="409">
        <v>0</v>
      </c>
      <c r="M129" s="409">
        <v>0</v>
      </c>
      <c r="N129" s="409">
        <v>10.032999999999999</v>
      </c>
      <c r="O129" s="409">
        <v>10.032999999999999</v>
      </c>
      <c r="P129" s="409">
        <v>10.032999999999999</v>
      </c>
      <c r="Q129" s="409">
        <v>10.032999999999999</v>
      </c>
      <c r="R129" s="409"/>
      <c r="S129" s="409">
        <v>1856.88</v>
      </c>
      <c r="T129" s="409">
        <v>273.74</v>
      </c>
      <c r="U129" s="409"/>
      <c r="V129" s="409">
        <v>21376.510460000001</v>
      </c>
      <c r="W129" s="409">
        <v>21376.510460000001</v>
      </c>
      <c r="X129" s="409">
        <v>19587.124909999999</v>
      </c>
      <c r="Y129" s="409">
        <v>0</v>
      </c>
      <c r="Z129" s="409">
        <v>526.9907354198624</v>
      </c>
      <c r="AA129" s="409">
        <v>0</v>
      </c>
      <c r="AB129" s="409">
        <v>0</v>
      </c>
      <c r="AC129" s="409">
        <v>0</v>
      </c>
      <c r="AD129" s="409">
        <v>4917.0917359774958</v>
      </c>
      <c r="AE129" s="409">
        <v>13066.793799796595</v>
      </c>
      <c r="AF129" s="409">
        <v>2746.425992467231</v>
      </c>
      <c r="AG129" s="409">
        <v>0</v>
      </c>
      <c r="AH129" s="409">
        <v>0</v>
      </c>
      <c r="AI129" s="409">
        <v>0</v>
      </c>
      <c r="AJ129" s="409">
        <v>0</v>
      </c>
      <c r="AK129" s="409">
        <v>0</v>
      </c>
      <c r="AL129" s="409">
        <v>93.673594525791387</v>
      </c>
      <c r="AM129" s="409"/>
      <c r="AN129" s="409">
        <v>8.7095260027091221</v>
      </c>
      <c r="AO129" s="409">
        <v>0</v>
      </c>
      <c r="AP129" s="409">
        <v>0</v>
      </c>
      <c r="AQ129" s="409">
        <v>0</v>
      </c>
      <c r="AR129" s="409">
        <v>0</v>
      </c>
      <c r="AS129" s="409">
        <v>0</v>
      </c>
      <c r="AT129" s="409">
        <v>0</v>
      </c>
      <c r="AU129" s="409">
        <v>0</v>
      </c>
      <c r="AV129" s="409">
        <v>0</v>
      </c>
      <c r="AW129" s="409">
        <v>0</v>
      </c>
      <c r="AX129" s="409">
        <v>0</v>
      </c>
      <c r="AY129" s="409">
        <v>0</v>
      </c>
      <c r="AZ129" s="409">
        <v>0</v>
      </c>
      <c r="BA129" s="409"/>
      <c r="BB129" s="409">
        <v>0</v>
      </c>
      <c r="BC129" s="409">
        <v>0</v>
      </c>
      <c r="BD129" s="409">
        <v>0</v>
      </c>
      <c r="BE129" s="409">
        <v>0</v>
      </c>
      <c r="BF129" s="409">
        <v>0</v>
      </c>
      <c r="BG129" s="409">
        <v>16.788478484075778</v>
      </c>
      <c r="BH129" s="409">
        <v>0</v>
      </c>
      <c r="BI129" s="409">
        <v>0</v>
      </c>
      <c r="BJ129" s="409">
        <v>0</v>
      </c>
      <c r="BK129" s="409">
        <v>0</v>
      </c>
      <c r="BL129" s="409">
        <v>0</v>
      </c>
      <c r="BM129" s="409"/>
      <c r="BN129" s="409"/>
      <c r="BO129" s="409"/>
      <c r="BP129" s="409"/>
      <c r="BQ129" s="409"/>
      <c r="BR129" s="409"/>
      <c r="BS129" s="409"/>
      <c r="BT129" s="409"/>
      <c r="BU129" s="409"/>
      <c r="BV129" s="409">
        <v>2763.2144709513068</v>
      </c>
      <c r="BW129" s="409"/>
      <c r="BX129" s="409"/>
      <c r="BY129" s="409"/>
      <c r="BZ129" s="409"/>
      <c r="CA129" s="409"/>
      <c r="CB129" s="409"/>
      <c r="CC129" s="409"/>
      <c r="CD129" s="409"/>
      <c r="CE129" s="409"/>
      <c r="CF129" s="409"/>
      <c r="CG129" s="409"/>
      <c r="CH129" s="409"/>
      <c r="CI129" s="409">
        <v>19581.268099999998</v>
      </c>
      <c r="CJ129" s="409">
        <v>-1795.272359999999</v>
      </c>
      <c r="CK129" s="409"/>
      <c r="CL129" s="409"/>
      <c r="CM129" s="409"/>
      <c r="CN129" s="409"/>
      <c r="CO129" s="409">
        <v>-1919.8145500000012</v>
      </c>
      <c r="CP129" s="409">
        <v>130.429</v>
      </c>
      <c r="CQ129" s="409">
        <v>30</v>
      </c>
      <c r="CR129" s="409">
        <v>287.72813368909738</v>
      </c>
      <c r="CS129" s="409">
        <v>0</v>
      </c>
      <c r="CT129" s="409">
        <v>0</v>
      </c>
      <c r="CU129" s="409">
        <v>0</v>
      </c>
      <c r="CV129" s="409">
        <v>0</v>
      </c>
      <c r="CW129" s="409">
        <v>0</v>
      </c>
      <c r="CX129" s="409">
        <v>0</v>
      </c>
      <c r="CY129" s="409">
        <v>0</v>
      </c>
      <c r="CZ129" s="409">
        <v>168.5502443919795</v>
      </c>
      <c r="DA129" s="409">
        <v>0</v>
      </c>
      <c r="DB129" s="409">
        <v>0</v>
      </c>
      <c r="DC129" s="409">
        <v>147.94920050011979</v>
      </c>
      <c r="DD129" s="409">
        <v>0</v>
      </c>
      <c r="DE129" s="409">
        <v>0</v>
      </c>
      <c r="DF129" s="409">
        <v>0</v>
      </c>
      <c r="DG129" s="409">
        <v>0.90439064301944683</v>
      </c>
      <c r="DH129" s="409">
        <v>0</v>
      </c>
      <c r="DI129" s="409">
        <v>-33.591061453062252</v>
      </c>
      <c r="DJ129" s="409"/>
      <c r="DK129" s="409">
        <v>0</v>
      </c>
      <c r="DL129" s="409">
        <v>0</v>
      </c>
      <c r="DM129" s="409">
        <v>0</v>
      </c>
      <c r="DN129" s="409">
        <v>0</v>
      </c>
      <c r="DO129" s="409">
        <v>-4.9114749535895328</v>
      </c>
      <c r="DP129" s="409">
        <v>-0.57464947814675149</v>
      </c>
      <c r="DQ129" s="409">
        <v>0</v>
      </c>
      <c r="DR129" s="409">
        <v>9.401484038777344</v>
      </c>
      <c r="DS129" s="409"/>
      <c r="DT129" s="409"/>
      <c r="DU129" s="409"/>
      <c r="DV129" s="409">
        <v>13066.793799796595</v>
      </c>
      <c r="DW129" s="409">
        <v>0</v>
      </c>
      <c r="DX129" s="409">
        <v>0</v>
      </c>
      <c r="DY129" s="409">
        <v>-1919.8145500000028</v>
      </c>
      <c r="DZ129" s="409">
        <v>130.42900000000009</v>
      </c>
      <c r="EA129" s="409">
        <v>0</v>
      </c>
      <c r="EB129" s="409">
        <v>0</v>
      </c>
      <c r="EC129" s="409">
        <v>-2077.0058359713039</v>
      </c>
      <c r="ED129" s="409">
        <v>0</v>
      </c>
      <c r="EE129" s="409">
        <v>0</v>
      </c>
      <c r="EF129" s="409">
        <v>0</v>
      </c>
      <c r="EG129" s="409">
        <v>0</v>
      </c>
      <c r="EH129" s="409">
        <v>0</v>
      </c>
      <c r="EI129" s="409">
        <v>0</v>
      </c>
      <c r="EJ129" s="409">
        <v>0</v>
      </c>
      <c r="EK129" s="409">
        <v>0</v>
      </c>
      <c r="EL129" s="409">
        <v>0</v>
      </c>
      <c r="EM129" s="409">
        <v>0</v>
      </c>
      <c r="EN129" s="409">
        <v>0</v>
      </c>
      <c r="EO129" s="409">
        <v>0</v>
      </c>
      <c r="EP129" s="409">
        <v>0</v>
      </c>
      <c r="EQ129" s="409">
        <v>0</v>
      </c>
      <c r="ER129" s="409">
        <v>0</v>
      </c>
      <c r="ES129" s="409">
        <v>0</v>
      </c>
      <c r="ET129" s="409">
        <v>0</v>
      </c>
      <c r="EU129" s="409">
        <v>0</v>
      </c>
      <c r="EV129" s="409">
        <v>210</v>
      </c>
      <c r="EW129" s="409">
        <v>0</v>
      </c>
      <c r="EX129" s="409">
        <v>0</v>
      </c>
      <c r="EY129" s="409">
        <v>0</v>
      </c>
      <c r="EZ129" s="409"/>
      <c r="FA129" s="409">
        <v>0</v>
      </c>
      <c r="FB129" s="409"/>
      <c r="FC129" s="409"/>
      <c r="FD129" s="409"/>
      <c r="FE129" s="409"/>
      <c r="FF129" s="409">
        <v>0</v>
      </c>
      <c r="FG129" s="409">
        <v>0</v>
      </c>
      <c r="FH129" s="409">
        <v>0</v>
      </c>
      <c r="FI129" s="409">
        <v>0</v>
      </c>
    </row>
    <row r="130" spans="1:165" s="877" customFormat="1">
      <c r="A130" s="409">
        <v>128</v>
      </c>
      <c r="B130" s="409" t="s">
        <v>1035</v>
      </c>
      <c r="C130" s="409" t="s">
        <v>2246</v>
      </c>
      <c r="D130" s="409" t="s">
        <v>595</v>
      </c>
      <c r="E130" s="409" t="s">
        <v>969</v>
      </c>
      <c r="F130" s="409" t="s">
        <v>1323</v>
      </c>
      <c r="G130" s="409" t="s">
        <v>1323</v>
      </c>
      <c r="H130" s="409" t="s">
        <v>1323</v>
      </c>
      <c r="I130" s="409" t="s">
        <v>2234</v>
      </c>
      <c r="J130" s="409" t="s">
        <v>2242</v>
      </c>
      <c r="K130" s="838">
        <v>44440</v>
      </c>
      <c r="L130" s="409">
        <v>0</v>
      </c>
      <c r="M130" s="409">
        <v>0</v>
      </c>
      <c r="N130" s="409">
        <v>84.384</v>
      </c>
      <c r="O130" s="409">
        <v>84.384</v>
      </c>
      <c r="P130" s="409">
        <v>84.384</v>
      </c>
      <c r="Q130" s="409">
        <v>84.384</v>
      </c>
      <c r="R130" s="409"/>
      <c r="S130" s="409">
        <v>64.400000000000006</v>
      </c>
      <c r="T130" s="409">
        <v>273.74</v>
      </c>
      <c r="U130" s="409"/>
      <c r="V130" s="409">
        <v>28533.605760000002</v>
      </c>
      <c r="W130" s="409">
        <v>28533.605760000002</v>
      </c>
      <c r="X130" s="409">
        <v>29317.53312</v>
      </c>
      <c r="Y130" s="409">
        <v>0</v>
      </c>
      <c r="Z130" s="409">
        <v>4432.3319264098154</v>
      </c>
      <c r="AA130" s="409">
        <v>0</v>
      </c>
      <c r="AB130" s="409">
        <v>0</v>
      </c>
      <c r="AC130" s="409">
        <v>0</v>
      </c>
      <c r="AD130" s="409">
        <v>0</v>
      </c>
      <c r="AE130" s="409">
        <v>0</v>
      </c>
      <c r="AF130" s="409">
        <v>23099.213689659609</v>
      </c>
      <c r="AG130" s="409">
        <v>0</v>
      </c>
      <c r="AH130" s="409">
        <v>0</v>
      </c>
      <c r="AI130" s="409">
        <v>0</v>
      </c>
      <c r="AJ130" s="409">
        <v>0</v>
      </c>
      <c r="AK130" s="409">
        <v>0</v>
      </c>
      <c r="AL130" s="409">
        <v>787.85533743290944</v>
      </c>
      <c r="AM130" s="409"/>
      <c r="AN130" s="409">
        <v>73.252730211562508</v>
      </c>
      <c r="AO130" s="409">
        <v>0</v>
      </c>
      <c r="AP130" s="409">
        <v>0</v>
      </c>
      <c r="AQ130" s="409">
        <v>0</v>
      </c>
      <c r="AR130" s="409">
        <v>0</v>
      </c>
      <c r="AS130" s="409">
        <v>0</v>
      </c>
      <c r="AT130" s="409">
        <v>0</v>
      </c>
      <c r="AU130" s="409">
        <v>0</v>
      </c>
      <c r="AV130" s="409">
        <v>0</v>
      </c>
      <c r="AW130" s="409">
        <v>0</v>
      </c>
      <c r="AX130" s="409">
        <v>0</v>
      </c>
      <c r="AY130" s="409">
        <v>0</v>
      </c>
      <c r="AZ130" s="409">
        <v>0</v>
      </c>
      <c r="BA130" s="409"/>
      <c r="BB130" s="409">
        <v>0</v>
      </c>
      <c r="BC130" s="409">
        <v>0</v>
      </c>
      <c r="BD130" s="409">
        <v>0</v>
      </c>
      <c r="BE130" s="409">
        <v>0</v>
      </c>
      <c r="BF130" s="409">
        <v>0</v>
      </c>
      <c r="BG130" s="409">
        <v>141.20193046947577</v>
      </c>
      <c r="BH130" s="409">
        <v>0</v>
      </c>
      <c r="BI130" s="409">
        <v>0</v>
      </c>
      <c r="BJ130" s="409">
        <v>0</v>
      </c>
      <c r="BK130" s="409">
        <v>0</v>
      </c>
      <c r="BL130" s="409">
        <v>0</v>
      </c>
      <c r="BM130" s="409"/>
      <c r="BN130" s="409"/>
      <c r="BO130" s="409"/>
      <c r="BP130" s="409"/>
      <c r="BQ130" s="409"/>
      <c r="BR130" s="409"/>
      <c r="BS130" s="409"/>
      <c r="BT130" s="409"/>
      <c r="BU130" s="409"/>
      <c r="BV130" s="409">
        <v>23240.415620129086</v>
      </c>
      <c r="BW130" s="409"/>
      <c r="BX130" s="409"/>
      <c r="BY130" s="409"/>
      <c r="BZ130" s="409"/>
      <c r="CA130" s="409"/>
      <c r="CB130" s="409"/>
      <c r="CC130" s="409"/>
      <c r="CD130" s="409"/>
      <c r="CE130" s="409"/>
      <c r="CF130" s="409"/>
      <c r="CG130" s="409"/>
      <c r="CH130" s="409"/>
      <c r="CI130" s="409">
        <v>29316.143399999997</v>
      </c>
      <c r="CJ130" s="409">
        <v>782.50763999999617</v>
      </c>
      <c r="CK130" s="409"/>
      <c r="CL130" s="409"/>
      <c r="CM130" s="409"/>
      <c r="CN130" s="409"/>
      <c r="CO130" s="409">
        <v>-313.06464000000068</v>
      </c>
      <c r="CP130" s="409">
        <v>1096.992</v>
      </c>
      <c r="CQ130" s="409">
        <v>30</v>
      </c>
      <c r="CR130" s="409">
        <v>784.05603288569182</v>
      </c>
      <c r="CS130" s="409">
        <v>0</v>
      </c>
      <c r="CT130" s="409">
        <v>0</v>
      </c>
      <c r="CU130" s="409">
        <v>0</v>
      </c>
      <c r="CV130" s="409">
        <v>0</v>
      </c>
      <c r="CW130" s="409">
        <v>0</v>
      </c>
      <c r="CX130" s="409">
        <v>0</v>
      </c>
      <c r="CY130" s="409">
        <v>0</v>
      </c>
      <c r="CZ130" s="409">
        <v>0</v>
      </c>
      <c r="DA130" s="409">
        <v>0</v>
      </c>
      <c r="DB130" s="409">
        <v>0</v>
      </c>
      <c r="DC130" s="409">
        <v>1244.3481844913877</v>
      </c>
      <c r="DD130" s="409">
        <v>0</v>
      </c>
      <c r="DE130" s="409">
        <v>0</v>
      </c>
      <c r="DF130" s="409">
        <v>0</v>
      </c>
      <c r="DG130" s="409">
        <v>7.606508523926351</v>
      </c>
      <c r="DH130" s="409">
        <v>0</v>
      </c>
      <c r="DI130" s="409">
        <v>-282.5224887526374</v>
      </c>
      <c r="DJ130" s="409"/>
      <c r="DK130" s="409">
        <v>0</v>
      </c>
      <c r="DL130" s="409">
        <v>0</v>
      </c>
      <c r="DM130" s="409">
        <v>0</v>
      </c>
      <c r="DN130" s="409">
        <v>0</v>
      </c>
      <c r="DO130" s="409">
        <v>-41.308671631984339</v>
      </c>
      <c r="DP130" s="409">
        <v>-4.8331726865280018</v>
      </c>
      <c r="DQ130" s="409">
        <v>0</v>
      </c>
      <c r="DR130" s="409">
        <v>-139.2343270584733</v>
      </c>
      <c r="DS130" s="409"/>
      <c r="DT130" s="409"/>
      <c r="DU130" s="409"/>
      <c r="DV130" s="409">
        <v>0</v>
      </c>
      <c r="DW130" s="409">
        <v>0</v>
      </c>
      <c r="DX130" s="409">
        <v>0</v>
      </c>
      <c r="DY130" s="409">
        <v>-313.06464000000142</v>
      </c>
      <c r="DZ130" s="409">
        <v>1096.9919999999984</v>
      </c>
      <c r="EA130" s="409">
        <v>0</v>
      </c>
      <c r="EB130" s="409">
        <v>0</v>
      </c>
      <c r="EC130" s="409">
        <v>0</v>
      </c>
      <c r="ED130" s="409">
        <v>0</v>
      </c>
      <c r="EE130" s="409">
        <v>0</v>
      </c>
      <c r="EF130" s="409">
        <v>0</v>
      </c>
      <c r="EG130" s="409">
        <v>0</v>
      </c>
      <c r="EH130" s="409">
        <v>0</v>
      </c>
      <c r="EI130" s="409">
        <v>0</v>
      </c>
      <c r="EJ130" s="409">
        <v>0</v>
      </c>
      <c r="EK130" s="409">
        <v>0</v>
      </c>
      <c r="EL130" s="409">
        <v>0</v>
      </c>
      <c r="EM130" s="409">
        <v>0</v>
      </c>
      <c r="EN130" s="409">
        <v>0</v>
      </c>
      <c r="EO130" s="409">
        <v>0</v>
      </c>
      <c r="EP130" s="409">
        <v>0</v>
      </c>
      <c r="EQ130" s="409">
        <v>0</v>
      </c>
      <c r="ER130" s="409">
        <v>0</v>
      </c>
      <c r="ES130" s="409">
        <v>0</v>
      </c>
      <c r="ET130" s="409">
        <v>0</v>
      </c>
      <c r="EU130" s="409">
        <v>0</v>
      </c>
      <c r="EV130" s="409">
        <v>210</v>
      </c>
      <c r="EW130" s="409">
        <v>0</v>
      </c>
      <c r="EX130" s="409">
        <v>0</v>
      </c>
      <c r="EY130" s="409">
        <v>0</v>
      </c>
      <c r="EZ130" s="409"/>
      <c r="FA130" s="409">
        <v>0</v>
      </c>
      <c r="FB130" s="409"/>
      <c r="FC130" s="409"/>
      <c r="FD130" s="409"/>
      <c r="FE130" s="409"/>
      <c r="FF130" s="409">
        <v>0</v>
      </c>
      <c r="FG130" s="409">
        <v>0</v>
      </c>
      <c r="FH130" s="409">
        <v>0</v>
      </c>
      <c r="FI130" s="409">
        <v>0</v>
      </c>
    </row>
    <row r="131" spans="1:165" s="877" customFormat="1">
      <c r="A131" s="409">
        <v>129</v>
      </c>
      <c r="B131" s="409" t="s">
        <v>1035</v>
      </c>
      <c r="C131" s="409" t="s">
        <v>2246</v>
      </c>
      <c r="D131" s="409" t="s">
        <v>595</v>
      </c>
      <c r="E131" s="409" t="s">
        <v>969</v>
      </c>
      <c r="F131" s="409" t="s">
        <v>1323</v>
      </c>
      <c r="G131" s="409" t="s">
        <v>1323</v>
      </c>
      <c r="H131" s="409" t="s">
        <v>1323</v>
      </c>
      <c r="I131" s="409" t="s">
        <v>1323</v>
      </c>
      <c r="J131" s="409" t="s">
        <v>2242</v>
      </c>
      <c r="K131" s="838">
        <v>44440</v>
      </c>
      <c r="L131" s="409">
        <v>843</v>
      </c>
      <c r="M131" s="409">
        <v>843</v>
      </c>
      <c r="N131" s="409">
        <v>0</v>
      </c>
      <c r="O131" s="409">
        <v>0</v>
      </c>
      <c r="P131" s="409">
        <v>0</v>
      </c>
      <c r="Q131" s="409">
        <v>0</v>
      </c>
      <c r="R131" s="409">
        <v>33.6</v>
      </c>
      <c r="S131" s="409"/>
      <c r="T131" s="409"/>
      <c r="U131" s="409">
        <v>28324.800000000003</v>
      </c>
      <c r="V131" s="409"/>
      <c r="W131" s="409">
        <v>28324.800000000003</v>
      </c>
      <c r="X131" s="409">
        <v>26773.68</v>
      </c>
      <c r="Y131" s="409">
        <v>0</v>
      </c>
      <c r="Z131" s="409">
        <v>0</v>
      </c>
      <c r="AA131" s="409">
        <v>0</v>
      </c>
      <c r="AB131" s="409">
        <v>0</v>
      </c>
      <c r="AC131" s="409">
        <v>0</v>
      </c>
      <c r="AD131" s="409">
        <v>15043.769038745078</v>
      </c>
      <c r="AE131" s="409">
        <v>13281.591460987915</v>
      </c>
      <c r="AF131" s="409"/>
      <c r="AG131" s="409"/>
      <c r="AH131" s="409"/>
      <c r="AI131" s="409">
        <v>0</v>
      </c>
      <c r="AJ131" s="409">
        <v>0</v>
      </c>
      <c r="AK131" s="409">
        <v>0</v>
      </c>
      <c r="AL131" s="409">
        <v>0</v>
      </c>
      <c r="AM131" s="409"/>
      <c r="AN131" s="409">
        <v>0</v>
      </c>
      <c r="AO131" s="409">
        <v>0</v>
      </c>
      <c r="AP131" s="409">
        <v>0</v>
      </c>
      <c r="AQ131" s="409">
        <v>0</v>
      </c>
      <c r="AR131" s="409">
        <v>0</v>
      </c>
      <c r="AS131" s="409"/>
      <c r="AT131" s="409"/>
      <c r="AU131" s="409">
        <v>0</v>
      </c>
      <c r="AV131" s="409">
        <v>0</v>
      </c>
      <c r="AW131" s="409">
        <v>0</v>
      </c>
      <c r="AX131" s="409"/>
      <c r="AY131" s="409"/>
      <c r="AZ131" s="409">
        <v>0</v>
      </c>
      <c r="BA131" s="409"/>
      <c r="BB131" s="409">
        <v>0</v>
      </c>
      <c r="BC131" s="409">
        <v>0</v>
      </c>
      <c r="BD131" s="409">
        <v>0</v>
      </c>
      <c r="BE131" s="409">
        <v>0</v>
      </c>
      <c r="BF131" s="409"/>
      <c r="BG131" s="409">
        <v>0</v>
      </c>
      <c r="BH131" s="409">
        <v>0</v>
      </c>
      <c r="BI131" s="409">
        <v>578.16</v>
      </c>
      <c r="BJ131" s="409">
        <v>2668.44</v>
      </c>
      <c r="BK131" s="409">
        <v>15344.25</v>
      </c>
      <c r="BL131" s="409">
        <v>3</v>
      </c>
      <c r="BM131" s="409"/>
      <c r="BN131" s="409"/>
      <c r="BO131" s="409"/>
      <c r="BP131" s="409"/>
      <c r="BQ131" s="409"/>
      <c r="BR131" s="409"/>
      <c r="BS131" s="409"/>
      <c r="BT131" s="409"/>
      <c r="BU131" s="409"/>
      <c r="BV131" s="409">
        <v>0</v>
      </c>
      <c r="BW131" s="409"/>
      <c r="BX131" s="409"/>
      <c r="BY131" s="409"/>
      <c r="BZ131" s="409"/>
      <c r="CA131" s="409"/>
      <c r="CB131" s="409"/>
      <c r="CC131" s="409"/>
      <c r="CD131" s="409"/>
      <c r="CE131" s="409"/>
      <c r="CF131" s="409"/>
      <c r="CG131" s="409"/>
      <c r="CH131" s="409"/>
      <c r="CI131" s="409">
        <v>26773.68</v>
      </c>
      <c r="CJ131" s="409">
        <v>-1551.1499999999978</v>
      </c>
      <c r="CK131" s="409"/>
      <c r="CL131" s="409"/>
      <c r="CM131" s="409"/>
      <c r="CN131" s="409"/>
      <c r="CO131" s="409">
        <v>-1551.12</v>
      </c>
      <c r="CP131" s="409">
        <v>0</v>
      </c>
      <c r="CQ131" s="409">
        <v>30</v>
      </c>
      <c r="CR131" s="409">
        <v>556.55876744722991</v>
      </c>
      <c r="CS131" s="409">
        <v>0</v>
      </c>
      <c r="CT131" s="409">
        <v>0</v>
      </c>
      <c r="CU131" s="409">
        <v>0</v>
      </c>
      <c r="CV131" s="409">
        <v>0</v>
      </c>
      <c r="CW131" s="409"/>
      <c r="CX131" s="409"/>
      <c r="CY131" s="409"/>
      <c r="CZ131" s="409">
        <v>515.67696602117758</v>
      </c>
      <c r="DA131" s="409">
        <v>0</v>
      </c>
      <c r="DB131" s="409">
        <v>0</v>
      </c>
      <c r="DC131" s="409"/>
      <c r="DD131" s="409"/>
      <c r="DE131" s="409">
        <v>0</v>
      </c>
      <c r="DF131" s="409">
        <v>0</v>
      </c>
      <c r="DG131" s="409">
        <v>0</v>
      </c>
      <c r="DH131" s="409">
        <v>0</v>
      </c>
      <c r="DI131" s="409">
        <v>0</v>
      </c>
      <c r="DJ131" s="409"/>
      <c r="DK131" s="409">
        <v>0</v>
      </c>
      <c r="DL131" s="409">
        <v>0</v>
      </c>
      <c r="DM131" s="409"/>
      <c r="DN131" s="409">
        <v>0</v>
      </c>
      <c r="DO131" s="409">
        <v>0</v>
      </c>
      <c r="DP131" s="409">
        <v>0</v>
      </c>
      <c r="DQ131" s="409">
        <v>0</v>
      </c>
      <c r="DR131" s="409">
        <v>40.881801426052682</v>
      </c>
      <c r="DS131" s="409"/>
      <c r="DT131" s="409"/>
      <c r="DU131" s="409">
        <v>13281.591460987915</v>
      </c>
      <c r="DV131" s="409"/>
      <c r="DW131" s="409">
        <v>0</v>
      </c>
      <c r="DX131" s="409">
        <v>0</v>
      </c>
      <c r="DY131" s="409">
        <v>-1551.1200000000026</v>
      </c>
      <c r="DZ131" s="409"/>
      <c r="EA131" s="409">
        <v>0</v>
      </c>
      <c r="EB131" s="409"/>
      <c r="EC131" s="409">
        <v>-2111.1485646837755</v>
      </c>
      <c r="ED131" s="409"/>
      <c r="EE131" s="409">
        <v>0</v>
      </c>
      <c r="EF131" s="409">
        <v>0</v>
      </c>
      <c r="EG131" s="409"/>
      <c r="EH131" s="409">
        <v>0</v>
      </c>
      <c r="EI131" s="409">
        <v>0</v>
      </c>
      <c r="EJ131" s="409">
        <v>0</v>
      </c>
      <c r="EK131" s="409">
        <v>0</v>
      </c>
      <c r="EL131" s="409">
        <v>0</v>
      </c>
      <c r="EM131" s="409"/>
      <c r="EN131" s="409"/>
      <c r="EO131" s="409">
        <v>0</v>
      </c>
      <c r="EP131" s="409">
        <v>0</v>
      </c>
      <c r="EQ131" s="409"/>
      <c r="ER131" s="409">
        <v>0</v>
      </c>
      <c r="ES131" s="409"/>
      <c r="ET131" s="409">
        <v>0</v>
      </c>
      <c r="EU131" s="409"/>
      <c r="EV131" s="409">
        <v>210</v>
      </c>
      <c r="EW131" s="409"/>
      <c r="EX131" s="409"/>
      <c r="EY131" s="409"/>
      <c r="EZ131" s="409"/>
      <c r="FA131" s="409">
        <v>0</v>
      </c>
      <c r="FB131" s="409"/>
      <c r="FC131" s="409"/>
      <c r="FD131" s="409"/>
      <c r="FE131" s="409"/>
      <c r="FF131" s="409">
        <v>0</v>
      </c>
      <c r="FG131" s="409">
        <v>0</v>
      </c>
      <c r="FH131" s="409">
        <v>0</v>
      </c>
      <c r="FI131" s="409">
        <v>0</v>
      </c>
    </row>
    <row r="132" spans="1:165" s="877" customFormat="1">
      <c r="A132" s="409">
        <v>130</v>
      </c>
      <c r="B132" s="409" t="s">
        <v>1035</v>
      </c>
      <c r="C132" s="409" t="s">
        <v>2241</v>
      </c>
      <c r="D132" s="409" t="s">
        <v>1992</v>
      </c>
      <c r="E132" s="409" t="s">
        <v>997</v>
      </c>
      <c r="F132" s="409" t="s">
        <v>1323</v>
      </c>
      <c r="G132" s="409" t="s">
        <v>1323</v>
      </c>
      <c r="H132" s="409" t="s">
        <v>1323</v>
      </c>
      <c r="I132" s="409" t="s">
        <v>1323</v>
      </c>
      <c r="J132" s="409" t="s">
        <v>2242</v>
      </c>
      <c r="K132" s="838">
        <v>44440</v>
      </c>
      <c r="L132" s="409">
        <v>0</v>
      </c>
      <c r="M132" s="409">
        <v>0</v>
      </c>
      <c r="N132" s="409">
        <v>55.838000000000001</v>
      </c>
      <c r="O132" s="409">
        <v>55.838000000000001</v>
      </c>
      <c r="P132" s="409">
        <v>55.838000000000001</v>
      </c>
      <c r="Q132" s="409">
        <v>55.838000000000001</v>
      </c>
      <c r="R132" s="409"/>
      <c r="S132" s="409">
        <v>358.62</v>
      </c>
      <c r="T132" s="409">
        <v>273.74</v>
      </c>
      <c r="U132" s="409"/>
      <c r="V132" s="409">
        <v>35309.717680000002</v>
      </c>
      <c r="W132" s="409">
        <v>35309.717680000002</v>
      </c>
      <c r="X132" s="409">
        <v>34236.511319999998</v>
      </c>
      <c r="Y132" s="409">
        <v>0</v>
      </c>
      <c r="Z132" s="409">
        <v>3371.1864278197231</v>
      </c>
      <c r="AA132" s="409">
        <v>0</v>
      </c>
      <c r="AB132" s="409">
        <v>0</v>
      </c>
      <c r="AC132" s="409">
        <v>0</v>
      </c>
      <c r="AD132" s="409">
        <v>4807.0106512540306</v>
      </c>
      <c r="AE132" s="409">
        <v>11060.345925333217</v>
      </c>
      <c r="AF132" s="409">
        <v>15285.052782556091</v>
      </c>
      <c r="AG132" s="409">
        <v>0</v>
      </c>
      <c r="AH132" s="409">
        <v>0</v>
      </c>
      <c r="AI132" s="409">
        <v>0</v>
      </c>
      <c r="AJ132" s="409">
        <v>0</v>
      </c>
      <c r="AK132" s="409">
        <v>0</v>
      </c>
      <c r="AL132" s="409">
        <v>521.33421420623336</v>
      </c>
      <c r="AM132" s="409"/>
      <c r="AN132" s="409">
        <v>59.472571982871166</v>
      </c>
      <c r="AO132" s="409">
        <v>0</v>
      </c>
      <c r="AP132" s="409">
        <v>0</v>
      </c>
      <c r="AQ132" s="409">
        <v>0</v>
      </c>
      <c r="AR132" s="409">
        <v>0</v>
      </c>
      <c r="AS132" s="409">
        <v>0</v>
      </c>
      <c r="AT132" s="409">
        <v>0</v>
      </c>
      <c r="AU132" s="409">
        <v>0</v>
      </c>
      <c r="AV132" s="409">
        <v>0</v>
      </c>
      <c r="AW132" s="409">
        <v>0</v>
      </c>
      <c r="AX132" s="409">
        <v>0</v>
      </c>
      <c r="AY132" s="409">
        <v>0</v>
      </c>
      <c r="AZ132" s="409">
        <v>0</v>
      </c>
      <c r="BA132" s="409"/>
      <c r="BB132" s="409">
        <v>0</v>
      </c>
      <c r="BC132" s="409">
        <v>0</v>
      </c>
      <c r="BD132" s="409">
        <v>0</v>
      </c>
      <c r="BE132" s="409">
        <v>0</v>
      </c>
      <c r="BF132" s="409">
        <v>0</v>
      </c>
      <c r="BG132" s="409">
        <v>205.39596428380062</v>
      </c>
      <c r="BH132" s="409">
        <v>0</v>
      </c>
      <c r="BI132" s="409">
        <v>263.26</v>
      </c>
      <c r="BJ132" s="409">
        <v>1216.1099999999999</v>
      </c>
      <c r="BK132" s="409">
        <v>9002.9500000000007</v>
      </c>
      <c r="BL132" s="409">
        <v>67</v>
      </c>
      <c r="BM132" s="409"/>
      <c r="BN132" s="409"/>
      <c r="BO132" s="409"/>
      <c r="BP132" s="409"/>
      <c r="BQ132" s="409"/>
      <c r="BR132" s="409"/>
      <c r="BS132" s="409"/>
      <c r="BT132" s="409"/>
      <c r="BU132" s="409"/>
      <c r="BV132" s="409">
        <v>15490.448746839891</v>
      </c>
      <c r="BW132" s="409"/>
      <c r="BX132" s="409"/>
      <c r="BY132" s="409"/>
      <c r="BZ132" s="409"/>
      <c r="CA132" s="409"/>
      <c r="CB132" s="409"/>
      <c r="CC132" s="409"/>
      <c r="CD132" s="409"/>
      <c r="CE132" s="409"/>
      <c r="CF132" s="409"/>
      <c r="CG132" s="409"/>
      <c r="CH132" s="409"/>
      <c r="CI132" s="409">
        <v>34237.7376</v>
      </c>
      <c r="CJ132" s="409">
        <v>-1072.01008</v>
      </c>
      <c r="CK132" s="409"/>
      <c r="CL132" s="409"/>
      <c r="CM132" s="409"/>
      <c r="CN132" s="409"/>
      <c r="CO132" s="409">
        <v>-1799.1003600000015</v>
      </c>
      <c r="CP132" s="409">
        <v>725.89400000000001</v>
      </c>
      <c r="CQ132" s="409">
        <v>30</v>
      </c>
      <c r="CR132" s="409">
        <v>684.67886847078989</v>
      </c>
      <c r="CS132" s="409">
        <v>0</v>
      </c>
      <c r="CT132" s="409">
        <v>0</v>
      </c>
      <c r="CU132" s="409">
        <v>0</v>
      </c>
      <c r="CV132" s="409">
        <v>0</v>
      </c>
      <c r="CW132" s="409">
        <v>0</v>
      </c>
      <c r="CX132" s="409">
        <v>0</v>
      </c>
      <c r="CY132" s="409">
        <v>0</v>
      </c>
      <c r="CZ132" s="409">
        <v>164.77683630254069</v>
      </c>
      <c r="DA132" s="409">
        <v>0</v>
      </c>
      <c r="DB132" s="409">
        <v>0</v>
      </c>
      <c r="DC132" s="409">
        <v>823.4015207341472</v>
      </c>
      <c r="DD132" s="409">
        <v>0</v>
      </c>
      <c r="DE132" s="409">
        <v>0</v>
      </c>
      <c r="DF132" s="409">
        <v>0</v>
      </c>
      <c r="DG132" s="409">
        <v>11.064623181213619</v>
      </c>
      <c r="DH132" s="409">
        <v>0</v>
      </c>
      <c r="DI132" s="409">
        <v>-214.88372158269658</v>
      </c>
      <c r="DJ132" s="409"/>
      <c r="DK132" s="409">
        <v>0</v>
      </c>
      <c r="DL132" s="409">
        <v>0</v>
      </c>
      <c r="DM132" s="409">
        <v>0</v>
      </c>
      <c r="DN132" s="409">
        <v>0</v>
      </c>
      <c r="DO132" s="409">
        <v>-27.334490028758296</v>
      </c>
      <c r="DP132" s="409">
        <v>-3.9239658327413309</v>
      </c>
      <c r="DQ132" s="409">
        <v>0</v>
      </c>
      <c r="DR132" s="409">
        <v>-68.421934302916611</v>
      </c>
      <c r="DS132" s="409"/>
      <c r="DT132" s="409"/>
      <c r="DU132" s="409"/>
      <c r="DV132" s="409">
        <v>11060.345925333217</v>
      </c>
      <c r="DW132" s="409">
        <v>0</v>
      </c>
      <c r="DX132" s="409">
        <v>0</v>
      </c>
      <c r="DY132" s="409">
        <v>-1799.1003600000004</v>
      </c>
      <c r="DZ132" s="409">
        <v>725.89399999999841</v>
      </c>
      <c r="EA132" s="409">
        <v>0</v>
      </c>
      <c r="EB132" s="409">
        <v>0</v>
      </c>
      <c r="EC132" s="409">
        <v>-1758.0749636637884</v>
      </c>
      <c r="ED132" s="409">
        <v>0</v>
      </c>
      <c r="EE132" s="409">
        <v>0</v>
      </c>
      <c r="EF132" s="409">
        <v>0</v>
      </c>
      <c r="EG132" s="409">
        <v>0</v>
      </c>
      <c r="EH132" s="409">
        <v>0</v>
      </c>
      <c r="EI132" s="409">
        <v>0</v>
      </c>
      <c r="EJ132" s="409">
        <v>0</v>
      </c>
      <c r="EK132" s="409">
        <v>0</v>
      </c>
      <c r="EL132" s="409">
        <v>0</v>
      </c>
      <c r="EM132" s="409">
        <v>0</v>
      </c>
      <c r="EN132" s="409">
        <v>0</v>
      </c>
      <c r="EO132" s="409">
        <v>0</v>
      </c>
      <c r="EP132" s="409">
        <v>0</v>
      </c>
      <c r="EQ132" s="409">
        <v>0</v>
      </c>
      <c r="ER132" s="409">
        <v>0</v>
      </c>
      <c r="ES132" s="409">
        <v>0</v>
      </c>
      <c r="ET132" s="409">
        <v>0</v>
      </c>
      <c r="EU132" s="409">
        <v>0</v>
      </c>
      <c r="EV132" s="409">
        <v>210</v>
      </c>
      <c r="EW132" s="409">
        <v>0</v>
      </c>
      <c r="EX132" s="409">
        <v>0</v>
      </c>
      <c r="EY132" s="409">
        <v>0</v>
      </c>
      <c r="EZ132" s="409"/>
      <c r="FA132" s="409">
        <v>0</v>
      </c>
      <c r="FB132" s="409"/>
      <c r="FC132" s="409"/>
      <c r="FD132" s="409"/>
      <c r="FE132" s="409"/>
      <c r="FF132" s="409">
        <v>0</v>
      </c>
      <c r="FG132" s="409">
        <v>0</v>
      </c>
      <c r="FH132" s="409">
        <v>0</v>
      </c>
      <c r="FI132" s="409">
        <v>0</v>
      </c>
    </row>
    <row r="133" spans="1:165">
      <c r="A133" s="409">
        <v>131</v>
      </c>
      <c r="B133" s="409" t="s">
        <v>2240</v>
      </c>
      <c r="C133" s="409" t="s">
        <v>2241</v>
      </c>
      <c r="D133" s="409" t="s">
        <v>1992</v>
      </c>
      <c r="E133" s="409" t="s">
        <v>997</v>
      </c>
      <c r="F133" s="409" t="s">
        <v>1323</v>
      </c>
      <c r="G133" s="409" t="s">
        <v>1323</v>
      </c>
      <c r="H133" s="409" t="s">
        <v>1323</v>
      </c>
      <c r="I133" s="409" t="s">
        <v>1323</v>
      </c>
      <c r="J133" s="409" t="s">
        <v>2242</v>
      </c>
      <c r="K133" s="838">
        <v>44440</v>
      </c>
      <c r="L133" s="409">
        <v>0</v>
      </c>
      <c r="M133" s="409">
        <v>0</v>
      </c>
      <c r="N133" s="409">
        <v>0.1</v>
      </c>
      <c r="O133" s="409">
        <v>0.1</v>
      </c>
      <c r="P133" s="409">
        <v>0.1</v>
      </c>
      <c r="Q133" s="409">
        <v>0.1</v>
      </c>
      <c r="R133" s="409"/>
      <c r="S133" s="409">
        <v>358.62</v>
      </c>
      <c r="T133" s="409">
        <v>273.74</v>
      </c>
      <c r="U133" s="409"/>
      <c r="V133" s="409">
        <v>63.236000000000004</v>
      </c>
      <c r="W133" s="409">
        <v>63.236000000000004</v>
      </c>
      <c r="X133" s="409">
        <v>61.314000000000007</v>
      </c>
      <c r="Y133" s="409">
        <v>0</v>
      </c>
      <c r="Z133" s="409">
        <v>6.03744121891852</v>
      </c>
      <c r="AA133" s="409">
        <v>0</v>
      </c>
      <c r="AB133" s="409">
        <v>0</v>
      </c>
      <c r="AC133" s="409">
        <v>0</v>
      </c>
      <c r="AD133" s="409">
        <v>8.6088517698592906</v>
      </c>
      <c r="AE133" s="409">
        <v>19.807919204364801</v>
      </c>
      <c r="AF133" s="409">
        <v>27.373925968974699</v>
      </c>
      <c r="AG133" s="409">
        <v>0</v>
      </c>
      <c r="AH133" s="409">
        <v>0</v>
      </c>
      <c r="AI133" s="409">
        <v>0</v>
      </c>
      <c r="AJ133" s="409">
        <v>0</v>
      </c>
      <c r="AK133" s="409">
        <v>0</v>
      </c>
      <c r="AL133" s="409">
        <v>0.93365488414025111</v>
      </c>
      <c r="AM133" s="409"/>
      <c r="AN133" s="409">
        <v>0.10650913711607</v>
      </c>
      <c r="AO133" s="409">
        <v>0</v>
      </c>
      <c r="AP133" s="409">
        <v>0</v>
      </c>
      <c r="AQ133" s="409">
        <v>0</v>
      </c>
      <c r="AR133" s="409">
        <v>0</v>
      </c>
      <c r="AS133" s="409">
        <v>0</v>
      </c>
      <c r="AT133" s="409">
        <v>0</v>
      </c>
      <c r="AU133" s="409">
        <v>0</v>
      </c>
      <c r="AV133" s="409">
        <v>0</v>
      </c>
      <c r="AW133" s="409">
        <v>0</v>
      </c>
      <c r="AX133" s="409">
        <v>0</v>
      </c>
      <c r="AY133" s="409">
        <v>0</v>
      </c>
      <c r="AZ133" s="409">
        <v>0</v>
      </c>
      <c r="BA133" s="409"/>
      <c r="BB133" s="409">
        <v>0</v>
      </c>
      <c r="BC133" s="409">
        <v>0</v>
      </c>
      <c r="BD133" s="409">
        <v>0</v>
      </c>
      <c r="BE133" s="409">
        <v>0</v>
      </c>
      <c r="BF133" s="409">
        <v>0</v>
      </c>
      <c r="BG133" s="409">
        <v>0.36784262381138405</v>
      </c>
      <c r="BH133" s="409">
        <v>0</v>
      </c>
      <c r="BI133" s="409">
        <v>0.57999999999999996</v>
      </c>
      <c r="BJ133" s="409">
        <v>2.71</v>
      </c>
      <c r="BK133" s="409">
        <v>137.56</v>
      </c>
      <c r="BL133" s="409">
        <v>1</v>
      </c>
      <c r="BM133" s="409"/>
      <c r="BN133" s="409"/>
      <c r="BO133" s="409"/>
      <c r="BP133" s="409"/>
      <c r="BQ133" s="409"/>
      <c r="BR133" s="409"/>
      <c r="BS133" s="409"/>
      <c r="BT133" s="409"/>
      <c r="BU133" s="409"/>
      <c r="BV133" s="409">
        <v>27.741768592786084</v>
      </c>
      <c r="BW133" s="409"/>
      <c r="BX133" s="409"/>
      <c r="BY133" s="409"/>
      <c r="BZ133" s="409"/>
      <c r="CA133" s="409"/>
      <c r="CB133" s="409"/>
      <c r="CC133" s="409"/>
      <c r="CD133" s="409"/>
      <c r="CE133" s="409"/>
      <c r="CF133" s="409"/>
      <c r="CG133" s="409"/>
      <c r="CH133" s="409"/>
      <c r="CI133" s="409">
        <v>61.314000000000007</v>
      </c>
      <c r="CJ133" s="409">
        <v>-1.9519999999999911</v>
      </c>
      <c r="CK133" s="409"/>
      <c r="CL133" s="409"/>
      <c r="CM133" s="409"/>
      <c r="CN133" s="409"/>
      <c r="CO133" s="409">
        <v>-3.2220000000000031</v>
      </c>
      <c r="CP133" s="409">
        <v>1.3</v>
      </c>
      <c r="CQ133" s="409">
        <v>30</v>
      </c>
      <c r="CR133" s="409">
        <v>1.2261880233367748</v>
      </c>
      <c r="CS133" s="409">
        <v>0</v>
      </c>
      <c r="CT133" s="409">
        <v>0</v>
      </c>
      <c r="CU133" s="409">
        <v>0</v>
      </c>
      <c r="CV133" s="409">
        <v>0</v>
      </c>
      <c r="CW133" s="409">
        <v>0</v>
      </c>
      <c r="CX133" s="409">
        <v>0</v>
      </c>
      <c r="CY133" s="409">
        <v>0</v>
      </c>
      <c r="CZ133" s="409">
        <v>0.29509802697543108</v>
      </c>
      <c r="DA133" s="409">
        <v>0</v>
      </c>
      <c r="DB133" s="409">
        <v>0</v>
      </c>
      <c r="DC133" s="409">
        <v>1.4746257400590004</v>
      </c>
      <c r="DD133" s="409">
        <v>0</v>
      </c>
      <c r="DE133" s="409">
        <v>0</v>
      </c>
      <c r="DF133" s="409">
        <v>0</v>
      </c>
      <c r="DG133" s="409">
        <v>1.9815579320916987E-2</v>
      </c>
      <c r="DH133" s="409">
        <v>0</v>
      </c>
      <c r="DI133" s="409">
        <v>-0.38483420176707028</v>
      </c>
      <c r="DJ133" s="409"/>
      <c r="DK133" s="409">
        <v>0</v>
      </c>
      <c r="DL133" s="409">
        <v>0</v>
      </c>
      <c r="DM133" s="409">
        <v>0</v>
      </c>
      <c r="DN133" s="409">
        <v>0</v>
      </c>
      <c r="DO133" s="409">
        <v>-4.8953203962817993E-2</v>
      </c>
      <c r="DP133" s="409">
        <v>-7.0274111406950918E-3</v>
      </c>
      <c r="DQ133" s="409">
        <v>0</v>
      </c>
      <c r="DR133" s="409">
        <v>-0.12253650614799351</v>
      </c>
      <c r="DS133" s="409"/>
      <c r="DT133" s="409"/>
      <c r="DU133" s="409"/>
      <c r="DV133" s="409">
        <v>19.807919204364801</v>
      </c>
      <c r="DW133" s="409">
        <v>0</v>
      </c>
      <c r="DX133" s="409">
        <v>0</v>
      </c>
      <c r="DY133" s="409">
        <v>-3.2220000000000013</v>
      </c>
      <c r="DZ133" s="409">
        <v>1.3000000000000007</v>
      </c>
      <c r="EA133" s="409">
        <v>0</v>
      </c>
      <c r="EB133" s="409">
        <v>0</v>
      </c>
      <c r="EC133" s="409">
        <v>-3.1485278191622008</v>
      </c>
      <c r="ED133" s="409">
        <v>0</v>
      </c>
      <c r="EE133" s="409">
        <v>0</v>
      </c>
      <c r="EF133" s="409">
        <v>0</v>
      </c>
      <c r="EG133" s="409">
        <v>0</v>
      </c>
      <c r="EH133" s="409">
        <v>0</v>
      </c>
      <c r="EI133" s="409">
        <v>0</v>
      </c>
      <c r="EJ133" s="409">
        <v>0</v>
      </c>
      <c r="EK133" s="409">
        <v>0</v>
      </c>
      <c r="EL133" s="409">
        <v>0</v>
      </c>
      <c r="EM133" s="409">
        <v>0</v>
      </c>
      <c r="EN133" s="409">
        <v>0</v>
      </c>
      <c r="EO133" s="409">
        <v>0</v>
      </c>
      <c r="EP133" s="409">
        <v>0</v>
      </c>
      <c r="EQ133" s="409">
        <v>0</v>
      </c>
      <c r="ER133" s="409">
        <v>0</v>
      </c>
      <c r="ES133" s="409">
        <v>0</v>
      </c>
      <c r="ET133" s="409">
        <v>0</v>
      </c>
      <c r="EU133" s="409">
        <v>0</v>
      </c>
      <c r="EV133" s="409">
        <v>210</v>
      </c>
      <c r="EW133" s="409">
        <v>0</v>
      </c>
      <c r="EX133" s="409">
        <v>0</v>
      </c>
      <c r="EY133" s="409">
        <v>0</v>
      </c>
      <c r="EZ133" s="409"/>
      <c r="FA133" s="409">
        <v>0</v>
      </c>
      <c r="FB133" s="409"/>
      <c r="FC133" s="409"/>
      <c r="FD133" s="409"/>
      <c r="FE133" s="409"/>
      <c r="FF133" s="409">
        <v>0</v>
      </c>
      <c r="FG133" s="409">
        <v>0</v>
      </c>
      <c r="FH133" s="409">
        <v>0</v>
      </c>
      <c r="FI133" s="409">
        <v>0</v>
      </c>
    </row>
    <row r="134" spans="1:165">
      <c r="A134" s="409">
        <v>132</v>
      </c>
      <c r="B134" s="409" t="s">
        <v>1035</v>
      </c>
      <c r="C134" s="409" t="s">
        <v>2246</v>
      </c>
      <c r="D134" s="409" t="s">
        <v>595</v>
      </c>
      <c r="E134" s="409" t="s">
        <v>997</v>
      </c>
      <c r="F134" s="409" t="s">
        <v>1323</v>
      </c>
      <c r="G134" s="409" t="s">
        <v>1323</v>
      </c>
      <c r="H134" s="409" t="s">
        <v>1323</v>
      </c>
      <c r="I134" s="409" t="s">
        <v>972</v>
      </c>
      <c r="J134" s="409" t="s">
        <v>2242</v>
      </c>
      <c r="K134" s="838">
        <v>44440</v>
      </c>
      <c r="L134" s="409">
        <v>0</v>
      </c>
      <c r="M134" s="409">
        <v>0</v>
      </c>
      <c r="N134" s="409">
        <v>0.32600000000000001</v>
      </c>
      <c r="O134" s="409">
        <v>0.32600000000000001</v>
      </c>
      <c r="P134" s="409">
        <v>0.32600000000000001</v>
      </c>
      <c r="Q134" s="409">
        <v>0.32600000000000001</v>
      </c>
      <c r="R134" s="409"/>
      <c r="S134" s="409">
        <v>1856.88</v>
      </c>
      <c r="T134" s="409">
        <v>273.74</v>
      </c>
      <c r="U134" s="409"/>
      <c r="V134" s="409">
        <v>694.58212000000003</v>
      </c>
      <c r="W134" s="409">
        <v>694.58212000000003</v>
      </c>
      <c r="X134" s="409">
        <v>636.44002000000012</v>
      </c>
      <c r="Y134" s="409">
        <v>0</v>
      </c>
      <c r="Z134" s="409">
        <v>17.123390785096699</v>
      </c>
      <c r="AA134" s="409">
        <v>0</v>
      </c>
      <c r="AB134" s="409">
        <v>0</v>
      </c>
      <c r="AC134" s="409">
        <v>0</v>
      </c>
      <c r="AD134" s="409">
        <v>159.76994975866279</v>
      </c>
      <c r="AE134" s="409">
        <v>424.57637583311976</v>
      </c>
      <c r="AF134" s="409">
        <v>89.238998658857511</v>
      </c>
      <c r="AG134" s="409">
        <v>0</v>
      </c>
      <c r="AH134" s="409">
        <v>0</v>
      </c>
      <c r="AI134" s="409">
        <v>0</v>
      </c>
      <c r="AJ134" s="409">
        <v>0</v>
      </c>
      <c r="AK134" s="409">
        <v>0</v>
      </c>
      <c r="AL134" s="409">
        <v>3.0437149222972186</v>
      </c>
      <c r="AM134" s="409"/>
      <c r="AN134" s="409">
        <v>0.28299665871455937</v>
      </c>
      <c r="AO134" s="409">
        <v>0</v>
      </c>
      <c r="AP134" s="409">
        <v>0</v>
      </c>
      <c r="AQ134" s="409">
        <v>0</v>
      </c>
      <c r="AR134" s="409">
        <v>0</v>
      </c>
      <c r="AS134" s="409">
        <v>0</v>
      </c>
      <c r="AT134" s="409">
        <v>0</v>
      </c>
      <c r="AU134" s="409">
        <v>0</v>
      </c>
      <c r="AV134" s="409">
        <v>0</v>
      </c>
      <c r="AW134" s="409">
        <v>0</v>
      </c>
      <c r="AX134" s="409">
        <v>0</v>
      </c>
      <c r="AY134" s="409">
        <v>0</v>
      </c>
      <c r="AZ134" s="409">
        <v>0</v>
      </c>
      <c r="BA134" s="409"/>
      <c r="BB134" s="409">
        <v>0</v>
      </c>
      <c r="BC134" s="409">
        <v>0</v>
      </c>
      <c r="BD134" s="409">
        <v>0</v>
      </c>
      <c r="BE134" s="409">
        <v>0</v>
      </c>
      <c r="BF134" s="409">
        <v>0</v>
      </c>
      <c r="BG134" s="409">
        <v>0.54550423460666841</v>
      </c>
      <c r="BH134" s="409">
        <v>0</v>
      </c>
      <c r="BI134" s="409">
        <v>0</v>
      </c>
      <c r="BJ134" s="409">
        <v>0</v>
      </c>
      <c r="BK134" s="409">
        <v>0</v>
      </c>
      <c r="BL134" s="409">
        <v>0</v>
      </c>
      <c r="BM134" s="409"/>
      <c r="BN134" s="409"/>
      <c r="BO134" s="409"/>
      <c r="BP134" s="409"/>
      <c r="BQ134" s="409"/>
      <c r="BR134" s="409"/>
      <c r="BS134" s="409"/>
      <c r="BT134" s="409"/>
      <c r="BU134" s="409"/>
      <c r="BV134" s="409">
        <v>89.784502893464179</v>
      </c>
      <c r="BW134" s="409"/>
      <c r="BX134" s="409"/>
      <c r="BY134" s="409"/>
      <c r="BZ134" s="409"/>
      <c r="CA134" s="409"/>
      <c r="CB134" s="409"/>
      <c r="CC134" s="409"/>
      <c r="CD134" s="409"/>
      <c r="CE134" s="409"/>
      <c r="CF134" s="409"/>
      <c r="CG134" s="409"/>
      <c r="CH134" s="409"/>
      <c r="CI134" s="409">
        <v>644.2491</v>
      </c>
      <c r="CJ134" s="409">
        <v>-50.363020000000006</v>
      </c>
      <c r="CK134" s="409"/>
      <c r="CL134" s="409"/>
      <c r="CM134" s="409"/>
      <c r="CN134" s="409"/>
      <c r="CO134" s="409">
        <v>-62.380100000000049</v>
      </c>
      <c r="CP134" s="409">
        <v>4.2380000000000004</v>
      </c>
      <c r="CQ134" s="409">
        <v>30</v>
      </c>
      <c r="CR134" s="409">
        <v>9.3490851771799157</v>
      </c>
      <c r="CS134" s="409">
        <v>0</v>
      </c>
      <c r="CT134" s="409">
        <v>0</v>
      </c>
      <c r="CU134" s="409">
        <v>0</v>
      </c>
      <c r="CV134" s="409">
        <v>0</v>
      </c>
      <c r="CW134" s="409">
        <v>0</v>
      </c>
      <c r="CX134" s="409">
        <v>0</v>
      </c>
      <c r="CY134" s="409">
        <v>0</v>
      </c>
      <c r="CZ134" s="409">
        <v>5.4766649727683898</v>
      </c>
      <c r="DA134" s="409">
        <v>0</v>
      </c>
      <c r="DB134" s="409">
        <v>0</v>
      </c>
      <c r="DC134" s="409">
        <v>4.8072799125923495</v>
      </c>
      <c r="DD134" s="409">
        <v>0</v>
      </c>
      <c r="DE134" s="409">
        <v>0</v>
      </c>
      <c r="DF134" s="409">
        <v>0</v>
      </c>
      <c r="DG134" s="409">
        <v>2.9386160632347114E-2</v>
      </c>
      <c r="DH134" s="409">
        <v>0</v>
      </c>
      <c r="DI134" s="409">
        <v>-1.0914667630517627</v>
      </c>
      <c r="DJ134" s="409"/>
      <c r="DK134" s="409">
        <v>0</v>
      </c>
      <c r="DL134" s="409">
        <v>0</v>
      </c>
      <c r="DM134" s="409">
        <v>0</v>
      </c>
      <c r="DN134" s="409">
        <v>0</v>
      </c>
      <c r="DO134" s="409">
        <v>-0.15958744491878685</v>
      </c>
      <c r="DP134" s="409">
        <v>-1.8671955534320828E-2</v>
      </c>
      <c r="DQ134" s="409">
        <v>0</v>
      </c>
      <c r="DR134" s="409">
        <v>0.30548029469165894</v>
      </c>
      <c r="DS134" s="409"/>
      <c r="DT134" s="409"/>
      <c r="DU134" s="409"/>
      <c r="DV134" s="409">
        <v>424.57637583311976</v>
      </c>
      <c r="DW134" s="409">
        <v>0</v>
      </c>
      <c r="DX134" s="409">
        <v>0</v>
      </c>
      <c r="DY134" s="409">
        <v>-62.38009999999997</v>
      </c>
      <c r="DZ134" s="409">
        <v>4.2379999999999995</v>
      </c>
      <c r="EA134" s="409">
        <v>0</v>
      </c>
      <c r="EB134" s="409">
        <v>0</v>
      </c>
      <c r="EC134" s="409">
        <v>-67.487680905675802</v>
      </c>
      <c r="ED134" s="409">
        <v>0</v>
      </c>
      <c r="EE134" s="409">
        <v>0</v>
      </c>
      <c r="EF134" s="409">
        <v>0</v>
      </c>
      <c r="EG134" s="409">
        <v>0</v>
      </c>
      <c r="EH134" s="409">
        <v>0</v>
      </c>
      <c r="EI134" s="409">
        <v>0</v>
      </c>
      <c r="EJ134" s="409">
        <v>0</v>
      </c>
      <c r="EK134" s="409">
        <v>0</v>
      </c>
      <c r="EL134" s="409">
        <v>0</v>
      </c>
      <c r="EM134" s="409">
        <v>0</v>
      </c>
      <c r="EN134" s="409">
        <v>0</v>
      </c>
      <c r="EO134" s="409">
        <v>0</v>
      </c>
      <c r="EP134" s="409">
        <v>0</v>
      </c>
      <c r="EQ134" s="409">
        <v>0</v>
      </c>
      <c r="ER134" s="409">
        <v>0</v>
      </c>
      <c r="ES134" s="409">
        <v>0</v>
      </c>
      <c r="ET134" s="409">
        <v>0</v>
      </c>
      <c r="EU134" s="409">
        <v>0</v>
      </c>
      <c r="EV134" s="409">
        <v>210</v>
      </c>
      <c r="EW134" s="409">
        <v>0</v>
      </c>
      <c r="EX134" s="409">
        <v>0</v>
      </c>
      <c r="EY134" s="409">
        <v>0</v>
      </c>
      <c r="EZ134" s="409"/>
      <c r="FA134" s="409">
        <v>0</v>
      </c>
      <c r="FB134" s="409"/>
      <c r="FC134" s="409"/>
      <c r="FD134" s="409"/>
      <c r="FE134" s="409"/>
      <c r="FF134" s="409">
        <v>0</v>
      </c>
      <c r="FG134" s="409">
        <v>0</v>
      </c>
      <c r="FH134" s="409">
        <v>0</v>
      </c>
      <c r="FI134" s="409">
        <v>0</v>
      </c>
    </row>
    <row r="135" spans="1:165">
      <c r="A135" s="409">
        <v>133</v>
      </c>
      <c r="B135" s="409" t="s">
        <v>1035</v>
      </c>
      <c r="C135" s="409" t="s">
        <v>2246</v>
      </c>
      <c r="D135" s="409" t="s">
        <v>595</v>
      </c>
      <c r="E135" s="409" t="s">
        <v>997</v>
      </c>
      <c r="F135" s="409" t="s">
        <v>1323</v>
      </c>
      <c r="G135" s="409" t="s">
        <v>1323</v>
      </c>
      <c r="H135" s="409" t="s">
        <v>1323</v>
      </c>
      <c r="I135" s="409" t="s">
        <v>2234</v>
      </c>
      <c r="J135" s="409" t="s">
        <v>2242</v>
      </c>
      <c r="K135" s="838">
        <v>44440</v>
      </c>
      <c r="L135" s="409">
        <v>0</v>
      </c>
      <c r="M135" s="409">
        <v>0</v>
      </c>
      <c r="N135" s="409">
        <v>26.524000000000001</v>
      </c>
      <c r="O135" s="409">
        <v>26.524000000000001</v>
      </c>
      <c r="P135" s="409">
        <v>26.524000000000001</v>
      </c>
      <c r="Q135" s="409">
        <v>26.524000000000001</v>
      </c>
      <c r="R135" s="409"/>
      <c r="S135" s="409">
        <v>64.400000000000006</v>
      </c>
      <c r="T135" s="409">
        <v>273.74</v>
      </c>
      <c r="U135" s="409"/>
      <c r="V135" s="409">
        <v>8968.8253600000007</v>
      </c>
      <c r="W135" s="409">
        <v>8968.8253600000007</v>
      </c>
      <c r="X135" s="409">
        <v>9215.2333200000012</v>
      </c>
      <c r="Y135" s="409">
        <v>0</v>
      </c>
      <c r="Z135" s="409">
        <v>1393.1926907481743</v>
      </c>
      <c r="AA135" s="409">
        <v>0</v>
      </c>
      <c r="AB135" s="409">
        <v>0</v>
      </c>
      <c r="AC135" s="409">
        <v>0</v>
      </c>
      <c r="AD135" s="409">
        <v>0</v>
      </c>
      <c r="AE135" s="409">
        <v>0</v>
      </c>
      <c r="AF135" s="409">
        <v>7260.6601240108494</v>
      </c>
      <c r="AG135" s="409">
        <v>0</v>
      </c>
      <c r="AH135" s="409">
        <v>0</v>
      </c>
      <c r="AI135" s="409">
        <v>0</v>
      </c>
      <c r="AJ135" s="409">
        <v>0</v>
      </c>
      <c r="AK135" s="409">
        <v>0</v>
      </c>
      <c r="AL135" s="409">
        <v>247.64262146936019</v>
      </c>
      <c r="AM135" s="409"/>
      <c r="AN135" s="409">
        <v>23.025163729279058</v>
      </c>
      <c r="AO135" s="409">
        <v>0</v>
      </c>
      <c r="AP135" s="409">
        <v>0</v>
      </c>
      <c r="AQ135" s="409">
        <v>0</v>
      </c>
      <c r="AR135" s="409">
        <v>0</v>
      </c>
      <c r="AS135" s="409">
        <v>0</v>
      </c>
      <c r="AT135" s="409">
        <v>0</v>
      </c>
      <c r="AU135" s="409">
        <v>0</v>
      </c>
      <c r="AV135" s="409">
        <v>0</v>
      </c>
      <c r="AW135" s="409">
        <v>0</v>
      </c>
      <c r="AX135" s="409">
        <v>0</v>
      </c>
      <c r="AY135" s="409">
        <v>0</v>
      </c>
      <c r="AZ135" s="409">
        <v>0</v>
      </c>
      <c r="BA135" s="409"/>
      <c r="BB135" s="409">
        <v>0</v>
      </c>
      <c r="BC135" s="409">
        <v>0</v>
      </c>
      <c r="BD135" s="409">
        <v>0</v>
      </c>
      <c r="BE135" s="409">
        <v>0</v>
      </c>
      <c r="BF135" s="409">
        <v>0</v>
      </c>
      <c r="BG135" s="409">
        <v>44.383295456157278</v>
      </c>
      <c r="BH135" s="409">
        <v>0</v>
      </c>
      <c r="BI135" s="409">
        <v>0</v>
      </c>
      <c r="BJ135" s="409">
        <v>0</v>
      </c>
      <c r="BK135" s="409">
        <v>0</v>
      </c>
      <c r="BL135" s="409">
        <v>0</v>
      </c>
      <c r="BM135" s="409"/>
      <c r="BN135" s="409"/>
      <c r="BO135" s="409"/>
      <c r="BP135" s="409"/>
      <c r="BQ135" s="409"/>
      <c r="BR135" s="409"/>
      <c r="BS135" s="409"/>
      <c r="BT135" s="409"/>
      <c r="BU135" s="409"/>
      <c r="BV135" s="409">
        <v>7305.043419467007</v>
      </c>
      <c r="BW135" s="409"/>
      <c r="BX135" s="409"/>
      <c r="BY135" s="409"/>
      <c r="BZ135" s="409"/>
      <c r="CA135" s="409"/>
      <c r="CB135" s="409"/>
      <c r="CC135" s="409"/>
      <c r="CD135" s="409"/>
      <c r="CE135" s="409"/>
      <c r="CF135" s="409"/>
      <c r="CG135" s="409"/>
      <c r="CH135" s="409"/>
      <c r="CI135" s="409">
        <v>9213.8436000000002</v>
      </c>
      <c r="CJ135" s="409">
        <v>244.98823999999877</v>
      </c>
      <c r="CK135" s="409"/>
      <c r="CL135" s="409"/>
      <c r="CM135" s="409"/>
      <c r="CN135" s="409"/>
      <c r="CO135" s="409">
        <v>-98.404040000000208</v>
      </c>
      <c r="CP135" s="409">
        <v>344.81200000000001</v>
      </c>
      <c r="CQ135" s="409">
        <v>30</v>
      </c>
      <c r="CR135" s="409">
        <v>246.44840510357426</v>
      </c>
      <c r="CS135" s="409">
        <v>0</v>
      </c>
      <c r="CT135" s="409">
        <v>0</v>
      </c>
      <c r="CU135" s="409">
        <v>0</v>
      </c>
      <c r="CV135" s="409">
        <v>0</v>
      </c>
      <c r="CW135" s="409">
        <v>0</v>
      </c>
      <c r="CX135" s="409">
        <v>0</v>
      </c>
      <c r="CY135" s="409">
        <v>0</v>
      </c>
      <c r="CZ135" s="409">
        <v>0</v>
      </c>
      <c r="DA135" s="409">
        <v>0</v>
      </c>
      <c r="DB135" s="409">
        <v>0</v>
      </c>
      <c r="DC135" s="409">
        <v>391.12973129324928</v>
      </c>
      <c r="DD135" s="409">
        <v>0</v>
      </c>
      <c r="DE135" s="409">
        <v>0</v>
      </c>
      <c r="DF135" s="409">
        <v>0</v>
      </c>
      <c r="DG135" s="409">
        <v>2.39091571966987</v>
      </c>
      <c r="DH135" s="409">
        <v>0</v>
      </c>
      <c r="DI135" s="409">
        <v>-88.803878598726669</v>
      </c>
      <c r="DJ135" s="409"/>
      <c r="DK135" s="409">
        <v>0</v>
      </c>
      <c r="DL135" s="409">
        <v>0</v>
      </c>
      <c r="DM135" s="409">
        <v>0</v>
      </c>
      <c r="DN135" s="409">
        <v>0</v>
      </c>
      <c r="DO135" s="409">
        <v>-12.984347819097849</v>
      </c>
      <c r="DP135" s="409">
        <v>-1.5191869588721651</v>
      </c>
      <c r="DQ135" s="409">
        <v>0</v>
      </c>
      <c r="DR135" s="409">
        <v>-43.764828532647726</v>
      </c>
      <c r="DS135" s="409"/>
      <c r="DT135" s="409"/>
      <c r="DU135" s="409"/>
      <c r="DV135" s="409">
        <v>0</v>
      </c>
      <c r="DW135" s="409">
        <v>0</v>
      </c>
      <c r="DX135" s="409">
        <v>0</v>
      </c>
      <c r="DY135" s="409">
        <v>-98.40404000000035</v>
      </c>
      <c r="DZ135" s="409">
        <v>344.8119999999999</v>
      </c>
      <c r="EA135" s="409">
        <v>0</v>
      </c>
      <c r="EB135" s="409">
        <v>0</v>
      </c>
      <c r="EC135" s="409">
        <v>0</v>
      </c>
      <c r="ED135" s="409">
        <v>0</v>
      </c>
      <c r="EE135" s="409">
        <v>0</v>
      </c>
      <c r="EF135" s="409">
        <v>0</v>
      </c>
      <c r="EG135" s="409">
        <v>0</v>
      </c>
      <c r="EH135" s="409">
        <v>0</v>
      </c>
      <c r="EI135" s="409">
        <v>0</v>
      </c>
      <c r="EJ135" s="409">
        <v>0</v>
      </c>
      <c r="EK135" s="409">
        <v>0</v>
      </c>
      <c r="EL135" s="409">
        <v>0</v>
      </c>
      <c r="EM135" s="409">
        <v>0</v>
      </c>
      <c r="EN135" s="409">
        <v>0</v>
      </c>
      <c r="EO135" s="409">
        <v>0</v>
      </c>
      <c r="EP135" s="409">
        <v>0</v>
      </c>
      <c r="EQ135" s="409">
        <v>0</v>
      </c>
      <c r="ER135" s="409">
        <v>0</v>
      </c>
      <c r="ES135" s="409">
        <v>0</v>
      </c>
      <c r="ET135" s="409">
        <v>0</v>
      </c>
      <c r="EU135" s="409">
        <v>0</v>
      </c>
      <c r="EV135" s="409">
        <v>210</v>
      </c>
      <c r="EW135" s="409">
        <v>0</v>
      </c>
      <c r="EX135" s="409">
        <v>0</v>
      </c>
      <c r="EY135" s="409">
        <v>0</v>
      </c>
      <c r="EZ135" s="409"/>
      <c r="FA135" s="409">
        <v>0</v>
      </c>
      <c r="FB135" s="409"/>
      <c r="FC135" s="409"/>
      <c r="FD135" s="409"/>
      <c r="FE135" s="409"/>
      <c r="FF135" s="409">
        <v>0</v>
      </c>
      <c r="FG135" s="409">
        <v>0</v>
      </c>
      <c r="FH135" s="409">
        <v>0</v>
      </c>
      <c r="FI135" s="409">
        <v>0</v>
      </c>
    </row>
    <row r="136" spans="1:165">
      <c r="A136" s="409">
        <v>134</v>
      </c>
      <c r="B136" s="409" t="s">
        <v>1035</v>
      </c>
      <c r="C136" s="409" t="s">
        <v>2246</v>
      </c>
      <c r="D136" s="409" t="s">
        <v>595</v>
      </c>
      <c r="E136" s="409" t="s">
        <v>997</v>
      </c>
      <c r="F136" s="409" t="s">
        <v>1323</v>
      </c>
      <c r="G136" s="409" t="s">
        <v>1323</v>
      </c>
      <c r="H136" s="409" t="s">
        <v>1323</v>
      </c>
      <c r="I136" s="409" t="s">
        <v>1323</v>
      </c>
      <c r="J136" s="409" t="s">
        <v>2242</v>
      </c>
      <c r="K136" s="838">
        <v>44440</v>
      </c>
      <c r="L136" s="409">
        <v>215</v>
      </c>
      <c r="M136" s="409">
        <v>215</v>
      </c>
      <c r="N136" s="409">
        <v>0</v>
      </c>
      <c r="O136" s="409">
        <v>0</v>
      </c>
      <c r="P136" s="409">
        <v>0</v>
      </c>
      <c r="Q136" s="409">
        <v>0</v>
      </c>
      <c r="R136" s="409">
        <v>33.6</v>
      </c>
      <c r="S136" s="409"/>
      <c r="T136" s="409"/>
      <c r="U136" s="409">
        <v>7224</v>
      </c>
      <c r="V136" s="409"/>
      <c r="W136" s="409">
        <v>7224</v>
      </c>
      <c r="X136" s="409">
        <v>6828.4000000000005</v>
      </c>
      <c r="Y136" s="409">
        <v>0</v>
      </c>
      <c r="Z136" s="409">
        <v>0</v>
      </c>
      <c r="AA136" s="409">
        <v>0</v>
      </c>
      <c r="AB136" s="409">
        <v>0</v>
      </c>
      <c r="AC136" s="409">
        <v>0</v>
      </c>
      <c r="AD136" s="409">
        <v>3836.7856979005833</v>
      </c>
      <c r="AE136" s="409">
        <v>3387.3572528023742</v>
      </c>
      <c r="AF136" s="409"/>
      <c r="AG136" s="409"/>
      <c r="AH136" s="409"/>
      <c r="AI136" s="409">
        <v>0</v>
      </c>
      <c r="AJ136" s="409">
        <v>0</v>
      </c>
      <c r="AK136" s="409">
        <v>0</v>
      </c>
      <c r="AL136" s="409">
        <v>0</v>
      </c>
      <c r="AM136" s="409"/>
      <c r="AN136" s="409">
        <v>0</v>
      </c>
      <c r="AO136" s="409">
        <v>0</v>
      </c>
      <c r="AP136" s="409">
        <v>0</v>
      </c>
      <c r="AQ136" s="409">
        <v>0</v>
      </c>
      <c r="AR136" s="409">
        <v>0</v>
      </c>
      <c r="AS136" s="409"/>
      <c r="AT136" s="409"/>
      <c r="AU136" s="409">
        <v>0</v>
      </c>
      <c r="AV136" s="409">
        <v>0</v>
      </c>
      <c r="AW136" s="409">
        <v>0</v>
      </c>
      <c r="AX136" s="409"/>
      <c r="AY136" s="409"/>
      <c r="AZ136" s="409">
        <v>0</v>
      </c>
      <c r="BA136" s="409"/>
      <c r="BB136" s="409">
        <v>0</v>
      </c>
      <c r="BC136" s="409">
        <v>0</v>
      </c>
      <c r="BD136" s="409">
        <v>0</v>
      </c>
      <c r="BE136" s="409">
        <v>0</v>
      </c>
      <c r="BF136" s="409"/>
      <c r="BG136" s="409">
        <v>0</v>
      </c>
      <c r="BH136" s="409">
        <v>0</v>
      </c>
      <c r="BI136" s="409">
        <v>158.78</v>
      </c>
      <c r="BJ136" s="409">
        <v>732.83</v>
      </c>
      <c r="BK136" s="409">
        <v>4308.09</v>
      </c>
      <c r="BL136" s="409">
        <v>2</v>
      </c>
      <c r="BM136" s="409"/>
      <c r="BN136" s="409"/>
      <c r="BO136" s="409"/>
      <c r="BP136" s="409"/>
      <c r="BQ136" s="409"/>
      <c r="BR136" s="409"/>
      <c r="BS136" s="409"/>
      <c r="BT136" s="409"/>
      <c r="BU136" s="409"/>
      <c r="BV136" s="409">
        <v>0</v>
      </c>
      <c r="BW136" s="409"/>
      <c r="BX136" s="409"/>
      <c r="BY136" s="409"/>
      <c r="BZ136" s="409"/>
      <c r="CA136" s="409"/>
      <c r="CB136" s="409"/>
      <c r="CC136" s="409"/>
      <c r="CD136" s="409"/>
      <c r="CE136" s="409"/>
      <c r="CF136" s="409"/>
      <c r="CG136" s="409"/>
      <c r="CH136" s="409"/>
      <c r="CI136" s="409">
        <v>6828.4000000000005</v>
      </c>
      <c r="CJ136" s="409">
        <v>-395.63000000000011</v>
      </c>
      <c r="CK136" s="409"/>
      <c r="CL136" s="409"/>
      <c r="CM136" s="409"/>
      <c r="CN136" s="409"/>
      <c r="CO136" s="409">
        <v>-395.59999999999997</v>
      </c>
      <c r="CP136" s="409">
        <v>0</v>
      </c>
      <c r="CQ136" s="409">
        <v>30</v>
      </c>
      <c r="CR136" s="409">
        <v>141.94559312118008</v>
      </c>
      <c r="CS136" s="409">
        <v>0</v>
      </c>
      <c r="CT136" s="409">
        <v>0</v>
      </c>
      <c r="CU136" s="409">
        <v>0</v>
      </c>
      <c r="CV136" s="409">
        <v>0</v>
      </c>
      <c r="CW136" s="409"/>
      <c r="CX136" s="409"/>
      <c r="CY136" s="409"/>
      <c r="CZ136" s="409">
        <v>131.51903641109539</v>
      </c>
      <c r="DA136" s="409">
        <v>0</v>
      </c>
      <c r="DB136" s="409">
        <v>0</v>
      </c>
      <c r="DC136" s="409"/>
      <c r="DD136" s="409"/>
      <c r="DE136" s="409">
        <v>0</v>
      </c>
      <c r="DF136" s="409">
        <v>0</v>
      </c>
      <c r="DG136" s="409">
        <v>0</v>
      </c>
      <c r="DH136" s="409">
        <v>0</v>
      </c>
      <c r="DI136" s="409">
        <v>0</v>
      </c>
      <c r="DJ136" s="409"/>
      <c r="DK136" s="409">
        <v>0</v>
      </c>
      <c r="DL136" s="409">
        <v>0</v>
      </c>
      <c r="DM136" s="409"/>
      <c r="DN136" s="409">
        <v>0</v>
      </c>
      <c r="DO136" s="409">
        <v>0</v>
      </c>
      <c r="DP136" s="409">
        <v>0</v>
      </c>
      <c r="DQ136" s="409">
        <v>0</v>
      </c>
      <c r="DR136" s="409">
        <v>10.426556710084611</v>
      </c>
      <c r="DS136" s="409"/>
      <c r="DT136" s="409"/>
      <c r="DU136" s="409">
        <v>3387.3572528023742</v>
      </c>
      <c r="DV136" s="409"/>
      <c r="DW136" s="409">
        <v>0</v>
      </c>
      <c r="DX136" s="409">
        <v>0</v>
      </c>
      <c r="DY136" s="409">
        <v>-395.59999999999945</v>
      </c>
      <c r="DZ136" s="409"/>
      <c r="EA136" s="409">
        <v>0</v>
      </c>
      <c r="EB136" s="409"/>
      <c r="EC136" s="409">
        <v>-538.43053547688214</v>
      </c>
      <c r="ED136" s="409"/>
      <c r="EE136" s="409">
        <v>0</v>
      </c>
      <c r="EF136" s="409">
        <v>0</v>
      </c>
      <c r="EG136" s="409"/>
      <c r="EH136" s="409">
        <v>0</v>
      </c>
      <c r="EI136" s="409">
        <v>0</v>
      </c>
      <c r="EJ136" s="409">
        <v>0</v>
      </c>
      <c r="EK136" s="409">
        <v>0</v>
      </c>
      <c r="EL136" s="409">
        <v>0</v>
      </c>
      <c r="EM136" s="409"/>
      <c r="EN136" s="409"/>
      <c r="EO136" s="409">
        <v>0</v>
      </c>
      <c r="EP136" s="409">
        <v>0</v>
      </c>
      <c r="EQ136" s="409"/>
      <c r="ER136" s="409">
        <v>0</v>
      </c>
      <c r="ES136" s="409"/>
      <c r="ET136" s="409">
        <v>0</v>
      </c>
      <c r="EU136" s="409"/>
      <c r="EV136" s="409">
        <v>210</v>
      </c>
      <c r="EW136" s="409"/>
      <c r="EX136" s="409"/>
      <c r="EY136" s="409"/>
      <c r="EZ136" s="409"/>
      <c r="FA136" s="409">
        <v>0</v>
      </c>
      <c r="FB136" s="409"/>
      <c r="FC136" s="409"/>
      <c r="FD136" s="409"/>
      <c r="FE136" s="409"/>
      <c r="FF136" s="409">
        <v>0</v>
      </c>
      <c r="FG136" s="409">
        <v>0</v>
      </c>
      <c r="FH136" s="409">
        <v>0</v>
      </c>
      <c r="FI136" s="409">
        <v>0</v>
      </c>
    </row>
    <row r="137" spans="1:165">
      <c r="A137" s="409">
        <v>135</v>
      </c>
      <c r="B137" s="409" t="s">
        <v>1035</v>
      </c>
      <c r="C137" s="409" t="s">
        <v>2241</v>
      </c>
      <c r="D137" s="409" t="s">
        <v>2247</v>
      </c>
      <c r="E137" s="409" t="s">
        <v>973</v>
      </c>
      <c r="F137" s="409" t="s">
        <v>1323</v>
      </c>
      <c r="G137" s="409" t="s">
        <v>1323</v>
      </c>
      <c r="H137" s="409" t="s">
        <v>1323</v>
      </c>
      <c r="I137" s="409" t="s">
        <v>1323</v>
      </c>
      <c r="J137" s="409" t="s">
        <v>2242</v>
      </c>
      <c r="K137" s="838">
        <v>44440</v>
      </c>
      <c r="L137" s="409">
        <v>0</v>
      </c>
      <c r="M137" s="409">
        <v>0</v>
      </c>
      <c r="N137" s="409">
        <v>411.32799999999997</v>
      </c>
      <c r="O137" s="409">
        <v>411.32799999999997</v>
      </c>
      <c r="P137" s="409">
        <v>411.32799999999997</v>
      </c>
      <c r="Q137" s="409">
        <v>411.32799999999997</v>
      </c>
      <c r="R137" s="409"/>
      <c r="S137" s="409">
        <v>358.62</v>
      </c>
      <c r="T137" s="409">
        <v>273.74</v>
      </c>
      <c r="U137" s="409"/>
      <c r="V137" s="409">
        <v>260107.37407999998</v>
      </c>
      <c r="W137" s="409">
        <v>260107.37407999998</v>
      </c>
      <c r="X137" s="409">
        <v>252201.64992</v>
      </c>
      <c r="Y137" s="409">
        <v>0</v>
      </c>
      <c r="Z137" s="409">
        <v>24833.686216953167</v>
      </c>
      <c r="AA137" s="409">
        <v>0</v>
      </c>
      <c r="AB137" s="409">
        <v>0</v>
      </c>
      <c r="AC137" s="409">
        <v>0</v>
      </c>
      <c r="AD137" s="409">
        <v>35410.617807926814</v>
      </c>
      <c r="AE137" s="409">
        <v>81475.517904929642</v>
      </c>
      <c r="AF137" s="409">
        <v>112596.62220966423</v>
      </c>
      <c r="AG137" s="409">
        <v>0</v>
      </c>
      <c r="AH137" s="409">
        <v>0</v>
      </c>
      <c r="AI137" s="409">
        <v>0</v>
      </c>
      <c r="AJ137" s="409">
        <v>0</v>
      </c>
      <c r="AK137" s="409">
        <v>0</v>
      </c>
      <c r="AL137" s="409">
        <v>3840.3839618364118</v>
      </c>
      <c r="AM137" s="409"/>
      <c r="AN137" s="409">
        <v>438.10190351678835</v>
      </c>
      <c r="AO137" s="409">
        <v>0</v>
      </c>
      <c r="AP137" s="409">
        <v>0</v>
      </c>
      <c r="AQ137" s="409">
        <v>0</v>
      </c>
      <c r="AR137" s="409">
        <v>0</v>
      </c>
      <c r="AS137" s="409">
        <v>0</v>
      </c>
      <c r="AT137" s="409">
        <v>0</v>
      </c>
      <c r="AU137" s="409">
        <v>0</v>
      </c>
      <c r="AV137" s="409">
        <v>0</v>
      </c>
      <c r="AW137" s="409">
        <v>0</v>
      </c>
      <c r="AX137" s="409">
        <v>0</v>
      </c>
      <c r="AY137" s="409">
        <v>0</v>
      </c>
      <c r="AZ137" s="409">
        <v>0</v>
      </c>
      <c r="BA137" s="409"/>
      <c r="BB137" s="409">
        <v>0</v>
      </c>
      <c r="BC137" s="409">
        <v>0</v>
      </c>
      <c r="BD137" s="409">
        <v>0</v>
      </c>
      <c r="BE137" s="409">
        <v>0</v>
      </c>
      <c r="BF137" s="409">
        <v>0</v>
      </c>
      <c r="BG137" s="409">
        <v>1513.0397076708896</v>
      </c>
      <c r="BH137" s="409">
        <v>0</v>
      </c>
      <c r="BI137" s="409">
        <v>756.54</v>
      </c>
      <c r="BJ137" s="409">
        <v>3504.18</v>
      </c>
      <c r="BK137" s="409">
        <v>14772.86</v>
      </c>
      <c r="BL137" s="409">
        <v>1021</v>
      </c>
      <c r="BM137" s="409"/>
      <c r="BN137" s="409"/>
      <c r="BO137" s="409"/>
      <c r="BP137" s="409"/>
      <c r="BQ137" s="409"/>
      <c r="BR137" s="409">
        <v>35308.395519999998</v>
      </c>
      <c r="BS137" s="409"/>
      <c r="BT137" s="409"/>
      <c r="BU137" s="409"/>
      <c r="BV137" s="409">
        <v>114109.66191733512</v>
      </c>
      <c r="BW137" s="409"/>
      <c r="BX137" s="409"/>
      <c r="BY137" s="409"/>
      <c r="BZ137" s="409"/>
      <c r="CA137" s="409"/>
      <c r="CB137" s="409"/>
      <c r="CC137" s="409"/>
      <c r="CD137" s="409"/>
      <c r="CE137" s="409"/>
      <c r="CF137" s="409"/>
      <c r="CG137" s="409"/>
      <c r="CH137" s="409"/>
      <c r="CI137" s="409">
        <v>216894.30899999998</v>
      </c>
      <c r="CJ137" s="409">
        <v>-6802.3405199999979</v>
      </c>
      <c r="CK137" s="409"/>
      <c r="CL137" s="409"/>
      <c r="CM137" s="409"/>
      <c r="CN137" s="409"/>
      <c r="CO137" s="409">
        <v>-13252.98816000001</v>
      </c>
      <c r="CP137" s="409">
        <v>5347.2639999999992</v>
      </c>
      <c r="CQ137" s="409">
        <v>30</v>
      </c>
      <c r="CR137" s="409">
        <v>5043.6546726306842</v>
      </c>
      <c r="CS137" s="409">
        <v>0</v>
      </c>
      <c r="CT137" s="409">
        <v>0</v>
      </c>
      <c r="CU137" s="409">
        <v>0</v>
      </c>
      <c r="CV137" s="409">
        <v>0</v>
      </c>
      <c r="CW137" s="409">
        <v>0</v>
      </c>
      <c r="CX137" s="409">
        <v>0</v>
      </c>
      <c r="CY137" s="409">
        <v>0</v>
      </c>
      <c r="CZ137" s="409">
        <v>1213.8208123975055</v>
      </c>
      <c r="DA137" s="409">
        <v>0</v>
      </c>
      <c r="DB137" s="409">
        <v>0</v>
      </c>
      <c r="DC137" s="409">
        <v>6065.5485640699044</v>
      </c>
      <c r="DD137" s="409">
        <v>0</v>
      </c>
      <c r="DE137" s="409">
        <v>0</v>
      </c>
      <c r="DF137" s="409">
        <v>0</v>
      </c>
      <c r="DG137" s="409">
        <v>81.507026109141407</v>
      </c>
      <c r="DH137" s="409">
        <v>0</v>
      </c>
      <c r="DI137" s="409">
        <v>-1582.9308254444513</v>
      </c>
      <c r="DJ137" s="409"/>
      <c r="DK137" s="409">
        <v>0</v>
      </c>
      <c r="DL137" s="409">
        <v>0</v>
      </c>
      <c r="DM137" s="409">
        <v>0</v>
      </c>
      <c r="DN137" s="409">
        <v>0</v>
      </c>
      <c r="DO137" s="409">
        <v>-201.35823479618011</v>
      </c>
      <c r="DP137" s="409">
        <v>-28.905709696798283</v>
      </c>
      <c r="DQ137" s="409">
        <v>0</v>
      </c>
      <c r="DR137" s="409">
        <v>-504.02696000841865</v>
      </c>
      <c r="DS137" s="409"/>
      <c r="DT137" s="409"/>
      <c r="DU137" s="409"/>
      <c r="DV137" s="409">
        <v>81475.517904929642</v>
      </c>
      <c r="DW137" s="409">
        <v>0</v>
      </c>
      <c r="DX137" s="409">
        <v>0</v>
      </c>
      <c r="DY137" s="409">
        <v>-13252.988160000008</v>
      </c>
      <c r="DZ137" s="409">
        <v>5347.2639999999956</v>
      </c>
      <c r="EA137" s="409">
        <v>0</v>
      </c>
      <c r="EB137" s="409">
        <v>0</v>
      </c>
      <c r="EC137" s="409">
        <v>-12950.776508003502</v>
      </c>
      <c r="ED137" s="409">
        <v>0</v>
      </c>
      <c r="EE137" s="409">
        <v>0</v>
      </c>
      <c r="EF137" s="409">
        <v>0</v>
      </c>
      <c r="EG137" s="409">
        <v>0</v>
      </c>
      <c r="EH137" s="409">
        <v>0</v>
      </c>
      <c r="EI137" s="409">
        <v>0</v>
      </c>
      <c r="EJ137" s="409">
        <v>0</v>
      </c>
      <c r="EK137" s="409">
        <v>0</v>
      </c>
      <c r="EL137" s="409">
        <v>0</v>
      </c>
      <c r="EM137" s="409">
        <v>0</v>
      </c>
      <c r="EN137" s="409">
        <v>0</v>
      </c>
      <c r="EO137" s="409">
        <v>0</v>
      </c>
      <c r="EP137" s="409">
        <v>0</v>
      </c>
      <c r="EQ137" s="409">
        <v>0</v>
      </c>
      <c r="ER137" s="409">
        <v>0</v>
      </c>
      <c r="ES137" s="409">
        <v>0</v>
      </c>
      <c r="ET137" s="409">
        <v>0</v>
      </c>
      <c r="EU137" s="409">
        <v>0</v>
      </c>
      <c r="EV137" s="409">
        <v>210</v>
      </c>
      <c r="EW137" s="409">
        <v>0</v>
      </c>
      <c r="EX137" s="409">
        <v>0</v>
      </c>
      <c r="EY137" s="409">
        <v>0</v>
      </c>
      <c r="EZ137" s="409"/>
      <c r="FA137" s="409">
        <v>0</v>
      </c>
      <c r="FB137" s="409"/>
      <c r="FC137" s="409"/>
      <c r="FD137" s="409"/>
      <c r="FE137" s="409"/>
      <c r="FF137" s="409">
        <v>0</v>
      </c>
      <c r="FG137" s="409">
        <v>0</v>
      </c>
      <c r="FH137" s="409">
        <v>0</v>
      </c>
      <c r="FI137" s="409">
        <v>0</v>
      </c>
    </row>
    <row r="138" spans="1:165">
      <c r="A138" s="409">
        <v>136</v>
      </c>
      <c r="B138" s="409" t="s">
        <v>2257</v>
      </c>
      <c r="C138" s="409" t="s">
        <v>2241</v>
      </c>
      <c r="D138" s="409" t="s">
        <v>2247</v>
      </c>
      <c r="E138" s="409" t="s">
        <v>973</v>
      </c>
      <c r="F138" s="409" t="s">
        <v>1323</v>
      </c>
      <c r="G138" s="409" t="s">
        <v>1323</v>
      </c>
      <c r="H138" s="409" t="s">
        <v>1323</v>
      </c>
      <c r="I138" s="409" t="s">
        <v>1323</v>
      </c>
      <c r="J138" s="409" t="s">
        <v>2242</v>
      </c>
      <c r="K138" s="838">
        <v>44440</v>
      </c>
      <c r="L138" s="409">
        <v>0</v>
      </c>
      <c r="M138" s="409">
        <v>0</v>
      </c>
      <c r="N138" s="409">
        <v>-0.86199999999999999</v>
      </c>
      <c r="O138" s="409">
        <v>-0.86199999999999999</v>
      </c>
      <c r="P138" s="409">
        <v>-0.86199999999999999</v>
      </c>
      <c r="Q138" s="409">
        <v>-0.86199999999999999</v>
      </c>
      <c r="R138" s="409"/>
      <c r="S138" s="409">
        <v>358.62</v>
      </c>
      <c r="T138" s="409">
        <v>273.74</v>
      </c>
      <c r="U138" s="409"/>
      <c r="V138" s="409">
        <v>-545.09432000000004</v>
      </c>
      <c r="W138" s="409">
        <v>-545.09432000000004</v>
      </c>
      <c r="X138" s="409">
        <v>-528.52667999999994</v>
      </c>
      <c r="Y138" s="409">
        <v>0</v>
      </c>
      <c r="Z138" s="409">
        <v>-52.042743307077643</v>
      </c>
      <c r="AA138" s="409">
        <v>0</v>
      </c>
      <c r="AB138" s="409">
        <v>0</v>
      </c>
      <c r="AC138" s="409">
        <v>0</v>
      </c>
      <c r="AD138" s="409">
        <v>-74.208302256187068</v>
      </c>
      <c r="AE138" s="409">
        <v>-170.74426354162458</v>
      </c>
      <c r="AF138" s="409">
        <v>-235.96324185256188</v>
      </c>
      <c r="AG138" s="409">
        <v>0</v>
      </c>
      <c r="AH138" s="409">
        <v>0</v>
      </c>
      <c r="AI138" s="409">
        <v>0</v>
      </c>
      <c r="AJ138" s="409">
        <v>0</v>
      </c>
      <c r="AK138" s="409">
        <v>0</v>
      </c>
      <c r="AL138" s="409">
        <v>-8.0481051012889644</v>
      </c>
      <c r="AM138" s="409"/>
      <c r="AN138" s="409">
        <v>-0.91810876194052338</v>
      </c>
      <c r="AO138" s="409">
        <v>0</v>
      </c>
      <c r="AP138" s="409">
        <v>0</v>
      </c>
      <c r="AQ138" s="409">
        <v>0</v>
      </c>
      <c r="AR138" s="409">
        <v>0</v>
      </c>
      <c r="AS138" s="409">
        <v>0</v>
      </c>
      <c r="AT138" s="409">
        <v>0</v>
      </c>
      <c r="AU138" s="409">
        <v>0</v>
      </c>
      <c r="AV138" s="409">
        <v>0</v>
      </c>
      <c r="AW138" s="409">
        <v>0</v>
      </c>
      <c r="AX138" s="409">
        <v>0</v>
      </c>
      <c r="AY138" s="409">
        <v>0</v>
      </c>
      <c r="AZ138" s="409">
        <v>0</v>
      </c>
      <c r="BA138" s="409"/>
      <c r="BB138" s="409">
        <v>0</v>
      </c>
      <c r="BC138" s="409">
        <v>0</v>
      </c>
      <c r="BD138" s="409">
        <v>0</v>
      </c>
      <c r="BE138" s="409">
        <v>0</v>
      </c>
      <c r="BF138" s="409">
        <v>0</v>
      </c>
      <c r="BG138" s="409">
        <v>-3.1708034172541302</v>
      </c>
      <c r="BH138" s="409">
        <v>0</v>
      </c>
      <c r="BI138" s="409">
        <v>-1.94</v>
      </c>
      <c r="BJ138" s="409">
        <v>-8.93</v>
      </c>
      <c r="BK138" s="409">
        <v>-120.12</v>
      </c>
      <c r="BL138" s="409">
        <v>0</v>
      </c>
      <c r="BM138" s="409"/>
      <c r="BN138" s="409"/>
      <c r="BO138" s="409"/>
      <c r="BP138" s="409"/>
      <c r="BQ138" s="409"/>
      <c r="BR138" s="409">
        <v>-73.994079999999997</v>
      </c>
      <c r="BS138" s="409"/>
      <c r="BT138" s="409"/>
      <c r="BU138" s="409"/>
      <c r="BV138" s="409">
        <v>-239.134045269816</v>
      </c>
      <c r="BW138" s="409"/>
      <c r="BX138" s="409"/>
      <c r="BY138" s="409"/>
      <c r="BZ138" s="409"/>
      <c r="CA138" s="409"/>
      <c r="CB138" s="409"/>
      <c r="CC138" s="409"/>
      <c r="CD138" s="409"/>
      <c r="CE138" s="409"/>
      <c r="CF138" s="409"/>
      <c r="CG138" s="409"/>
      <c r="CH138" s="409"/>
      <c r="CI138" s="409">
        <v>-453.47799999999995</v>
      </c>
      <c r="CJ138" s="409">
        <v>15.282080000000065</v>
      </c>
      <c r="CK138" s="409"/>
      <c r="CL138" s="409"/>
      <c r="CM138" s="409"/>
      <c r="CN138" s="409"/>
      <c r="CO138" s="409">
        <v>27.773640000000022</v>
      </c>
      <c r="CP138" s="409">
        <v>-11.206</v>
      </c>
      <c r="CQ138" s="409">
        <v>30</v>
      </c>
      <c r="CR138" s="409">
        <v>-10.569740761162961</v>
      </c>
      <c r="CS138" s="409">
        <v>0</v>
      </c>
      <c r="CT138" s="409">
        <v>0</v>
      </c>
      <c r="CU138" s="409">
        <v>0</v>
      </c>
      <c r="CV138" s="409">
        <v>0</v>
      </c>
      <c r="CW138" s="409">
        <v>0</v>
      </c>
      <c r="CX138" s="409">
        <v>0</v>
      </c>
      <c r="CY138" s="409">
        <v>0</v>
      </c>
      <c r="CZ138" s="409">
        <v>-2.5437449925282181</v>
      </c>
      <c r="DA138" s="409">
        <v>0</v>
      </c>
      <c r="DB138" s="409">
        <v>0</v>
      </c>
      <c r="DC138" s="409">
        <v>-12.711273879308607</v>
      </c>
      <c r="DD138" s="409">
        <v>0</v>
      </c>
      <c r="DE138" s="409">
        <v>0</v>
      </c>
      <c r="DF138" s="409">
        <v>0</v>
      </c>
      <c r="DG138" s="409">
        <v>-0.17081029374630452</v>
      </c>
      <c r="DH138" s="409">
        <v>0</v>
      </c>
      <c r="DI138" s="409">
        <v>3.3172708192321494</v>
      </c>
      <c r="DJ138" s="409"/>
      <c r="DK138" s="409">
        <v>0</v>
      </c>
      <c r="DL138" s="409">
        <v>0</v>
      </c>
      <c r="DM138" s="409">
        <v>0</v>
      </c>
      <c r="DN138" s="409">
        <v>0</v>
      </c>
      <c r="DO138" s="409">
        <v>0.4219766181594915</v>
      </c>
      <c r="DP138" s="409">
        <v>6.0576284032791694E-2</v>
      </c>
      <c r="DQ138" s="409">
        <v>0</v>
      </c>
      <c r="DR138" s="409">
        <v>1.0562646829957039</v>
      </c>
      <c r="DS138" s="409"/>
      <c r="DT138" s="409"/>
      <c r="DU138" s="409"/>
      <c r="DV138" s="409">
        <v>-170.74426354162458</v>
      </c>
      <c r="DW138" s="409">
        <v>0</v>
      </c>
      <c r="DX138" s="409">
        <v>0</v>
      </c>
      <c r="DY138" s="409">
        <v>27.773640000000057</v>
      </c>
      <c r="DZ138" s="409">
        <v>-11.205999999999989</v>
      </c>
      <c r="EA138" s="409">
        <v>0</v>
      </c>
      <c r="EB138" s="409">
        <v>0</v>
      </c>
      <c r="EC138" s="409">
        <v>27.140309801178176</v>
      </c>
      <c r="ED138" s="409">
        <v>0</v>
      </c>
      <c r="EE138" s="409">
        <v>0</v>
      </c>
      <c r="EF138" s="409">
        <v>0</v>
      </c>
      <c r="EG138" s="409">
        <v>0</v>
      </c>
      <c r="EH138" s="409">
        <v>0</v>
      </c>
      <c r="EI138" s="409">
        <v>0</v>
      </c>
      <c r="EJ138" s="409">
        <v>0</v>
      </c>
      <c r="EK138" s="409">
        <v>0</v>
      </c>
      <c r="EL138" s="409">
        <v>0</v>
      </c>
      <c r="EM138" s="409">
        <v>0</v>
      </c>
      <c r="EN138" s="409">
        <v>0</v>
      </c>
      <c r="EO138" s="409">
        <v>0</v>
      </c>
      <c r="EP138" s="409">
        <v>0</v>
      </c>
      <c r="EQ138" s="409">
        <v>0</v>
      </c>
      <c r="ER138" s="409">
        <v>0</v>
      </c>
      <c r="ES138" s="409">
        <v>0</v>
      </c>
      <c r="ET138" s="409">
        <v>0</v>
      </c>
      <c r="EU138" s="409">
        <v>0</v>
      </c>
      <c r="EV138" s="409">
        <v>210</v>
      </c>
      <c r="EW138" s="409">
        <v>0</v>
      </c>
      <c r="EX138" s="409">
        <v>0</v>
      </c>
      <c r="EY138" s="409">
        <v>0</v>
      </c>
      <c r="EZ138" s="409"/>
      <c r="FA138" s="409">
        <v>0</v>
      </c>
      <c r="FB138" s="409"/>
      <c r="FC138" s="409"/>
      <c r="FD138" s="409"/>
      <c r="FE138" s="409"/>
      <c r="FF138" s="409">
        <v>0</v>
      </c>
      <c r="FG138" s="409">
        <v>0</v>
      </c>
      <c r="FH138" s="409">
        <v>0</v>
      </c>
      <c r="FI138" s="409">
        <v>0</v>
      </c>
    </row>
    <row r="139" spans="1:165">
      <c r="A139" s="409">
        <v>137</v>
      </c>
      <c r="B139" s="409" t="s">
        <v>2240</v>
      </c>
      <c r="C139" s="409" t="s">
        <v>2241</v>
      </c>
      <c r="D139" s="409" t="s">
        <v>2247</v>
      </c>
      <c r="E139" s="409" t="s">
        <v>973</v>
      </c>
      <c r="F139" s="409" t="s">
        <v>1323</v>
      </c>
      <c r="G139" s="409" t="s">
        <v>1323</v>
      </c>
      <c r="H139" s="409" t="s">
        <v>1323</v>
      </c>
      <c r="I139" s="409" t="s">
        <v>1323</v>
      </c>
      <c r="J139" s="409" t="s">
        <v>2242</v>
      </c>
      <c r="K139" s="838">
        <v>44440</v>
      </c>
      <c r="L139" s="409">
        <v>0</v>
      </c>
      <c r="M139" s="409">
        <v>0</v>
      </c>
      <c r="N139" s="409">
        <v>2.113</v>
      </c>
      <c r="O139" s="409">
        <v>2.113</v>
      </c>
      <c r="P139" s="409">
        <v>2.113</v>
      </c>
      <c r="Q139" s="409">
        <v>2.113</v>
      </c>
      <c r="R139" s="409"/>
      <c r="S139" s="409">
        <v>358.62</v>
      </c>
      <c r="T139" s="409">
        <v>273.74</v>
      </c>
      <c r="U139" s="409"/>
      <c r="V139" s="409">
        <v>1336.17668</v>
      </c>
      <c r="W139" s="409">
        <v>1336.17668</v>
      </c>
      <c r="X139" s="409">
        <v>1295.5648200000001</v>
      </c>
      <c r="Y139" s="409">
        <v>0</v>
      </c>
      <c r="Z139" s="409">
        <v>127.57113295574833</v>
      </c>
      <c r="AA139" s="409">
        <v>0</v>
      </c>
      <c r="AB139" s="409">
        <v>0</v>
      </c>
      <c r="AC139" s="409">
        <v>0</v>
      </c>
      <c r="AD139" s="409">
        <v>181.90503789712679</v>
      </c>
      <c r="AE139" s="409">
        <v>418.5413327882282</v>
      </c>
      <c r="AF139" s="409">
        <v>578.4110557244353</v>
      </c>
      <c r="AG139" s="409">
        <v>0</v>
      </c>
      <c r="AH139" s="409">
        <v>0</v>
      </c>
      <c r="AI139" s="409">
        <v>0</v>
      </c>
      <c r="AJ139" s="409">
        <v>0</v>
      </c>
      <c r="AK139" s="409">
        <v>0</v>
      </c>
      <c r="AL139" s="409">
        <v>19.728127701883505</v>
      </c>
      <c r="AM139" s="409"/>
      <c r="AN139" s="409">
        <v>2.2505380672625592</v>
      </c>
      <c r="AO139" s="409">
        <v>0</v>
      </c>
      <c r="AP139" s="409">
        <v>0</v>
      </c>
      <c r="AQ139" s="409">
        <v>0</v>
      </c>
      <c r="AR139" s="409">
        <v>0</v>
      </c>
      <c r="AS139" s="409">
        <v>0</v>
      </c>
      <c r="AT139" s="409">
        <v>0</v>
      </c>
      <c r="AU139" s="409">
        <v>0</v>
      </c>
      <c r="AV139" s="409">
        <v>0</v>
      </c>
      <c r="AW139" s="409">
        <v>0</v>
      </c>
      <c r="AX139" s="409">
        <v>0</v>
      </c>
      <c r="AY139" s="409">
        <v>0</v>
      </c>
      <c r="AZ139" s="409">
        <v>0</v>
      </c>
      <c r="BA139" s="409"/>
      <c r="BB139" s="409">
        <v>0</v>
      </c>
      <c r="BC139" s="409">
        <v>0</v>
      </c>
      <c r="BD139" s="409">
        <v>0</v>
      </c>
      <c r="BE139" s="409">
        <v>0</v>
      </c>
      <c r="BF139" s="409">
        <v>0</v>
      </c>
      <c r="BG139" s="409">
        <v>7.7725146411345438</v>
      </c>
      <c r="BH139" s="409">
        <v>0</v>
      </c>
      <c r="BI139" s="409">
        <v>2.19</v>
      </c>
      <c r="BJ139" s="409">
        <v>10.16</v>
      </c>
      <c r="BK139" s="409">
        <v>398.52</v>
      </c>
      <c r="BL139" s="409">
        <v>8</v>
      </c>
      <c r="BM139" s="409"/>
      <c r="BN139" s="409"/>
      <c r="BO139" s="409"/>
      <c r="BP139" s="409"/>
      <c r="BQ139" s="409"/>
      <c r="BR139" s="409">
        <v>181.37992000000003</v>
      </c>
      <c r="BS139" s="409"/>
      <c r="BT139" s="409"/>
      <c r="BU139" s="409"/>
      <c r="BV139" s="409">
        <v>586.18357036556984</v>
      </c>
      <c r="BW139" s="409"/>
      <c r="BX139" s="409"/>
      <c r="BY139" s="409"/>
      <c r="BZ139" s="409"/>
      <c r="CA139" s="409"/>
      <c r="CB139" s="409"/>
      <c r="CC139" s="409"/>
      <c r="CD139" s="409"/>
      <c r="CE139" s="409"/>
      <c r="CF139" s="409"/>
      <c r="CG139" s="409"/>
      <c r="CH139" s="409"/>
      <c r="CI139" s="409">
        <v>1112.6029999999998</v>
      </c>
      <c r="CJ139" s="409">
        <v>-36.560920000000124</v>
      </c>
      <c r="CK139" s="409"/>
      <c r="CL139" s="409"/>
      <c r="CM139" s="409"/>
      <c r="CN139" s="409"/>
      <c r="CO139" s="409">
        <v>-68.080860000000058</v>
      </c>
      <c r="CP139" s="409">
        <v>27.469000000000001</v>
      </c>
      <c r="CQ139" s="409">
        <v>30</v>
      </c>
      <c r="CR139" s="409">
        <v>25.909352933105993</v>
      </c>
      <c r="CS139" s="409">
        <v>0</v>
      </c>
      <c r="CT139" s="409">
        <v>0</v>
      </c>
      <c r="CU139" s="409">
        <v>0</v>
      </c>
      <c r="CV139" s="409">
        <v>0</v>
      </c>
      <c r="CW139" s="409">
        <v>0</v>
      </c>
      <c r="CX139" s="409">
        <v>0</v>
      </c>
      <c r="CY139" s="409">
        <v>0</v>
      </c>
      <c r="CZ139" s="409">
        <v>6.2354213099908691</v>
      </c>
      <c r="DA139" s="409">
        <v>0</v>
      </c>
      <c r="DB139" s="409">
        <v>0</v>
      </c>
      <c r="DC139" s="409">
        <v>31.158841887446783</v>
      </c>
      <c r="DD139" s="409">
        <v>0</v>
      </c>
      <c r="DE139" s="409">
        <v>0</v>
      </c>
      <c r="DF139" s="409">
        <v>0</v>
      </c>
      <c r="DG139" s="409">
        <v>0.41870319105097664</v>
      </c>
      <c r="DH139" s="409">
        <v>0</v>
      </c>
      <c r="DI139" s="409">
        <v>-8.1315466833381862</v>
      </c>
      <c r="DJ139" s="409"/>
      <c r="DK139" s="409">
        <v>0</v>
      </c>
      <c r="DL139" s="409">
        <v>0</v>
      </c>
      <c r="DM139" s="409">
        <v>0</v>
      </c>
      <c r="DN139" s="409">
        <v>0</v>
      </c>
      <c r="DO139" s="409">
        <v>-1.0343811997343444</v>
      </c>
      <c r="DP139" s="409">
        <v>-0.14848919740288746</v>
      </c>
      <c r="DQ139" s="409">
        <v>0</v>
      </c>
      <c r="DR139" s="409">
        <v>-2.5891963749071025</v>
      </c>
      <c r="DS139" s="409"/>
      <c r="DT139" s="409"/>
      <c r="DU139" s="409"/>
      <c r="DV139" s="409">
        <v>418.5413327882282</v>
      </c>
      <c r="DW139" s="409">
        <v>0</v>
      </c>
      <c r="DX139" s="409">
        <v>0</v>
      </c>
      <c r="DY139" s="409">
        <v>-68.08086000000003</v>
      </c>
      <c r="DZ139" s="409">
        <v>27.468999999999937</v>
      </c>
      <c r="EA139" s="409">
        <v>0</v>
      </c>
      <c r="EB139" s="409">
        <v>0</v>
      </c>
      <c r="EC139" s="409">
        <v>-66.52839281889726</v>
      </c>
      <c r="ED139" s="409">
        <v>0</v>
      </c>
      <c r="EE139" s="409">
        <v>0</v>
      </c>
      <c r="EF139" s="409">
        <v>0</v>
      </c>
      <c r="EG139" s="409">
        <v>0</v>
      </c>
      <c r="EH139" s="409">
        <v>0</v>
      </c>
      <c r="EI139" s="409">
        <v>0</v>
      </c>
      <c r="EJ139" s="409">
        <v>0</v>
      </c>
      <c r="EK139" s="409">
        <v>0</v>
      </c>
      <c r="EL139" s="409">
        <v>0</v>
      </c>
      <c r="EM139" s="409">
        <v>0</v>
      </c>
      <c r="EN139" s="409">
        <v>0</v>
      </c>
      <c r="EO139" s="409">
        <v>0</v>
      </c>
      <c r="EP139" s="409">
        <v>0</v>
      </c>
      <c r="EQ139" s="409">
        <v>0</v>
      </c>
      <c r="ER139" s="409">
        <v>0</v>
      </c>
      <c r="ES139" s="409">
        <v>0</v>
      </c>
      <c r="ET139" s="409">
        <v>0</v>
      </c>
      <c r="EU139" s="409">
        <v>0</v>
      </c>
      <c r="EV139" s="409">
        <v>210</v>
      </c>
      <c r="EW139" s="409">
        <v>0</v>
      </c>
      <c r="EX139" s="409">
        <v>0</v>
      </c>
      <c r="EY139" s="409">
        <v>0</v>
      </c>
      <c r="EZ139" s="409"/>
      <c r="FA139" s="409">
        <v>0</v>
      </c>
      <c r="FB139" s="409"/>
      <c r="FC139" s="409"/>
      <c r="FD139" s="409"/>
      <c r="FE139" s="409"/>
      <c r="FF139" s="409">
        <v>0</v>
      </c>
      <c r="FG139" s="409">
        <v>0</v>
      </c>
      <c r="FH139" s="409">
        <v>0</v>
      </c>
      <c r="FI139" s="409">
        <v>0</v>
      </c>
    </row>
    <row r="140" spans="1:165">
      <c r="A140" s="409">
        <v>138</v>
      </c>
      <c r="B140" s="409" t="s">
        <v>1035</v>
      </c>
      <c r="C140" s="409" t="s">
        <v>2248</v>
      </c>
      <c r="D140" s="409" t="s">
        <v>2247</v>
      </c>
      <c r="E140" s="409" t="s">
        <v>973</v>
      </c>
      <c r="F140" s="409" t="s">
        <v>1323</v>
      </c>
      <c r="G140" s="409" t="s">
        <v>1323</v>
      </c>
      <c r="H140" s="409" t="s">
        <v>1323</v>
      </c>
      <c r="I140" s="409" t="s">
        <v>972</v>
      </c>
      <c r="J140" s="409" t="s">
        <v>2242</v>
      </c>
      <c r="K140" s="838">
        <v>44440</v>
      </c>
      <c r="L140" s="409">
        <v>0</v>
      </c>
      <c r="M140" s="409">
        <v>0</v>
      </c>
      <c r="N140" s="409">
        <v>2E-3</v>
      </c>
      <c r="O140" s="409">
        <v>2E-3</v>
      </c>
      <c r="P140" s="409">
        <v>2E-3</v>
      </c>
      <c r="Q140" s="409">
        <v>2E-3</v>
      </c>
      <c r="R140" s="409"/>
      <c r="S140" s="409">
        <v>760.53</v>
      </c>
      <c r="T140" s="409">
        <v>235.42</v>
      </c>
      <c r="U140" s="409"/>
      <c r="V140" s="409">
        <v>1.9919</v>
      </c>
      <c r="W140" s="409">
        <v>1.9919</v>
      </c>
      <c r="X140" s="409">
        <v>1.8693400000000002</v>
      </c>
      <c r="Y140" s="409">
        <v>0</v>
      </c>
      <c r="Z140" s="409">
        <v>0.1038439889653984</v>
      </c>
      <c r="AA140" s="409">
        <v>0</v>
      </c>
      <c r="AB140" s="409">
        <v>0</v>
      </c>
      <c r="AC140" s="409">
        <v>0</v>
      </c>
      <c r="AD140" s="409">
        <v>0.42200865790270004</v>
      </c>
      <c r="AE140" s="409">
        <v>0.97098445176677206</v>
      </c>
      <c r="AF140" s="409">
        <v>0.47083152666636402</v>
      </c>
      <c r="AG140" s="409">
        <v>0</v>
      </c>
      <c r="AH140" s="409">
        <v>0</v>
      </c>
      <c r="AI140" s="409">
        <v>0</v>
      </c>
      <c r="AJ140" s="409">
        <v>0</v>
      </c>
      <c r="AK140" s="409">
        <v>0</v>
      </c>
      <c r="AL140" s="409">
        <v>1.605886400721232E-2</v>
      </c>
      <c r="AM140" s="409"/>
      <c r="AN140" s="409">
        <v>1.8319571583964021E-3</v>
      </c>
      <c r="AO140" s="409">
        <v>0</v>
      </c>
      <c r="AP140" s="409">
        <v>0</v>
      </c>
      <c r="AQ140" s="409">
        <v>0</v>
      </c>
      <c r="AR140" s="409">
        <v>0</v>
      </c>
      <c r="AS140" s="409">
        <v>0</v>
      </c>
      <c r="AT140" s="409">
        <v>0</v>
      </c>
      <c r="AU140" s="409">
        <v>0</v>
      </c>
      <c r="AV140" s="409">
        <v>0</v>
      </c>
      <c r="AW140" s="409">
        <v>0</v>
      </c>
      <c r="AX140" s="409">
        <v>0</v>
      </c>
      <c r="AY140" s="409">
        <v>0</v>
      </c>
      <c r="AZ140" s="409">
        <v>0</v>
      </c>
      <c r="BA140" s="409"/>
      <c r="BB140" s="409">
        <v>0</v>
      </c>
      <c r="BC140" s="409">
        <v>0</v>
      </c>
      <c r="BD140" s="409">
        <v>0</v>
      </c>
      <c r="BE140" s="409">
        <v>0</v>
      </c>
      <c r="BF140" s="409">
        <v>0</v>
      </c>
      <c r="BG140" s="409">
        <v>6.3268931295558202E-3</v>
      </c>
      <c r="BH140" s="409">
        <v>0</v>
      </c>
      <c r="BI140" s="409">
        <v>0</v>
      </c>
      <c r="BJ140" s="409">
        <v>0</v>
      </c>
      <c r="BK140" s="409">
        <v>0</v>
      </c>
      <c r="BL140" s="409">
        <v>0</v>
      </c>
      <c r="BM140" s="409"/>
      <c r="BN140" s="409"/>
      <c r="BO140" s="409"/>
      <c r="BP140" s="409"/>
      <c r="BQ140" s="409"/>
      <c r="BR140" s="409"/>
      <c r="BS140" s="409"/>
      <c r="BT140" s="409"/>
      <c r="BU140" s="409"/>
      <c r="BV140" s="409">
        <v>0.47715841979591983</v>
      </c>
      <c r="BW140" s="409"/>
      <c r="BX140" s="409"/>
      <c r="BY140" s="409"/>
      <c r="BZ140" s="409"/>
      <c r="CA140" s="409"/>
      <c r="CB140" s="409"/>
      <c r="CC140" s="409"/>
      <c r="CD140" s="409"/>
      <c r="CE140" s="409"/>
      <c r="CF140" s="409"/>
      <c r="CG140" s="409"/>
      <c r="CH140" s="409"/>
      <c r="CI140" s="409">
        <v>0</v>
      </c>
      <c r="CJ140" s="409">
        <v>-2.0219</v>
      </c>
      <c r="CK140" s="409"/>
      <c r="CL140" s="409"/>
      <c r="CM140" s="409"/>
      <c r="CN140" s="409"/>
      <c r="CO140" s="409">
        <v>-0.14491999999999985</v>
      </c>
      <c r="CP140" s="409">
        <v>2.2360000000000015E-2</v>
      </c>
      <c r="CQ140" s="409">
        <v>30</v>
      </c>
      <c r="CR140" s="409">
        <v>3.1785608611027527E-2</v>
      </c>
      <c r="CS140" s="409">
        <v>0</v>
      </c>
      <c r="CT140" s="409">
        <v>0</v>
      </c>
      <c r="CU140" s="409">
        <v>0</v>
      </c>
      <c r="CV140" s="409">
        <v>0</v>
      </c>
      <c r="CW140" s="409">
        <v>0</v>
      </c>
      <c r="CX140" s="409">
        <v>0</v>
      </c>
      <c r="CY140" s="409">
        <v>0</v>
      </c>
      <c r="CZ140" s="409">
        <v>1.446579934732195E-2</v>
      </c>
      <c r="DA140" s="409">
        <v>0</v>
      </c>
      <c r="DB140" s="409">
        <v>0</v>
      </c>
      <c r="DC140" s="409">
        <v>2.536356272901602E-2</v>
      </c>
      <c r="DD140" s="409">
        <v>0</v>
      </c>
      <c r="DE140" s="409">
        <v>0</v>
      </c>
      <c r="DF140" s="409">
        <v>0</v>
      </c>
      <c r="DG140" s="409">
        <v>3.4082796431976047E-4</v>
      </c>
      <c r="DH140" s="409">
        <v>0</v>
      </c>
      <c r="DI140" s="409">
        <v>-6.6191482703933935E-3</v>
      </c>
      <c r="DJ140" s="409"/>
      <c r="DK140" s="409">
        <v>0</v>
      </c>
      <c r="DL140" s="409">
        <v>0</v>
      </c>
      <c r="DM140" s="409">
        <v>0</v>
      </c>
      <c r="DN140" s="409">
        <v>0</v>
      </c>
      <c r="DO140" s="409">
        <v>-8.4199510816045965E-4</v>
      </c>
      <c r="DP140" s="409">
        <v>-1.2087147161995212E-4</v>
      </c>
      <c r="DQ140" s="409">
        <v>0</v>
      </c>
      <c r="DR140" s="409">
        <v>-8.0256657945647954E-4</v>
      </c>
      <c r="DS140" s="409"/>
      <c r="DT140" s="409"/>
      <c r="DU140" s="409"/>
      <c r="DV140" s="409">
        <v>0.97098445176677206</v>
      </c>
      <c r="DW140" s="409">
        <v>0</v>
      </c>
      <c r="DX140" s="409">
        <v>0</v>
      </c>
      <c r="DY140" s="409">
        <v>-0.14491999999999994</v>
      </c>
      <c r="DZ140" s="409">
        <v>2.2359999999999991E-2</v>
      </c>
      <c r="EA140" s="409">
        <v>0</v>
      </c>
      <c r="EB140" s="409">
        <v>0</v>
      </c>
      <c r="EC140" s="409">
        <v>-0.15434087381010408</v>
      </c>
      <c r="ED140" s="409">
        <v>0</v>
      </c>
      <c r="EE140" s="409">
        <v>0</v>
      </c>
      <c r="EF140" s="409">
        <v>0</v>
      </c>
      <c r="EG140" s="409">
        <v>0</v>
      </c>
      <c r="EH140" s="409">
        <v>0</v>
      </c>
      <c r="EI140" s="409">
        <v>0</v>
      </c>
      <c r="EJ140" s="409">
        <v>0</v>
      </c>
      <c r="EK140" s="409">
        <v>0</v>
      </c>
      <c r="EL140" s="409">
        <v>0</v>
      </c>
      <c r="EM140" s="409">
        <v>0</v>
      </c>
      <c r="EN140" s="409">
        <v>0</v>
      </c>
      <c r="EO140" s="409">
        <v>0</v>
      </c>
      <c r="EP140" s="409">
        <v>0</v>
      </c>
      <c r="EQ140" s="409">
        <v>0</v>
      </c>
      <c r="ER140" s="409">
        <v>0</v>
      </c>
      <c r="ES140" s="409">
        <v>0</v>
      </c>
      <c r="ET140" s="409">
        <v>0</v>
      </c>
      <c r="EU140" s="409">
        <v>0</v>
      </c>
      <c r="EV140" s="409">
        <v>210</v>
      </c>
      <c r="EW140" s="409">
        <v>0</v>
      </c>
      <c r="EX140" s="409">
        <v>0</v>
      </c>
      <c r="EY140" s="409">
        <v>0</v>
      </c>
      <c r="EZ140" s="409"/>
      <c r="FA140" s="409">
        <v>0</v>
      </c>
      <c r="FB140" s="409"/>
      <c r="FC140" s="409"/>
      <c r="FD140" s="409"/>
      <c r="FE140" s="409"/>
      <c r="FF140" s="409">
        <v>0</v>
      </c>
      <c r="FG140" s="409">
        <v>0</v>
      </c>
      <c r="FH140" s="409">
        <v>0</v>
      </c>
      <c r="FI140" s="409">
        <v>0</v>
      </c>
    </row>
    <row r="141" spans="1:165">
      <c r="A141" s="409">
        <v>139</v>
      </c>
      <c r="B141" s="409" t="s">
        <v>1035</v>
      </c>
      <c r="C141" s="409" t="s">
        <v>2248</v>
      </c>
      <c r="D141" s="409" t="s">
        <v>2247</v>
      </c>
      <c r="E141" s="409" t="s">
        <v>973</v>
      </c>
      <c r="F141" s="409" t="s">
        <v>1323</v>
      </c>
      <c r="G141" s="409" t="s">
        <v>1323</v>
      </c>
      <c r="H141" s="409" t="s">
        <v>1323</v>
      </c>
      <c r="I141" s="409" t="s">
        <v>2234</v>
      </c>
      <c r="J141" s="409" t="s">
        <v>2242</v>
      </c>
      <c r="K141" s="838">
        <v>44440</v>
      </c>
      <c r="L141" s="409">
        <v>0</v>
      </c>
      <c r="M141" s="409">
        <v>0</v>
      </c>
      <c r="N141" s="409">
        <v>5.5E-2</v>
      </c>
      <c r="O141" s="409">
        <v>5.5E-2</v>
      </c>
      <c r="P141" s="409">
        <v>5.5E-2</v>
      </c>
      <c r="Q141" s="409">
        <v>5.5E-2</v>
      </c>
      <c r="R141" s="409"/>
      <c r="S141" s="409">
        <v>203.33</v>
      </c>
      <c r="T141" s="409">
        <v>235.42</v>
      </c>
      <c r="U141" s="409"/>
      <c r="V141" s="409">
        <v>24.131250000000001</v>
      </c>
      <c r="W141" s="409">
        <v>24.131250000000001</v>
      </c>
      <c r="X141" s="409">
        <v>23.7941</v>
      </c>
      <c r="Y141" s="409">
        <v>0</v>
      </c>
      <c r="Z141" s="409">
        <v>2.8557096965484559</v>
      </c>
      <c r="AA141" s="409">
        <v>0</v>
      </c>
      <c r="AB141" s="409">
        <v>0</v>
      </c>
      <c r="AC141" s="409">
        <v>0</v>
      </c>
      <c r="AD141" s="409">
        <v>2.3210876495289341</v>
      </c>
      <c r="AE141" s="409">
        <v>5.3404163354218488</v>
      </c>
      <c r="AF141" s="409">
        <v>12.94786698332501</v>
      </c>
      <c r="AG141" s="409">
        <v>0</v>
      </c>
      <c r="AH141" s="409">
        <v>0</v>
      </c>
      <c r="AI141" s="409">
        <v>0</v>
      </c>
      <c r="AJ141" s="409">
        <v>0</v>
      </c>
      <c r="AK141" s="409">
        <v>0</v>
      </c>
      <c r="AL141" s="409">
        <v>0.44161876019833884</v>
      </c>
      <c r="AM141" s="409"/>
      <c r="AN141" s="409">
        <v>5.0378821855901056E-2</v>
      </c>
      <c r="AO141" s="409">
        <v>0</v>
      </c>
      <c r="AP141" s="409">
        <v>0</v>
      </c>
      <c r="AQ141" s="409">
        <v>0</v>
      </c>
      <c r="AR141" s="409">
        <v>0</v>
      </c>
      <c r="AS141" s="409">
        <v>0</v>
      </c>
      <c r="AT141" s="409">
        <v>0</v>
      </c>
      <c r="AU141" s="409">
        <v>0</v>
      </c>
      <c r="AV141" s="409">
        <v>0</v>
      </c>
      <c r="AW141" s="409">
        <v>0</v>
      </c>
      <c r="AX141" s="409">
        <v>0</v>
      </c>
      <c r="AY141" s="409">
        <v>0</v>
      </c>
      <c r="AZ141" s="409">
        <v>0</v>
      </c>
      <c r="BA141" s="409"/>
      <c r="BB141" s="409">
        <v>0</v>
      </c>
      <c r="BC141" s="409">
        <v>0</v>
      </c>
      <c r="BD141" s="409">
        <v>0</v>
      </c>
      <c r="BE141" s="409">
        <v>0</v>
      </c>
      <c r="BF141" s="409">
        <v>0</v>
      </c>
      <c r="BG141" s="409">
        <v>0.17398956106278507</v>
      </c>
      <c r="BH141" s="409">
        <v>0</v>
      </c>
      <c r="BI141" s="409">
        <v>0</v>
      </c>
      <c r="BJ141" s="409">
        <v>0</v>
      </c>
      <c r="BK141" s="409">
        <v>0</v>
      </c>
      <c r="BL141" s="409">
        <v>0</v>
      </c>
      <c r="BM141" s="409"/>
      <c r="BN141" s="409"/>
      <c r="BO141" s="409"/>
      <c r="BP141" s="409"/>
      <c r="BQ141" s="409"/>
      <c r="BR141" s="409"/>
      <c r="BS141" s="409"/>
      <c r="BT141" s="409"/>
      <c r="BU141" s="409"/>
      <c r="BV141" s="409">
        <v>13.121856544387795</v>
      </c>
      <c r="BW141" s="409"/>
      <c r="BX141" s="409"/>
      <c r="BY141" s="409"/>
      <c r="BZ141" s="409"/>
      <c r="CA141" s="409"/>
      <c r="CB141" s="409"/>
      <c r="CC141" s="409"/>
      <c r="CD141" s="409"/>
      <c r="CE141" s="409"/>
      <c r="CF141" s="409"/>
      <c r="CG141" s="409"/>
      <c r="CH141" s="409"/>
      <c r="CI141" s="409">
        <v>25.9572</v>
      </c>
      <c r="CJ141" s="409">
        <v>1.7959499999999977</v>
      </c>
      <c r="CK141" s="409"/>
      <c r="CL141" s="409"/>
      <c r="CM141" s="409"/>
      <c r="CN141" s="409"/>
      <c r="CO141" s="409">
        <v>-0.95205000000000017</v>
      </c>
      <c r="CP141" s="409">
        <v>0.61490000000000034</v>
      </c>
      <c r="CQ141" s="409">
        <v>30</v>
      </c>
      <c r="CR141" s="409">
        <v>0.51162713786011338</v>
      </c>
      <c r="CS141" s="409">
        <v>0</v>
      </c>
      <c r="CT141" s="409">
        <v>0</v>
      </c>
      <c r="CU141" s="409">
        <v>0</v>
      </c>
      <c r="CV141" s="409">
        <v>0</v>
      </c>
      <c r="CW141" s="409">
        <v>0</v>
      </c>
      <c r="CX141" s="409">
        <v>0</v>
      </c>
      <c r="CY141" s="409">
        <v>0</v>
      </c>
      <c r="CZ141" s="409">
        <v>7.9563268612794946E-2</v>
      </c>
      <c r="DA141" s="409">
        <v>0</v>
      </c>
      <c r="DB141" s="409">
        <v>0</v>
      </c>
      <c r="DC141" s="409">
        <v>0.69749797504794131</v>
      </c>
      <c r="DD141" s="409">
        <v>0</v>
      </c>
      <c r="DE141" s="409">
        <v>0</v>
      </c>
      <c r="DF141" s="409">
        <v>0</v>
      </c>
      <c r="DG141" s="409">
        <v>9.3727690187933865E-3</v>
      </c>
      <c r="DH141" s="409">
        <v>0</v>
      </c>
      <c r="DI141" s="409">
        <v>-0.18202657743581829</v>
      </c>
      <c r="DJ141" s="409"/>
      <c r="DK141" s="409">
        <v>0</v>
      </c>
      <c r="DL141" s="409">
        <v>0</v>
      </c>
      <c r="DM141" s="409">
        <v>0</v>
      </c>
      <c r="DN141" s="409">
        <v>0</v>
      </c>
      <c r="DO141" s="409">
        <v>-2.31548654744127E-2</v>
      </c>
      <c r="DP141" s="409">
        <v>-3.3239654695486828E-3</v>
      </c>
      <c r="DQ141" s="409">
        <v>0</v>
      </c>
      <c r="DR141" s="409">
        <v>-6.6301466439643325E-2</v>
      </c>
      <c r="DS141" s="409"/>
      <c r="DT141" s="409"/>
      <c r="DU141" s="409"/>
      <c r="DV141" s="409">
        <v>5.3404163354218488</v>
      </c>
      <c r="DW141" s="409">
        <v>0</v>
      </c>
      <c r="DX141" s="409">
        <v>0</v>
      </c>
      <c r="DY141" s="409">
        <v>-0.95204999999999984</v>
      </c>
      <c r="DZ141" s="409">
        <v>0.61490000000000045</v>
      </c>
      <c r="EA141" s="409">
        <v>0</v>
      </c>
      <c r="EB141" s="409">
        <v>0</v>
      </c>
      <c r="EC141" s="409">
        <v>-0.8488751001305852</v>
      </c>
      <c r="ED141" s="409">
        <v>0</v>
      </c>
      <c r="EE141" s="409">
        <v>0</v>
      </c>
      <c r="EF141" s="409">
        <v>0</v>
      </c>
      <c r="EG141" s="409">
        <v>0</v>
      </c>
      <c r="EH141" s="409">
        <v>0</v>
      </c>
      <c r="EI141" s="409">
        <v>0</v>
      </c>
      <c r="EJ141" s="409">
        <v>0</v>
      </c>
      <c r="EK141" s="409">
        <v>0</v>
      </c>
      <c r="EL141" s="409">
        <v>0</v>
      </c>
      <c r="EM141" s="409">
        <v>0</v>
      </c>
      <c r="EN141" s="409">
        <v>0</v>
      </c>
      <c r="EO141" s="409">
        <v>0</v>
      </c>
      <c r="EP141" s="409">
        <v>0</v>
      </c>
      <c r="EQ141" s="409">
        <v>0</v>
      </c>
      <c r="ER141" s="409">
        <v>0</v>
      </c>
      <c r="ES141" s="409">
        <v>0</v>
      </c>
      <c r="ET141" s="409">
        <v>0</v>
      </c>
      <c r="EU141" s="409">
        <v>0</v>
      </c>
      <c r="EV141" s="409">
        <v>210</v>
      </c>
      <c r="EW141" s="409">
        <v>0</v>
      </c>
      <c r="EX141" s="409">
        <v>0</v>
      </c>
      <c r="EY141" s="409">
        <v>0</v>
      </c>
      <c r="EZ141" s="409"/>
      <c r="FA141" s="409">
        <v>0</v>
      </c>
      <c r="FB141" s="409"/>
      <c r="FC141" s="409"/>
      <c r="FD141" s="409"/>
      <c r="FE141" s="409"/>
      <c r="FF141" s="409">
        <v>0</v>
      </c>
      <c r="FG141" s="409">
        <v>0</v>
      </c>
      <c r="FH141" s="409">
        <v>0</v>
      </c>
      <c r="FI141" s="409">
        <v>0</v>
      </c>
    </row>
    <row r="142" spans="1:165">
      <c r="A142" s="409">
        <v>140</v>
      </c>
      <c r="B142" s="409" t="s">
        <v>1035</v>
      </c>
      <c r="C142" s="409" t="s">
        <v>2248</v>
      </c>
      <c r="D142" s="409" t="s">
        <v>2247</v>
      </c>
      <c r="E142" s="409" t="s">
        <v>973</v>
      </c>
      <c r="F142" s="409" t="s">
        <v>1323</v>
      </c>
      <c r="G142" s="409" t="s">
        <v>1323</v>
      </c>
      <c r="H142" s="409" t="s">
        <v>1323</v>
      </c>
      <c r="I142" s="409" t="s">
        <v>1323</v>
      </c>
      <c r="J142" s="409" t="s">
        <v>2242</v>
      </c>
      <c r="K142" s="838">
        <v>44440</v>
      </c>
      <c r="L142" s="409">
        <v>0</v>
      </c>
      <c r="M142" s="409">
        <v>0</v>
      </c>
      <c r="N142" s="409">
        <v>0</v>
      </c>
      <c r="O142" s="409">
        <v>0</v>
      </c>
      <c r="P142" s="409">
        <v>0</v>
      </c>
      <c r="Q142" s="409">
        <v>0</v>
      </c>
      <c r="R142" s="409"/>
      <c r="S142" s="409"/>
      <c r="T142" s="409"/>
      <c r="U142" s="409"/>
      <c r="V142" s="409"/>
      <c r="W142" s="409"/>
      <c r="X142" s="409"/>
      <c r="Y142" s="409"/>
      <c r="Z142" s="409"/>
      <c r="AA142" s="409">
        <v>0</v>
      </c>
      <c r="AB142" s="409"/>
      <c r="AC142" s="409"/>
      <c r="AD142" s="409"/>
      <c r="AE142" s="409"/>
      <c r="AF142" s="409"/>
      <c r="AG142" s="409"/>
      <c r="AH142" s="409"/>
      <c r="AI142" s="409"/>
      <c r="AJ142" s="409"/>
      <c r="AK142" s="409"/>
      <c r="AL142" s="409"/>
      <c r="AM142" s="409"/>
      <c r="AN142" s="409"/>
      <c r="AO142" s="409"/>
      <c r="AP142" s="409"/>
      <c r="AQ142" s="409"/>
      <c r="AR142" s="409"/>
      <c r="AS142" s="409"/>
      <c r="AT142" s="409"/>
      <c r="AU142" s="409"/>
      <c r="AV142" s="409"/>
      <c r="AW142" s="409"/>
      <c r="AX142" s="409"/>
      <c r="AY142" s="409"/>
      <c r="AZ142" s="409">
        <v>0</v>
      </c>
      <c r="BA142" s="409"/>
      <c r="BB142" s="409"/>
      <c r="BC142" s="409"/>
      <c r="BD142" s="409"/>
      <c r="BE142" s="409"/>
      <c r="BF142" s="409"/>
      <c r="BG142" s="409"/>
      <c r="BH142" s="409"/>
      <c r="BI142" s="409">
        <v>0.21</v>
      </c>
      <c r="BJ142" s="409">
        <v>0.99</v>
      </c>
      <c r="BK142" s="409">
        <v>0</v>
      </c>
      <c r="BL142" s="409">
        <v>1</v>
      </c>
      <c r="BM142" s="409"/>
      <c r="BN142" s="409"/>
      <c r="BO142" s="409"/>
      <c r="BP142" s="409"/>
      <c r="BQ142" s="409"/>
      <c r="BR142" s="409"/>
      <c r="BS142" s="409"/>
      <c r="BT142" s="409"/>
      <c r="BU142" s="409"/>
      <c r="BV142" s="409"/>
      <c r="BW142" s="409"/>
      <c r="BX142" s="409"/>
      <c r="BY142" s="409"/>
      <c r="BZ142" s="409"/>
      <c r="CA142" s="409"/>
      <c r="CB142" s="409"/>
      <c r="CC142" s="409"/>
      <c r="CD142" s="409"/>
      <c r="CE142" s="409"/>
      <c r="CF142" s="409"/>
      <c r="CG142" s="409"/>
      <c r="CH142" s="409"/>
      <c r="CI142" s="409"/>
      <c r="CJ142" s="409">
        <v>-0.03</v>
      </c>
      <c r="CK142" s="409"/>
      <c r="CL142" s="409"/>
      <c r="CM142" s="409"/>
      <c r="CN142" s="409"/>
      <c r="CO142" s="409">
        <v>0</v>
      </c>
      <c r="CP142" s="409">
        <v>0</v>
      </c>
      <c r="CQ142" s="409">
        <v>30</v>
      </c>
      <c r="CR142" s="409"/>
      <c r="CS142" s="409"/>
      <c r="CT142" s="409"/>
      <c r="CU142" s="409"/>
      <c r="CV142" s="409"/>
      <c r="CW142" s="409"/>
      <c r="CX142" s="409"/>
      <c r="CY142" s="409"/>
      <c r="CZ142" s="409"/>
      <c r="DA142" s="409"/>
      <c r="DB142" s="409"/>
      <c r="DC142" s="409"/>
      <c r="DD142" s="409"/>
      <c r="DE142" s="409"/>
      <c r="DF142" s="409"/>
      <c r="DG142" s="409"/>
      <c r="DH142" s="409"/>
      <c r="DI142" s="409"/>
      <c r="DJ142" s="409"/>
      <c r="DK142" s="409">
        <v>0</v>
      </c>
      <c r="DL142" s="409"/>
      <c r="DM142" s="409"/>
      <c r="DN142" s="409"/>
      <c r="DO142" s="409"/>
      <c r="DP142" s="409"/>
      <c r="DQ142" s="409"/>
      <c r="DR142" s="409"/>
      <c r="DS142" s="409"/>
      <c r="DT142" s="409"/>
      <c r="DU142" s="409"/>
      <c r="DV142" s="409"/>
      <c r="DW142" s="409"/>
      <c r="DX142" s="409"/>
      <c r="DY142" s="409"/>
      <c r="DZ142" s="409"/>
      <c r="EA142" s="409"/>
      <c r="EB142" s="409"/>
      <c r="EC142" s="409"/>
      <c r="ED142" s="409"/>
      <c r="EE142" s="409"/>
      <c r="EF142" s="409"/>
      <c r="EG142" s="409"/>
      <c r="EH142" s="409"/>
      <c r="EI142" s="409"/>
      <c r="EJ142" s="409"/>
      <c r="EK142" s="409"/>
      <c r="EL142" s="409"/>
      <c r="EM142" s="409"/>
      <c r="EN142" s="409"/>
      <c r="EO142" s="409"/>
      <c r="EP142" s="409"/>
      <c r="EQ142" s="409"/>
      <c r="ER142" s="409"/>
      <c r="ES142" s="409"/>
      <c r="ET142" s="409"/>
      <c r="EU142" s="409"/>
      <c r="EV142" s="409">
        <v>210</v>
      </c>
      <c r="EW142" s="409"/>
      <c r="EX142" s="409"/>
      <c r="EY142" s="409"/>
      <c r="EZ142" s="409"/>
      <c r="FA142" s="409">
        <v>0</v>
      </c>
      <c r="FB142" s="409"/>
      <c r="FC142" s="409"/>
      <c r="FD142" s="409"/>
      <c r="FE142" s="409"/>
      <c r="FF142" s="409">
        <v>0</v>
      </c>
      <c r="FG142" s="409">
        <v>0</v>
      </c>
      <c r="FH142" s="409">
        <v>0</v>
      </c>
      <c r="FI142" s="409">
        <v>0</v>
      </c>
    </row>
    <row r="143" spans="1:165">
      <c r="A143" s="409">
        <v>141</v>
      </c>
      <c r="B143" s="409" t="s">
        <v>1035</v>
      </c>
      <c r="C143" s="409" t="s">
        <v>2248</v>
      </c>
      <c r="D143" s="409" t="s">
        <v>2247</v>
      </c>
      <c r="E143" s="409" t="s">
        <v>973</v>
      </c>
      <c r="F143" s="409" t="s">
        <v>1323</v>
      </c>
      <c r="G143" s="409" t="s">
        <v>1323</v>
      </c>
      <c r="H143" s="409" t="s">
        <v>1323</v>
      </c>
      <c r="I143" s="409" t="s">
        <v>2259</v>
      </c>
      <c r="J143" s="409" t="s">
        <v>2242</v>
      </c>
      <c r="K143" s="838">
        <v>44440</v>
      </c>
      <c r="L143" s="409">
        <v>0</v>
      </c>
      <c r="M143" s="409">
        <v>0</v>
      </c>
      <c r="N143" s="409">
        <v>1E-3</v>
      </c>
      <c r="O143" s="409">
        <v>1E-3</v>
      </c>
      <c r="P143" s="409">
        <v>1E-3</v>
      </c>
      <c r="Q143" s="409">
        <v>1E-3</v>
      </c>
      <c r="R143" s="409"/>
      <c r="S143" s="409">
        <v>481.93</v>
      </c>
      <c r="T143" s="409">
        <v>235.42</v>
      </c>
      <c r="U143" s="409"/>
      <c r="V143" s="409">
        <v>0.71735000000000004</v>
      </c>
      <c r="W143" s="409">
        <v>0.71735000000000004</v>
      </c>
      <c r="X143" s="409">
        <v>0.68364000000000003</v>
      </c>
      <c r="Y143" s="409">
        <v>0</v>
      </c>
      <c r="Z143" s="409">
        <v>5.1921994482699199E-2</v>
      </c>
      <c r="AA143" s="409">
        <v>0</v>
      </c>
      <c r="AB143" s="409">
        <v>0</v>
      </c>
      <c r="AC143" s="409">
        <v>0</v>
      </c>
      <c r="AD143" s="409">
        <v>0.126603108824208</v>
      </c>
      <c r="AE143" s="409">
        <v>0.291295184108746</v>
      </c>
      <c r="AF143" s="409">
        <v>0.23541576333318201</v>
      </c>
      <c r="AG143" s="409">
        <v>0</v>
      </c>
      <c r="AH143" s="409">
        <v>0</v>
      </c>
      <c r="AI143" s="409">
        <v>0</v>
      </c>
      <c r="AJ143" s="409">
        <v>0</v>
      </c>
      <c r="AK143" s="409">
        <v>0</v>
      </c>
      <c r="AL143" s="409">
        <v>8.0294320036061601E-3</v>
      </c>
      <c r="AM143" s="409"/>
      <c r="AN143" s="409">
        <v>9.1597857919820103E-4</v>
      </c>
      <c r="AO143" s="409">
        <v>0</v>
      </c>
      <c r="AP143" s="409">
        <v>0</v>
      </c>
      <c r="AQ143" s="409">
        <v>0</v>
      </c>
      <c r="AR143" s="409">
        <v>0</v>
      </c>
      <c r="AS143" s="409">
        <v>0</v>
      </c>
      <c r="AT143" s="409">
        <v>0</v>
      </c>
      <c r="AU143" s="409">
        <v>0</v>
      </c>
      <c r="AV143" s="409">
        <v>0</v>
      </c>
      <c r="AW143" s="409">
        <v>0</v>
      </c>
      <c r="AX143" s="409">
        <v>0</v>
      </c>
      <c r="AY143" s="409">
        <v>0</v>
      </c>
      <c r="AZ143" s="409">
        <v>0</v>
      </c>
      <c r="BA143" s="409"/>
      <c r="BB143" s="409">
        <v>0</v>
      </c>
      <c r="BC143" s="409">
        <v>0</v>
      </c>
      <c r="BD143" s="409">
        <v>0</v>
      </c>
      <c r="BE143" s="409">
        <v>0</v>
      </c>
      <c r="BF143" s="409">
        <v>0</v>
      </c>
      <c r="BG143" s="409">
        <v>3.1634465647779101E-3</v>
      </c>
      <c r="BH143" s="409">
        <v>0</v>
      </c>
      <c r="BI143" s="409">
        <v>0</v>
      </c>
      <c r="BJ143" s="409">
        <v>0</v>
      </c>
      <c r="BK143" s="409">
        <v>0</v>
      </c>
      <c r="BL143" s="409">
        <v>0</v>
      </c>
      <c r="BM143" s="409"/>
      <c r="BN143" s="409"/>
      <c r="BO143" s="409"/>
      <c r="BP143" s="409"/>
      <c r="BQ143" s="409"/>
      <c r="BR143" s="409"/>
      <c r="BS143" s="409"/>
      <c r="BT143" s="409"/>
      <c r="BU143" s="409"/>
      <c r="BV143" s="409">
        <v>0.23857920989795992</v>
      </c>
      <c r="BW143" s="409"/>
      <c r="BX143" s="409"/>
      <c r="BY143" s="409"/>
      <c r="BZ143" s="409"/>
      <c r="CA143" s="409"/>
      <c r="CB143" s="409"/>
      <c r="CC143" s="409"/>
      <c r="CD143" s="409"/>
      <c r="CE143" s="409"/>
      <c r="CF143" s="409"/>
      <c r="CG143" s="409"/>
      <c r="CH143" s="409"/>
      <c r="CI143" s="409">
        <v>0</v>
      </c>
      <c r="CJ143" s="409">
        <v>-0.74734999999999996</v>
      </c>
      <c r="CK143" s="409"/>
      <c r="CL143" s="409"/>
      <c r="CM143" s="409"/>
      <c r="CN143" s="409"/>
      <c r="CO143" s="409">
        <v>-4.4889999999999985E-2</v>
      </c>
      <c r="CP143" s="409">
        <v>1.1180000000000008E-2</v>
      </c>
      <c r="CQ143" s="409">
        <v>30</v>
      </c>
      <c r="CR143" s="409">
        <v>1.2597562978850785E-2</v>
      </c>
      <c r="CS143" s="409">
        <v>0</v>
      </c>
      <c r="CT143" s="409">
        <v>0</v>
      </c>
      <c r="CU143" s="409">
        <v>0</v>
      </c>
      <c r="CV143" s="409">
        <v>0</v>
      </c>
      <c r="CW143" s="409">
        <v>0</v>
      </c>
      <c r="CX143" s="409">
        <v>0</v>
      </c>
      <c r="CY143" s="409">
        <v>0</v>
      </c>
      <c r="CZ143" s="409">
        <v>4.3397573360230146E-3</v>
      </c>
      <c r="DA143" s="409">
        <v>0</v>
      </c>
      <c r="DB143" s="409">
        <v>0</v>
      </c>
      <c r="DC143" s="409">
        <v>1.268178136450801E-2</v>
      </c>
      <c r="DD143" s="409">
        <v>0</v>
      </c>
      <c r="DE143" s="409">
        <v>0</v>
      </c>
      <c r="DF143" s="409">
        <v>0</v>
      </c>
      <c r="DG143" s="409">
        <v>1.7041398215988024E-4</v>
      </c>
      <c r="DH143" s="409">
        <v>0</v>
      </c>
      <c r="DI143" s="409">
        <v>-3.3095741351966967E-3</v>
      </c>
      <c r="DJ143" s="409"/>
      <c r="DK143" s="409">
        <v>0</v>
      </c>
      <c r="DL143" s="409">
        <v>0</v>
      </c>
      <c r="DM143" s="409">
        <v>0</v>
      </c>
      <c r="DN143" s="409">
        <v>0</v>
      </c>
      <c r="DO143" s="409">
        <v>-4.2099755408022983E-4</v>
      </c>
      <c r="DP143" s="409">
        <v>-6.0435735809976059E-5</v>
      </c>
      <c r="DQ143" s="409">
        <v>0</v>
      </c>
      <c r="DR143" s="409">
        <v>-8.0338227875326987E-4</v>
      </c>
      <c r="DS143" s="409"/>
      <c r="DT143" s="409"/>
      <c r="DU143" s="409"/>
      <c r="DV143" s="409">
        <v>0.291295184108746</v>
      </c>
      <c r="DW143" s="409">
        <v>0</v>
      </c>
      <c r="DX143" s="409">
        <v>0</v>
      </c>
      <c r="DY143" s="409">
        <v>-4.4889999999999985E-2</v>
      </c>
      <c r="DZ143" s="409">
        <v>1.1179999999999995E-2</v>
      </c>
      <c r="EA143" s="409">
        <v>0</v>
      </c>
      <c r="EB143" s="409">
        <v>0</v>
      </c>
      <c r="EC143" s="409">
        <v>-4.6302238074166002E-2</v>
      </c>
      <c r="ED143" s="409">
        <v>0</v>
      </c>
      <c r="EE143" s="409">
        <v>0</v>
      </c>
      <c r="EF143" s="409">
        <v>0</v>
      </c>
      <c r="EG143" s="409">
        <v>0</v>
      </c>
      <c r="EH143" s="409">
        <v>0</v>
      </c>
      <c r="EI143" s="409">
        <v>0</v>
      </c>
      <c r="EJ143" s="409">
        <v>0</v>
      </c>
      <c r="EK143" s="409">
        <v>0</v>
      </c>
      <c r="EL143" s="409">
        <v>0</v>
      </c>
      <c r="EM143" s="409">
        <v>0</v>
      </c>
      <c r="EN143" s="409">
        <v>0</v>
      </c>
      <c r="EO143" s="409">
        <v>0</v>
      </c>
      <c r="EP143" s="409">
        <v>0</v>
      </c>
      <c r="EQ143" s="409">
        <v>0</v>
      </c>
      <c r="ER143" s="409">
        <v>0</v>
      </c>
      <c r="ES143" s="409">
        <v>0</v>
      </c>
      <c r="ET143" s="409">
        <v>0</v>
      </c>
      <c r="EU143" s="409">
        <v>0</v>
      </c>
      <c r="EV143" s="409">
        <v>210</v>
      </c>
      <c r="EW143" s="409">
        <v>0</v>
      </c>
      <c r="EX143" s="409">
        <v>0</v>
      </c>
      <c r="EY143" s="409">
        <v>0</v>
      </c>
      <c r="EZ143" s="409"/>
      <c r="FA143" s="409">
        <v>0</v>
      </c>
      <c r="FB143" s="409"/>
      <c r="FC143" s="409"/>
      <c r="FD143" s="409"/>
      <c r="FE143" s="409"/>
      <c r="FF143" s="409">
        <v>0</v>
      </c>
      <c r="FG143" s="409">
        <v>0</v>
      </c>
      <c r="FH143" s="409">
        <v>0</v>
      </c>
      <c r="FI143" s="409">
        <v>0</v>
      </c>
    </row>
    <row r="144" spans="1:165">
      <c r="A144" s="409">
        <v>142</v>
      </c>
      <c r="B144" s="409" t="s">
        <v>1035</v>
      </c>
      <c r="C144" s="409" t="s">
        <v>2241</v>
      </c>
      <c r="D144" s="409" t="s">
        <v>1992</v>
      </c>
      <c r="E144" s="409" t="s">
        <v>2249</v>
      </c>
      <c r="F144" s="409" t="s">
        <v>1323</v>
      </c>
      <c r="G144" s="409" t="s">
        <v>1323</v>
      </c>
      <c r="H144" s="409" t="s">
        <v>1323</v>
      </c>
      <c r="I144" s="409" t="s">
        <v>1323</v>
      </c>
      <c r="J144" s="409" t="s">
        <v>2242</v>
      </c>
      <c r="K144" s="838">
        <v>44440</v>
      </c>
      <c r="L144" s="409">
        <v>0</v>
      </c>
      <c r="M144" s="409">
        <v>0</v>
      </c>
      <c r="N144" s="409">
        <v>15.138999999999999</v>
      </c>
      <c r="O144" s="409">
        <v>15.138999999999999</v>
      </c>
      <c r="P144" s="409">
        <v>15.138999999999999</v>
      </c>
      <c r="Q144" s="409">
        <v>15.138999999999999</v>
      </c>
      <c r="R144" s="409"/>
      <c r="S144" s="409">
        <v>358.62</v>
      </c>
      <c r="T144" s="409">
        <v>273.74</v>
      </c>
      <c r="U144" s="409"/>
      <c r="V144" s="409">
        <v>9573.2980399999997</v>
      </c>
      <c r="W144" s="409">
        <v>9573.2980399999997</v>
      </c>
      <c r="X144" s="409">
        <v>9282.3264600000002</v>
      </c>
      <c r="Y144" s="409">
        <v>0</v>
      </c>
      <c r="Z144" s="409">
        <v>914.0082261320747</v>
      </c>
      <c r="AA144" s="409">
        <v>0</v>
      </c>
      <c r="AB144" s="409">
        <v>0</v>
      </c>
      <c r="AC144" s="409">
        <v>0</v>
      </c>
      <c r="AD144" s="409">
        <v>1303.2940694389979</v>
      </c>
      <c r="AE144" s="409">
        <v>2998.720888348787</v>
      </c>
      <c r="AF144" s="409">
        <v>4144.1386524430791</v>
      </c>
      <c r="AG144" s="409">
        <v>0</v>
      </c>
      <c r="AH144" s="409">
        <v>0</v>
      </c>
      <c r="AI144" s="409">
        <v>0</v>
      </c>
      <c r="AJ144" s="409">
        <v>0</v>
      </c>
      <c r="AK144" s="409">
        <v>0</v>
      </c>
      <c r="AL144" s="409">
        <v>141.3460129099926</v>
      </c>
      <c r="AM144" s="409"/>
      <c r="AN144" s="409">
        <v>16.124418268001836</v>
      </c>
      <c r="AO144" s="409">
        <v>0</v>
      </c>
      <c r="AP144" s="409">
        <v>0</v>
      </c>
      <c r="AQ144" s="409">
        <v>0</v>
      </c>
      <c r="AR144" s="409">
        <v>0</v>
      </c>
      <c r="AS144" s="409">
        <v>0</v>
      </c>
      <c r="AT144" s="409">
        <v>0</v>
      </c>
      <c r="AU144" s="409">
        <v>0</v>
      </c>
      <c r="AV144" s="409">
        <v>0</v>
      </c>
      <c r="AW144" s="409">
        <v>0</v>
      </c>
      <c r="AX144" s="409">
        <v>0</v>
      </c>
      <c r="AY144" s="409">
        <v>0</v>
      </c>
      <c r="AZ144" s="409">
        <v>0</v>
      </c>
      <c r="BA144" s="409"/>
      <c r="BB144" s="409">
        <v>0</v>
      </c>
      <c r="BC144" s="409">
        <v>0</v>
      </c>
      <c r="BD144" s="409">
        <v>0</v>
      </c>
      <c r="BE144" s="409">
        <v>0</v>
      </c>
      <c r="BF144" s="409">
        <v>0</v>
      </c>
      <c r="BG144" s="409">
        <v>55.687694818805426</v>
      </c>
      <c r="BH144" s="409">
        <v>0</v>
      </c>
      <c r="BI144" s="409">
        <v>6.64</v>
      </c>
      <c r="BJ144" s="409">
        <v>30.69</v>
      </c>
      <c r="BK144" s="409">
        <v>2136.5300000000002</v>
      </c>
      <c r="BL144" s="409">
        <v>15</v>
      </c>
      <c r="BM144" s="409"/>
      <c r="BN144" s="409"/>
      <c r="BO144" s="409"/>
      <c r="BP144" s="409"/>
      <c r="BQ144" s="409"/>
      <c r="BR144" s="409"/>
      <c r="BS144" s="409"/>
      <c r="BT144" s="409"/>
      <c r="BU144" s="409"/>
      <c r="BV144" s="409">
        <v>4199.8263472618846</v>
      </c>
      <c r="BW144" s="409"/>
      <c r="BX144" s="409"/>
      <c r="BY144" s="409"/>
      <c r="BZ144" s="409"/>
      <c r="CA144" s="409"/>
      <c r="CB144" s="409"/>
      <c r="CC144" s="409"/>
      <c r="CD144" s="409"/>
      <c r="CE144" s="409"/>
      <c r="CF144" s="409"/>
      <c r="CG144" s="409"/>
      <c r="CH144" s="409"/>
      <c r="CI144" s="409">
        <v>9282.9396000000015</v>
      </c>
      <c r="CJ144" s="409">
        <v>-290.38843999999881</v>
      </c>
      <c r="CK144" s="409"/>
      <c r="CL144" s="409"/>
      <c r="CM144" s="409"/>
      <c r="CN144" s="409"/>
      <c r="CO144" s="409">
        <v>-487.77858000000037</v>
      </c>
      <c r="CP144" s="409">
        <v>196.80699999999999</v>
      </c>
      <c r="CQ144" s="409">
        <v>30</v>
      </c>
      <c r="CR144" s="409">
        <v>185.63260485295268</v>
      </c>
      <c r="CS144" s="409">
        <v>0</v>
      </c>
      <c r="CT144" s="409">
        <v>0</v>
      </c>
      <c r="CU144" s="409">
        <v>0</v>
      </c>
      <c r="CV144" s="409">
        <v>0</v>
      </c>
      <c r="CW144" s="409">
        <v>0</v>
      </c>
      <c r="CX144" s="409">
        <v>0</v>
      </c>
      <c r="CY144" s="409">
        <v>0</v>
      </c>
      <c r="CZ144" s="409">
        <v>44.674890303810344</v>
      </c>
      <c r="DA144" s="409">
        <v>0</v>
      </c>
      <c r="DB144" s="409">
        <v>0</v>
      </c>
      <c r="DC144" s="409">
        <v>223.24359078753241</v>
      </c>
      <c r="DD144" s="409">
        <v>0</v>
      </c>
      <c r="DE144" s="409">
        <v>0</v>
      </c>
      <c r="DF144" s="409">
        <v>0</v>
      </c>
      <c r="DG144" s="409">
        <v>2.9998805533936164</v>
      </c>
      <c r="DH144" s="409">
        <v>0</v>
      </c>
      <c r="DI144" s="409">
        <v>-58.260049805516701</v>
      </c>
      <c r="DJ144" s="409"/>
      <c r="DK144" s="409">
        <v>0</v>
      </c>
      <c r="DL144" s="409">
        <v>0</v>
      </c>
      <c r="DM144" s="409">
        <v>0</v>
      </c>
      <c r="DN144" s="409">
        <v>0</v>
      </c>
      <c r="DO144" s="409">
        <v>-7.4110255479310183</v>
      </c>
      <c r="DP144" s="409">
        <v>-1.0638797725898304</v>
      </c>
      <c r="DQ144" s="409">
        <v>0</v>
      </c>
      <c r="DR144" s="409">
        <v>-18.550801665744732</v>
      </c>
      <c r="DS144" s="409"/>
      <c r="DT144" s="409"/>
      <c r="DU144" s="409"/>
      <c r="DV144" s="409">
        <v>2998.720888348787</v>
      </c>
      <c r="DW144" s="409">
        <v>0</v>
      </c>
      <c r="DX144" s="409">
        <v>0</v>
      </c>
      <c r="DY144" s="409">
        <v>-487.77858000000106</v>
      </c>
      <c r="DZ144" s="409">
        <v>196.8070000000007</v>
      </c>
      <c r="EA144" s="409">
        <v>0</v>
      </c>
      <c r="EB144" s="409">
        <v>0</v>
      </c>
      <c r="EC144" s="409">
        <v>-476.65562654296536</v>
      </c>
      <c r="ED144" s="409">
        <v>0</v>
      </c>
      <c r="EE144" s="409">
        <v>0</v>
      </c>
      <c r="EF144" s="409">
        <v>0</v>
      </c>
      <c r="EG144" s="409">
        <v>0</v>
      </c>
      <c r="EH144" s="409">
        <v>0</v>
      </c>
      <c r="EI144" s="409">
        <v>0</v>
      </c>
      <c r="EJ144" s="409">
        <v>0</v>
      </c>
      <c r="EK144" s="409">
        <v>0</v>
      </c>
      <c r="EL144" s="409">
        <v>0</v>
      </c>
      <c r="EM144" s="409">
        <v>0</v>
      </c>
      <c r="EN144" s="409">
        <v>0</v>
      </c>
      <c r="EO144" s="409">
        <v>0</v>
      </c>
      <c r="EP144" s="409">
        <v>0</v>
      </c>
      <c r="EQ144" s="409">
        <v>0</v>
      </c>
      <c r="ER144" s="409">
        <v>0</v>
      </c>
      <c r="ES144" s="409">
        <v>0</v>
      </c>
      <c r="ET144" s="409">
        <v>0</v>
      </c>
      <c r="EU144" s="409">
        <v>0</v>
      </c>
      <c r="EV144" s="409">
        <v>210</v>
      </c>
      <c r="EW144" s="409">
        <v>0</v>
      </c>
      <c r="EX144" s="409">
        <v>0</v>
      </c>
      <c r="EY144" s="409">
        <v>0</v>
      </c>
      <c r="EZ144" s="409"/>
      <c r="FA144" s="409">
        <v>0</v>
      </c>
      <c r="FB144" s="409"/>
      <c r="FC144" s="409"/>
      <c r="FD144" s="409"/>
      <c r="FE144" s="409"/>
      <c r="FF144" s="409">
        <v>0</v>
      </c>
      <c r="FG144" s="409">
        <v>0</v>
      </c>
      <c r="FH144" s="409">
        <v>0</v>
      </c>
      <c r="FI144" s="409">
        <v>0</v>
      </c>
    </row>
    <row r="145" spans="1:165">
      <c r="A145" s="409">
        <v>143</v>
      </c>
      <c r="B145" s="409" t="s">
        <v>1035</v>
      </c>
      <c r="C145" s="409" t="s">
        <v>2241</v>
      </c>
      <c r="D145" s="409" t="s">
        <v>2250</v>
      </c>
      <c r="E145" s="409" t="s">
        <v>2251</v>
      </c>
      <c r="F145" s="409" t="s">
        <v>2252</v>
      </c>
      <c r="G145" s="409" t="s">
        <v>1323</v>
      </c>
      <c r="H145" s="409" t="s">
        <v>1323</v>
      </c>
      <c r="I145" s="409" t="s">
        <v>1323</v>
      </c>
      <c r="J145" s="409" t="s">
        <v>2242</v>
      </c>
      <c r="K145" s="838">
        <v>44440</v>
      </c>
      <c r="L145" s="409">
        <v>0</v>
      </c>
      <c r="M145" s="409">
        <v>0</v>
      </c>
      <c r="N145" s="409">
        <v>20.052</v>
      </c>
      <c r="O145" s="409">
        <v>20.052</v>
      </c>
      <c r="P145" s="409">
        <v>20.052</v>
      </c>
      <c r="Q145" s="409">
        <v>20.052</v>
      </c>
      <c r="R145" s="409"/>
      <c r="S145" s="409">
        <v>215.17</v>
      </c>
      <c r="T145" s="409">
        <v>164.24</v>
      </c>
      <c r="U145" s="409"/>
      <c r="V145" s="409">
        <v>7607.9293199999993</v>
      </c>
      <c r="W145" s="409">
        <v>7607.9293199999993</v>
      </c>
      <c r="X145" s="409">
        <v>7376.9302800000005</v>
      </c>
      <c r="Y145" s="409">
        <v>0</v>
      </c>
      <c r="Z145" s="409">
        <v>726.37662793052459</v>
      </c>
      <c r="AA145" s="409">
        <v>0</v>
      </c>
      <c r="AB145" s="409">
        <v>0</v>
      </c>
      <c r="AC145" s="409">
        <v>0</v>
      </c>
      <c r="AD145" s="409">
        <v>1035.748174135312</v>
      </c>
      <c r="AE145" s="409">
        <v>2383.1303753155416</v>
      </c>
      <c r="AF145" s="409">
        <v>3293.4117811792798</v>
      </c>
      <c r="AG145" s="409">
        <v>0</v>
      </c>
      <c r="AH145" s="409">
        <v>0</v>
      </c>
      <c r="AI145" s="409">
        <v>0</v>
      </c>
      <c r="AJ145" s="409">
        <v>0</v>
      </c>
      <c r="AK145" s="409">
        <v>0</v>
      </c>
      <c r="AL145" s="409">
        <v>112.32988642068175</v>
      </c>
      <c r="AM145" s="409"/>
      <c r="AN145" s="409">
        <v>12.814327304708593</v>
      </c>
      <c r="AO145" s="409">
        <v>0</v>
      </c>
      <c r="AP145" s="409">
        <v>0</v>
      </c>
      <c r="AQ145" s="409">
        <v>0</v>
      </c>
      <c r="AR145" s="409">
        <v>0</v>
      </c>
      <c r="AS145" s="409">
        <v>0</v>
      </c>
      <c r="AT145" s="409">
        <v>0</v>
      </c>
      <c r="AU145" s="409">
        <v>0</v>
      </c>
      <c r="AV145" s="409">
        <v>0</v>
      </c>
      <c r="AW145" s="409">
        <v>0</v>
      </c>
      <c r="AX145" s="409">
        <v>0</v>
      </c>
      <c r="AY145" s="409">
        <v>0</v>
      </c>
      <c r="AZ145" s="409">
        <v>0</v>
      </c>
      <c r="BA145" s="409"/>
      <c r="BB145" s="409">
        <v>0</v>
      </c>
      <c r="BC145" s="409">
        <v>0</v>
      </c>
      <c r="BD145" s="409">
        <v>0</v>
      </c>
      <c r="BE145" s="409">
        <v>0</v>
      </c>
      <c r="BF145" s="409">
        <v>0</v>
      </c>
      <c r="BG145" s="409">
        <v>44.255881755995354</v>
      </c>
      <c r="BH145" s="409">
        <v>0</v>
      </c>
      <c r="BI145" s="409">
        <v>0</v>
      </c>
      <c r="BJ145" s="409">
        <v>0</v>
      </c>
      <c r="BK145" s="409">
        <v>2037.08</v>
      </c>
      <c r="BL145" s="409">
        <v>6</v>
      </c>
      <c r="BM145" s="409"/>
      <c r="BN145" s="409"/>
      <c r="BO145" s="409"/>
      <c r="BP145" s="409"/>
      <c r="BQ145" s="409"/>
      <c r="BR145" s="409"/>
      <c r="BS145" s="409"/>
      <c r="BT145" s="409"/>
      <c r="BU145" s="409"/>
      <c r="BV145" s="409">
        <v>3337.6676629352751</v>
      </c>
      <c r="BW145" s="409"/>
      <c r="BX145" s="409"/>
      <c r="BY145" s="409"/>
      <c r="BZ145" s="409"/>
      <c r="CA145" s="409"/>
      <c r="CB145" s="409"/>
      <c r="CC145" s="409"/>
      <c r="CD145" s="409"/>
      <c r="CE145" s="409"/>
      <c r="CF145" s="409"/>
      <c r="CG145" s="409"/>
      <c r="CH145" s="409"/>
      <c r="CI145" s="409">
        <v>7376.1945000000005</v>
      </c>
      <c r="CJ145" s="409">
        <v>-231.76481999999942</v>
      </c>
      <c r="CK145" s="409"/>
      <c r="CL145" s="409"/>
      <c r="CM145" s="409"/>
      <c r="CN145" s="409"/>
      <c r="CO145" s="409">
        <v>-387.60515999999967</v>
      </c>
      <c r="CP145" s="409">
        <v>156.60612000000003</v>
      </c>
      <c r="CQ145" s="409">
        <v>30</v>
      </c>
      <c r="CR145" s="409">
        <v>147.52513346369142</v>
      </c>
      <c r="CS145" s="409">
        <v>0</v>
      </c>
      <c r="CT145" s="409">
        <v>0</v>
      </c>
      <c r="CU145" s="409">
        <v>0</v>
      </c>
      <c r="CV145" s="409">
        <v>0</v>
      </c>
      <c r="CW145" s="409">
        <v>0</v>
      </c>
      <c r="CX145" s="409">
        <v>0</v>
      </c>
      <c r="CY145" s="409">
        <v>0</v>
      </c>
      <c r="CZ145" s="409">
        <v>35.503833821466515</v>
      </c>
      <c r="DA145" s="409">
        <v>0</v>
      </c>
      <c r="DB145" s="409">
        <v>0</v>
      </c>
      <c r="DC145" s="409">
        <v>177.41517203797866</v>
      </c>
      <c r="DD145" s="409">
        <v>0</v>
      </c>
      <c r="DE145" s="409">
        <v>0</v>
      </c>
      <c r="DF145" s="409">
        <v>0</v>
      </c>
      <c r="DG145" s="409">
        <v>2.3840519792581176</v>
      </c>
      <c r="DH145" s="409">
        <v>0</v>
      </c>
      <c r="DI145" s="409">
        <v>-46.300172482999415</v>
      </c>
      <c r="DJ145" s="409"/>
      <c r="DK145" s="409">
        <v>0</v>
      </c>
      <c r="DL145" s="409">
        <v>0</v>
      </c>
      <c r="DM145" s="409">
        <v>0</v>
      </c>
      <c r="DN145" s="409">
        <v>0</v>
      </c>
      <c r="DO145" s="409">
        <v>-5.8896578751743789</v>
      </c>
      <c r="DP145" s="409">
        <v>-0.84548188915927547</v>
      </c>
      <c r="DQ145" s="409">
        <v>0</v>
      </c>
      <c r="DR145" s="409">
        <v>-14.742612127677354</v>
      </c>
      <c r="DS145" s="409"/>
      <c r="DT145" s="409"/>
      <c r="DU145" s="409"/>
      <c r="DV145" s="409">
        <v>2383.1303753155416</v>
      </c>
      <c r="DW145" s="409">
        <v>0</v>
      </c>
      <c r="DX145" s="409">
        <v>0</v>
      </c>
      <c r="DY145" s="409">
        <v>-387.60515999999961</v>
      </c>
      <c r="DZ145" s="409">
        <v>156.60611999999992</v>
      </c>
      <c r="EA145" s="409">
        <v>0</v>
      </c>
      <c r="EB145" s="409">
        <v>0</v>
      </c>
      <c r="EC145" s="409">
        <v>-378.80567897904029</v>
      </c>
      <c r="ED145" s="409">
        <v>0</v>
      </c>
      <c r="EE145" s="409">
        <v>0</v>
      </c>
      <c r="EF145" s="409">
        <v>0</v>
      </c>
      <c r="EG145" s="409">
        <v>0</v>
      </c>
      <c r="EH145" s="409">
        <v>0</v>
      </c>
      <c r="EI145" s="409">
        <v>0</v>
      </c>
      <c r="EJ145" s="409">
        <v>0</v>
      </c>
      <c r="EK145" s="409">
        <v>0</v>
      </c>
      <c r="EL145" s="409">
        <v>0</v>
      </c>
      <c r="EM145" s="409">
        <v>0</v>
      </c>
      <c r="EN145" s="409">
        <v>0</v>
      </c>
      <c r="EO145" s="409">
        <v>0</v>
      </c>
      <c r="EP145" s="409">
        <v>0</v>
      </c>
      <c r="EQ145" s="409">
        <v>0</v>
      </c>
      <c r="ER145" s="409">
        <v>0</v>
      </c>
      <c r="ES145" s="409">
        <v>0</v>
      </c>
      <c r="ET145" s="409">
        <v>0</v>
      </c>
      <c r="EU145" s="409">
        <v>0</v>
      </c>
      <c r="EV145" s="409">
        <v>210</v>
      </c>
      <c r="EW145" s="409">
        <v>0</v>
      </c>
      <c r="EX145" s="409">
        <v>0</v>
      </c>
      <c r="EY145" s="409">
        <v>0</v>
      </c>
      <c r="EZ145" s="409"/>
      <c r="FA145" s="409">
        <v>0</v>
      </c>
      <c r="FB145" s="409"/>
      <c r="FC145" s="409"/>
      <c r="FD145" s="409"/>
      <c r="FE145" s="409"/>
      <c r="FF145" s="409">
        <v>0</v>
      </c>
      <c r="FG145" s="409">
        <v>0</v>
      </c>
      <c r="FH145" s="409">
        <v>0</v>
      </c>
      <c r="FI145" s="409">
        <v>0</v>
      </c>
    </row>
    <row r="146" spans="1:165">
      <c r="A146" s="409">
        <v>144</v>
      </c>
      <c r="B146" s="409" t="s">
        <v>1035</v>
      </c>
      <c r="C146" s="409" t="s">
        <v>2241</v>
      </c>
      <c r="D146" s="409" t="s">
        <v>1992</v>
      </c>
      <c r="E146" s="409" t="s">
        <v>1000</v>
      </c>
      <c r="F146" s="409" t="s">
        <v>2253</v>
      </c>
      <c r="G146" s="409" t="s">
        <v>1323</v>
      </c>
      <c r="H146" s="409" t="s">
        <v>1323</v>
      </c>
      <c r="I146" s="409" t="s">
        <v>1323</v>
      </c>
      <c r="J146" s="409" t="s">
        <v>2242</v>
      </c>
      <c r="K146" s="838">
        <v>44440</v>
      </c>
      <c r="L146" s="409">
        <v>0</v>
      </c>
      <c r="M146" s="409">
        <v>0</v>
      </c>
      <c r="N146" s="409">
        <v>3.391</v>
      </c>
      <c r="O146" s="409">
        <v>3.1875399999999998</v>
      </c>
      <c r="P146" s="409">
        <v>3.391</v>
      </c>
      <c r="Q146" s="409">
        <v>3.1875399999999998</v>
      </c>
      <c r="R146" s="409"/>
      <c r="S146" s="409">
        <v>358.62</v>
      </c>
      <c r="T146" s="409">
        <v>273.74</v>
      </c>
      <c r="U146" s="409"/>
      <c r="V146" s="409">
        <v>2144.3327600000002</v>
      </c>
      <c r="W146" s="409">
        <v>2144.3327600000002</v>
      </c>
      <c r="X146" s="409">
        <v>2079.1577400000001</v>
      </c>
      <c r="Y146" s="409">
        <v>0</v>
      </c>
      <c r="Z146" s="409">
        <v>204.72963173352701</v>
      </c>
      <c r="AA146" s="409">
        <v>0</v>
      </c>
      <c r="AB146" s="409">
        <v>0</v>
      </c>
      <c r="AC146" s="409">
        <v>0</v>
      </c>
      <c r="AD146" s="409">
        <v>291.92616351592852</v>
      </c>
      <c r="AE146" s="409">
        <v>671.68654022001033</v>
      </c>
      <c r="AF146" s="409">
        <v>928.24982960793204</v>
      </c>
      <c r="AG146" s="409">
        <v>0</v>
      </c>
      <c r="AH146" s="409">
        <v>0</v>
      </c>
      <c r="AI146" s="409">
        <v>0</v>
      </c>
      <c r="AJ146" s="409">
        <v>0</v>
      </c>
      <c r="AK146" s="409">
        <v>0</v>
      </c>
      <c r="AL146" s="409">
        <v>31.660237121195916</v>
      </c>
      <c r="AM146" s="409"/>
      <c r="AN146" s="409">
        <v>3.6117248396059334</v>
      </c>
      <c r="AO146" s="409">
        <v>0</v>
      </c>
      <c r="AP146" s="409">
        <v>0</v>
      </c>
      <c r="AQ146" s="409">
        <v>0</v>
      </c>
      <c r="AR146" s="409">
        <v>0</v>
      </c>
      <c r="AS146" s="409">
        <v>0</v>
      </c>
      <c r="AT146" s="409">
        <v>0</v>
      </c>
      <c r="AU146" s="409">
        <v>0</v>
      </c>
      <c r="AV146" s="409">
        <v>0</v>
      </c>
      <c r="AW146" s="409">
        <v>0</v>
      </c>
      <c r="AX146" s="409">
        <v>0</v>
      </c>
      <c r="AY146" s="409">
        <v>0</v>
      </c>
      <c r="AZ146" s="409">
        <v>0</v>
      </c>
      <c r="BA146" s="409"/>
      <c r="BB146" s="409">
        <v>0</v>
      </c>
      <c r="BC146" s="409">
        <v>0</v>
      </c>
      <c r="BD146" s="409">
        <v>0</v>
      </c>
      <c r="BE146" s="409">
        <v>0</v>
      </c>
      <c r="BF146" s="409">
        <v>0</v>
      </c>
      <c r="BG146" s="409">
        <v>12.473543373444032</v>
      </c>
      <c r="BH146" s="409">
        <v>0</v>
      </c>
      <c r="BI146" s="409">
        <v>0</v>
      </c>
      <c r="BJ146" s="409">
        <v>0</v>
      </c>
      <c r="BK146" s="409">
        <v>458.57</v>
      </c>
      <c r="BL146" s="409">
        <v>3</v>
      </c>
      <c r="BM146" s="409"/>
      <c r="BN146" s="409"/>
      <c r="BO146" s="409"/>
      <c r="BP146" s="409"/>
      <c r="BQ146" s="409">
        <v>124.74946440000012</v>
      </c>
      <c r="BR146" s="409"/>
      <c r="BS146" s="409"/>
      <c r="BT146" s="409"/>
      <c r="BU146" s="409"/>
      <c r="BV146" s="409">
        <v>940.72337298137609</v>
      </c>
      <c r="BW146" s="409"/>
      <c r="BX146" s="409"/>
      <c r="BY146" s="409"/>
      <c r="BZ146" s="409"/>
      <c r="CA146" s="409"/>
      <c r="CB146" s="409"/>
      <c r="CC146" s="409"/>
      <c r="CD146" s="409"/>
      <c r="CE146" s="409"/>
      <c r="CF146" s="409"/>
      <c r="CG146" s="409"/>
      <c r="CH146" s="409"/>
      <c r="CI146" s="409">
        <v>1955.9166</v>
      </c>
      <c r="CJ146" s="409">
        <v>-59.786194399999886</v>
      </c>
      <c r="CK146" s="409"/>
      <c r="CL146" s="409"/>
      <c r="CM146" s="409"/>
      <c r="CN146" s="409"/>
      <c r="CO146" s="409">
        <v>-109.25802000000009</v>
      </c>
      <c r="CP146" s="409">
        <v>44.082999999999998</v>
      </c>
      <c r="CQ146" s="409">
        <v>30</v>
      </c>
      <c r="CR146" s="409">
        <v>41.580035871349992</v>
      </c>
      <c r="CS146" s="409">
        <v>0</v>
      </c>
      <c r="CT146" s="409">
        <v>0</v>
      </c>
      <c r="CU146" s="409">
        <v>0</v>
      </c>
      <c r="CV146" s="409">
        <v>0</v>
      </c>
      <c r="CW146" s="409">
        <v>0</v>
      </c>
      <c r="CX146" s="409">
        <v>0</v>
      </c>
      <c r="CY146" s="409">
        <v>0</v>
      </c>
      <c r="CZ146" s="409">
        <v>10.006774094736841</v>
      </c>
      <c r="DA146" s="409">
        <v>0</v>
      </c>
      <c r="DB146" s="409">
        <v>0</v>
      </c>
      <c r="DC146" s="409">
        <v>50.004558845400766</v>
      </c>
      <c r="DD146" s="409">
        <v>0</v>
      </c>
      <c r="DE146" s="409">
        <v>0</v>
      </c>
      <c r="DF146" s="409">
        <v>0</v>
      </c>
      <c r="DG146" s="409">
        <v>0.67194629477229384</v>
      </c>
      <c r="DH146" s="409">
        <v>0</v>
      </c>
      <c r="DI146" s="409">
        <v>-13.049727781921348</v>
      </c>
      <c r="DJ146" s="409"/>
      <c r="DK146" s="409">
        <v>0</v>
      </c>
      <c r="DL146" s="409">
        <v>0</v>
      </c>
      <c r="DM146" s="409">
        <v>0</v>
      </c>
      <c r="DN146" s="409">
        <v>0</v>
      </c>
      <c r="DO146" s="409">
        <v>-1.6600031463791609</v>
      </c>
      <c r="DP146" s="409">
        <v>-0.23829951178097053</v>
      </c>
      <c r="DQ146" s="409">
        <v>0</v>
      </c>
      <c r="DR146" s="409">
        <v>-4.1552129234784587</v>
      </c>
      <c r="DS146" s="409"/>
      <c r="DT146" s="409"/>
      <c r="DU146" s="409"/>
      <c r="DV146" s="409">
        <v>671.68654022001033</v>
      </c>
      <c r="DW146" s="409">
        <v>0</v>
      </c>
      <c r="DX146" s="409">
        <v>0</v>
      </c>
      <c r="DY146" s="409">
        <v>-109.25801999999999</v>
      </c>
      <c r="DZ146" s="409">
        <v>44.083000000000084</v>
      </c>
      <c r="EA146" s="409">
        <v>0</v>
      </c>
      <c r="EB146" s="409">
        <v>0</v>
      </c>
      <c r="EC146" s="409">
        <v>-106.76657834779019</v>
      </c>
      <c r="ED146" s="409">
        <v>0</v>
      </c>
      <c r="EE146" s="409">
        <v>0</v>
      </c>
      <c r="EF146" s="409">
        <v>0</v>
      </c>
      <c r="EG146" s="409">
        <v>0</v>
      </c>
      <c r="EH146" s="409">
        <v>0</v>
      </c>
      <c r="EI146" s="409">
        <v>0</v>
      </c>
      <c r="EJ146" s="409">
        <v>0</v>
      </c>
      <c r="EK146" s="409">
        <v>0</v>
      </c>
      <c r="EL146" s="409">
        <v>0</v>
      </c>
      <c r="EM146" s="409">
        <v>0</v>
      </c>
      <c r="EN146" s="409">
        <v>0</v>
      </c>
      <c r="EO146" s="409">
        <v>0</v>
      </c>
      <c r="EP146" s="409">
        <v>0</v>
      </c>
      <c r="EQ146" s="409">
        <v>0</v>
      </c>
      <c r="ER146" s="409">
        <v>0</v>
      </c>
      <c r="ES146" s="409">
        <v>0</v>
      </c>
      <c r="ET146" s="409">
        <v>0</v>
      </c>
      <c r="EU146" s="409">
        <v>0</v>
      </c>
      <c r="EV146" s="409">
        <v>210</v>
      </c>
      <c r="EW146" s="409">
        <v>0</v>
      </c>
      <c r="EX146" s="409">
        <v>0</v>
      </c>
      <c r="EY146" s="409">
        <v>0</v>
      </c>
      <c r="EZ146" s="409"/>
      <c r="FA146" s="409">
        <v>0</v>
      </c>
      <c r="FB146" s="409"/>
      <c r="FC146" s="409"/>
      <c r="FD146" s="409"/>
      <c r="FE146" s="409"/>
      <c r="FF146" s="409">
        <v>0</v>
      </c>
      <c r="FG146" s="409">
        <v>0</v>
      </c>
      <c r="FH146" s="409">
        <v>0</v>
      </c>
      <c r="FI146" s="409">
        <v>0</v>
      </c>
    </row>
    <row r="147" spans="1:165">
      <c r="A147" s="409">
        <v>145</v>
      </c>
      <c r="B147" s="409" t="s">
        <v>1035</v>
      </c>
      <c r="C147" s="409" t="s">
        <v>2246</v>
      </c>
      <c r="D147" s="409" t="s">
        <v>595</v>
      </c>
      <c r="E147" s="409" t="s">
        <v>1000</v>
      </c>
      <c r="F147" s="409" t="s">
        <v>2253</v>
      </c>
      <c r="G147" s="409" t="s">
        <v>1323</v>
      </c>
      <c r="H147" s="409" t="s">
        <v>1323</v>
      </c>
      <c r="I147" s="409" t="s">
        <v>972</v>
      </c>
      <c r="J147" s="409" t="s">
        <v>2242</v>
      </c>
      <c r="K147" s="838">
        <v>44440</v>
      </c>
      <c r="L147" s="409">
        <v>0</v>
      </c>
      <c r="M147" s="409">
        <v>0</v>
      </c>
      <c r="N147" s="409">
        <v>7.2990000000000004</v>
      </c>
      <c r="O147" s="409">
        <v>6.8610600000000002</v>
      </c>
      <c r="P147" s="409">
        <v>7.2990000000000004</v>
      </c>
      <c r="Q147" s="409">
        <v>6.8610600000000002</v>
      </c>
      <c r="R147" s="409"/>
      <c r="S147" s="409">
        <v>1856.88</v>
      </c>
      <c r="T147" s="409">
        <v>273.74</v>
      </c>
      <c r="U147" s="409"/>
      <c r="V147" s="409">
        <v>15551.395380000002</v>
      </c>
      <c r="W147" s="409">
        <v>15551.395380000002</v>
      </c>
      <c r="X147" s="409">
        <v>14249.61873</v>
      </c>
      <c r="Y147" s="409">
        <v>0</v>
      </c>
      <c r="Z147" s="409">
        <v>383.38536607491045</v>
      </c>
      <c r="AA147" s="409">
        <v>0</v>
      </c>
      <c r="AB147" s="409">
        <v>0</v>
      </c>
      <c r="AC147" s="409">
        <v>0</v>
      </c>
      <c r="AD147" s="409">
        <v>3577.1805622346005</v>
      </c>
      <c r="AE147" s="409">
        <v>9506.0827214906167</v>
      </c>
      <c r="AF147" s="409">
        <v>1998.0228564754632</v>
      </c>
      <c r="AG147" s="409">
        <v>0</v>
      </c>
      <c r="AH147" s="409">
        <v>0</v>
      </c>
      <c r="AI147" s="409">
        <v>0</v>
      </c>
      <c r="AJ147" s="409">
        <v>0</v>
      </c>
      <c r="AK147" s="409">
        <v>0</v>
      </c>
      <c r="AL147" s="409">
        <v>68.147469993396925</v>
      </c>
      <c r="AM147" s="409"/>
      <c r="AN147" s="409">
        <v>6.3361736563115612</v>
      </c>
      <c r="AO147" s="409">
        <v>0</v>
      </c>
      <c r="AP147" s="409">
        <v>0</v>
      </c>
      <c r="AQ147" s="409">
        <v>0</v>
      </c>
      <c r="AR147" s="409">
        <v>0</v>
      </c>
      <c r="AS147" s="409">
        <v>0</v>
      </c>
      <c r="AT147" s="409">
        <v>0</v>
      </c>
      <c r="AU147" s="409">
        <v>0</v>
      </c>
      <c r="AV147" s="409">
        <v>0</v>
      </c>
      <c r="AW147" s="409">
        <v>0</v>
      </c>
      <c r="AX147" s="409">
        <v>0</v>
      </c>
      <c r="AY147" s="409">
        <v>0</v>
      </c>
      <c r="AZ147" s="409">
        <v>0</v>
      </c>
      <c r="BA147" s="409"/>
      <c r="BB147" s="409">
        <v>0</v>
      </c>
      <c r="BC147" s="409">
        <v>0</v>
      </c>
      <c r="BD147" s="409">
        <v>0</v>
      </c>
      <c r="BE147" s="409">
        <v>0</v>
      </c>
      <c r="BF147" s="409">
        <v>0</v>
      </c>
      <c r="BG147" s="409">
        <v>12.213605547221082</v>
      </c>
      <c r="BH147" s="409">
        <v>0</v>
      </c>
      <c r="BI147" s="409">
        <v>0</v>
      </c>
      <c r="BJ147" s="409">
        <v>0</v>
      </c>
      <c r="BK147" s="409">
        <v>0</v>
      </c>
      <c r="BL147" s="409">
        <v>0</v>
      </c>
      <c r="BM147" s="409"/>
      <c r="BN147" s="409"/>
      <c r="BO147" s="409"/>
      <c r="BP147" s="409"/>
      <c r="BQ147" s="409">
        <v>854.97712380000041</v>
      </c>
      <c r="BR147" s="409"/>
      <c r="BS147" s="409"/>
      <c r="BT147" s="409"/>
      <c r="BU147" s="409"/>
      <c r="BV147" s="409">
        <v>2010.2364620226842</v>
      </c>
      <c r="BW147" s="409"/>
      <c r="BX147" s="409"/>
      <c r="BY147" s="409"/>
      <c r="BZ147" s="409"/>
      <c r="CA147" s="409"/>
      <c r="CB147" s="409"/>
      <c r="CC147" s="409"/>
      <c r="CD147" s="409"/>
      <c r="CE147" s="409"/>
      <c r="CF147" s="409"/>
      <c r="CG147" s="409"/>
      <c r="CH147" s="409"/>
      <c r="CI147" s="409">
        <v>13392.572200000001</v>
      </c>
      <c r="CJ147" s="409">
        <v>-1225.7694572000019</v>
      </c>
      <c r="CK147" s="409"/>
      <c r="CL147" s="409"/>
      <c r="CM147" s="409"/>
      <c r="CN147" s="409"/>
      <c r="CO147" s="409">
        <v>-1396.6636500000011</v>
      </c>
      <c r="CP147" s="409">
        <v>94.887</v>
      </c>
      <c r="CQ147" s="409">
        <v>30</v>
      </c>
      <c r="CR147" s="409">
        <v>209.32200217250193</v>
      </c>
      <c r="CS147" s="409">
        <v>0</v>
      </c>
      <c r="CT147" s="409">
        <v>0</v>
      </c>
      <c r="CU147" s="409">
        <v>0</v>
      </c>
      <c r="CV147" s="409">
        <v>0</v>
      </c>
      <c r="CW147" s="409">
        <v>0</v>
      </c>
      <c r="CX147" s="409">
        <v>0</v>
      </c>
      <c r="CY147" s="409">
        <v>0</v>
      </c>
      <c r="CZ147" s="409">
        <v>122.62017679827159</v>
      </c>
      <c r="DA147" s="409">
        <v>0</v>
      </c>
      <c r="DB147" s="409">
        <v>0</v>
      </c>
      <c r="DC147" s="409">
        <v>107.63293276690661</v>
      </c>
      <c r="DD147" s="409">
        <v>0</v>
      </c>
      <c r="DE147" s="409">
        <v>0</v>
      </c>
      <c r="DF147" s="409">
        <v>0</v>
      </c>
      <c r="DG147" s="409">
        <v>0.65794351673466878</v>
      </c>
      <c r="DH147" s="409">
        <v>0</v>
      </c>
      <c r="DI147" s="409">
        <v>-24.437472096671172</v>
      </c>
      <c r="DJ147" s="409"/>
      <c r="DK147" s="409">
        <v>0</v>
      </c>
      <c r="DL147" s="409">
        <v>0</v>
      </c>
      <c r="DM147" s="409">
        <v>0</v>
      </c>
      <c r="DN147" s="409">
        <v>0</v>
      </c>
      <c r="DO147" s="409">
        <v>-3.5730943572460774</v>
      </c>
      <c r="DP147" s="409">
        <v>-0.41805706578223223</v>
      </c>
      <c r="DQ147" s="409">
        <v>0</v>
      </c>
      <c r="DR147" s="409">
        <v>6.8395726102896273</v>
      </c>
      <c r="DS147" s="409"/>
      <c r="DT147" s="409"/>
      <c r="DU147" s="409"/>
      <c r="DV147" s="409">
        <v>9506.0827214906167</v>
      </c>
      <c r="DW147" s="409">
        <v>0</v>
      </c>
      <c r="DX147" s="409">
        <v>0</v>
      </c>
      <c r="DY147" s="409">
        <v>-1396.6636500000004</v>
      </c>
      <c r="DZ147" s="409">
        <v>94.886999999999944</v>
      </c>
      <c r="EA147" s="409">
        <v>0</v>
      </c>
      <c r="EB147" s="409">
        <v>0</v>
      </c>
      <c r="EC147" s="409">
        <v>-1511.0201930384283</v>
      </c>
      <c r="ED147" s="409">
        <v>0</v>
      </c>
      <c r="EE147" s="409">
        <v>0</v>
      </c>
      <c r="EF147" s="409">
        <v>0</v>
      </c>
      <c r="EG147" s="409">
        <v>0</v>
      </c>
      <c r="EH147" s="409">
        <v>0</v>
      </c>
      <c r="EI147" s="409">
        <v>0</v>
      </c>
      <c r="EJ147" s="409">
        <v>0</v>
      </c>
      <c r="EK147" s="409">
        <v>0</v>
      </c>
      <c r="EL147" s="409">
        <v>0</v>
      </c>
      <c r="EM147" s="409">
        <v>0</v>
      </c>
      <c r="EN147" s="409">
        <v>0</v>
      </c>
      <c r="EO147" s="409">
        <v>0</v>
      </c>
      <c r="EP147" s="409">
        <v>0</v>
      </c>
      <c r="EQ147" s="409">
        <v>0</v>
      </c>
      <c r="ER147" s="409">
        <v>0</v>
      </c>
      <c r="ES147" s="409">
        <v>0</v>
      </c>
      <c r="ET147" s="409">
        <v>0</v>
      </c>
      <c r="EU147" s="409">
        <v>0</v>
      </c>
      <c r="EV147" s="409">
        <v>210</v>
      </c>
      <c r="EW147" s="409">
        <v>0</v>
      </c>
      <c r="EX147" s="409">
        <v>0</v>
      </c>
      <c r="EY147" s="409">
        <v>0</v>
      </c>
      <c r="EZ147" s="409"/>
      <c r="FA147" s="409">
        <v>0</v>
      </c>
      <c r="FB147" s="409"/>
      <c r="FC147" s="409"/>
      <c r="FD147" s="409"/>
      <c r="FE147" s="409"/>
      <c r="FF147" s="409">
        <v>0</v>
      </c>
      <c r="FG147" s="409">
        <v>0</v>
      </c>
      <c r="FH147" s="409">
        <v>0</v>
      </c>
      <c r="FI147" s="409">
        <v>0</v>
      </c>
    </row>
    <row r="148" spans="1:165">
      <c r="A148" s="409">
        <v>146</v>
      </c>
      <c r="B148" s="409" t="s">
        <v>1035</v>
      </c>
      <c r="C148" s="409" t="s">
        <v>2246</v>
      </c>
      <c r="D148" s="409" t="s">
        <v>595</v>
      </c>
      <c r="E148" s="409" t="s">
        <v>1000</v>
      </c>
      <c r="F148" s="409" t="s">
        <v>2253</v>
      </c>
      <c r="G148" s="409" t="s">
        <v>1323</v>
      </c>
      <c r="H148" s="409" t="s">
        <v>1323</v>
      </c>
      <c r="I148" s="409" t="s">
        <v>2234</v>
      </c>
      <c r="J148" s="409" t="s">
        <v>2242</v>
      </c>
      <c r="K148" s="838">
        <v>44440</v>
      </c>
      <c r="L148" s="409">
        <v>0</v>
      </c>
      <c r="M148" s="409">
        <v>0</v>
      </c>
      <c r="N148" s="409">
        <v>77.006</v>
      </c>
      <c r="O148" s="409">
        <v>72.385639999999995</v>
      </c>
      <c r="P148" s="409">
        <v>77.006</v>
      </c>
      <c r="Q148" s="409">
        <v>72.385639999999995</v>
      </c>
      <c r="R148" s="409"/>
      <c r="S148" s="409">
        <v>64.400000000000006</v>
      </c>
      <c r="T148" s="409">
        <v>273.74</v>
      </c>
      <c r="U148" s="409"/>
      <c r="V148" s="409">
        <v>26038.808839999998</v>
      </c>
      <c r="W148" s="409">
        <v>26038.808839999998</v>
      </c>
      <c r="X148" s="409">
        <v>26754.194579999999</v>
      </c>
      <c r="Y148" s="409">
        <v>0</v>
      </c>
      <c r="Z148" s="409">
        <v>4044.7970269851421</v>
      </c>
      <c r="AA148" s="409">
        <v>0</v>
      </c>
      <c r="AB148" s="409">
        <v>0</v>
      </c>
      <c r="AC148" s="409">
        <v>0</v>
      </c>
      <c r="AD148" s="409">
        <v>0</v>
      </c>
      <c r="AE148" s="409">
        <v>0</v>
      </c>
      <c r="AF148" s="409">
        <v>21079.565431668656</v>
      </c>
      <c r="AG148" s="409">
        <v>0</v>
      </c>
      <c r="AH148" s="409">
        <v>0</v>
      </c>
      <c r="AI148" s="409">
        <v>0</v>
      </c>
      <c r="AJ148" s="409">
        <v>0</v>
      </c>
      <c r="AK148" s="409">
        <v>0</v>
      </c>
      <c r="AL148" s="409">
        <v>718.97028008104178</v>
      </c>
      <c r="AM148" s="409"/>
      <c r="AN148" s="409">
        <v>66.847977610347726</v>
      </c>
      <c r="AO148" s="409">
        <v>0</v>
      </c>
      <c r="AP148" s="409">
        <v>0</v>
      </c>
      <c r="AQ148" s="409">
        <v>0</v>
      </c>
      <c r="AR148" s="409">
        <v>0</v>
      </c>
      <c r="AS148" s="409">
        <v>0</v>
      </c>
      <c r="AT148" s="409">
        <v>0</v>
      </c>
      <c r="AU148" s="409">
        <v>0</v>
      </c>
      <c r="AV148" s="409">
        <v>0</v>
      </c>
      <c r="AW148" s="409">
        <v>0</v>
      </c>
      <c r="AX148" s="409">
        <v>0</v>
      </c>
      <c r="AY148" s="409">
        <v>0</v>
      </c>
      <c r="AZ148" s="409">
        <v>0</v>
      </c>
      <c r="BA148" s="409"/>
      <c r="BB148" s="409">
        <v>0</v>
      </c>
      <c r="BC148" s="409">
        <v>0</v>
      </c>
      <c r="BD148" s="409">
        <v>0</v>
      </c>
      <c r="BE148" s="409">
        <v>0</v>
      </c>
      <c r="BF148" s="409">
        <v>0</v>
      </c>
      <c r="BG148" s="409">
        <v>128.85613217828561</v>
      </c>
      <c r="BH148" s="409">
        <v>0</v>
      </c>
      <c r="BI148" s="409">
        <v>0</v>
      </c>
      <c r="BJ148" s="409">
        <v>0</v>
      </c>
      <c r="BK148" s="409">
        <v>0</v>
      </c>
      <c r="BL148" s="409">
        <v>0</v>
      </c>
      <c r="BM148" s="409"/>
      <c r="BN148" s="409"/>
      <c r="BO148" s="409"/>
      <c r="BP148" s="409"/>
      <c r="BQ148" s="409">
        <v>1605.2516748000019</v>
      </c>
      <c r="BR148" s="409"/>
      <c r="BS148" s="409"/>
      <c r="BT148" s="409"/>
      <c r="BU148" s="409"/>
      <c r="BV148" s="409">
        <v>21208.421563846943</v>
      </c>
      <c r="BW148" s="409"/>
      <c r="BX148" s="409"/>
      <c r="BY148" s="409"/>
      <c r="BZ148" s="409"/>
      <c r="CA148" s="409"/>
      <c r="CB148" s="409"/>
      <c r="CC148" s="409"/>
      <c r="CD148" s="409"/>
      <c r="CE148" s="409"/>
      <c r="CF148" s="409"/>
      <c r="CG148" s="409"/>
      <c r="CH148" s="409"/>
      <c r="CI148" s="409">
        <v>25150.457699999999</v>
      </c>
      <c r="CJ148" s="409">
        <v>673.94739040000059</v>
      </c>
      <c r="CK148" s="409"/>
      <c r="CL148" s="409"/>
      <c r="CM148" s="409"/>
      <c r="CN148" s="409"/>
      <c r="CO148" s="409">
        <v>-285.6922600000006</v>
      </c>
      <c r="CP148" s="409">
        <v>1001.078</v>
      </c>
      <c r="CQ148" s="409">
        <v>30</v>
      </c>
      <c r="CR148" s="409">
        <v>715.50316254734935</v>
      </c>
      <c r="CS148" s="409">
        <v>0</v>
      </c>
      <c r="CT148" s="409">
        <v>0</v>
      </c>
      <c r="CU148" s="409">
        <v>0</v>
      </c>
      <c r="CV148" s="409">
        <v>0</v>
      </c>
      <c r="CW148" s="409">
        <v>0</v>
      </c>
      <c r="CX148" s="409">
        <v>0</v>
      </c>
      <c r="CY148" s="409">
        <v>0</v>
      </c>
      <c r="CZ148" s="409">
        <v>0</v>
      </c>
      <c r="DA148" s="409">
        <v>0</v>
      </c>
      <c r="DB148" s="409">
        <v>0</v>
      </c>
      <c r="DC148" s="409">
        <v>1135.5502973898365</v>
      </c>
      <c r="DD148" s="409">
        <v>0</v>
      </c>
      <c r="DE148" s="409">
        <v>0</v>
      </c>
      <c r="DF148" s="409">
        <v>0</v>
      </c>
      <c r="DG148" s="409">
        <v>6.9414438210261551</v>
      </c>
      <c r="DH148" s="409">
        <v>0</v>
      </c>
      <c r="DI148" s="409">
        <v>-257.82052010909183</v>
      </c>
      <c r="DJ148" s="409"/>
      <c r="DK148" s="409">
        <v>0</v>
      </c>
      <c r="DL148" s="409">
        <v>0</v>
      </c>
      <c r="DM148" s="409">
        <v>0</v>
      </c>
      <c r="DN148" s="409">
        <v>0</v>
      </c>
      <c r="DO148" s="409">
        <v>-37.696904243607719</v>
      </c>
      <c r="DP148" s="409">
        <v>-4.4105908217052416</v>
      </c>
      <c r="DQ148" s="409">
        <v>0</v>
      </c>
      <c r="DR148" s="409">
        <v>-127.06056348910687</v>
      </c>
      <c r="DS148" s="409"/>
      <c r="DT148" s="409"/>
      <c r="DU148" s="409"/>
      <c r="DV148" s="409">
        <v>0</v>
      </c>
      <c r="DW148" s="409">
        <v>0</v>
      </c>
      <c r="DX148" s="409">
        <v>0</v>
      </c>
      <c r="DY148" s="409">
        <v>-285.69226000000072</v>
      </c>
      <c r="DZ148" s="409">
        <v>1001.0780000000013</v>
      </c>
      <c r="EA148" s="409">
        <v>0</v>
      </c>
      <c r="EB148" s="409">
        <v>0</v>
      </c>
      <c r="EC148" s="409">
        <v>0</v>
      </c>
      <c r="ED148" s="409">
        <v>0</v>
      </c>
      <c r="EE148" s="409">
        <v>0</v>
      </c>
      <c r="EF148" s="409">
        <v>0</v>
      </c>
      <c r="EG148" s="409">
        <v>0</v>
      </c>
      <c r="EH148" s="409">
        <v>0</v>
      </c>
      <c r="EI148" s="409">
        <v>0</v>
      </c>
      <c r="EJ148" s="409">
        <v>0</v>
      </c>
      <c r="EK148" s="409">
        <v>0</v>
      </c>
      <c r="EL148" s="409">
        <v>0</v>
      </c>
      <c r="EM148" s="409">
        <v>0</v>
      </c>
      <c r="EN148" s="409">
        <v>0</v>
      </c>
      <c r="EO148" s="409">
        <v>0</v>
      </c>
      <c r="EP148" s="409">
        <v>0</v>
      </c>
      <c r="EQ148" s="409">
        <v>0</v>
      </c>
      <c r="ER148" s="409">
        <v>0</v>
      </c>
      <c r="ES148" s="409">
        <v>0</v>
      </c>
      <c r="ET148" s="409">
        <v>0</v>
      </c>
      <c r="EU148" s="409">
        <v>0</v>
      </c>
      <c r="EV148" s="409">
        <v>210</v>
      </c>
      <c r="EW148" s="409">
        <v>0</v>
      </c>
      <c r="EX148" s="409">
        <v>0</v>
      </c>
      <c r="EY148" s="409">
        <v>0</v>
      </c>
      <c r="EZ148" s="409"/>
      <c r="FA148" s="409">
        <v>0</v>
      </c>
      <c r="FB148" s="409"/>
      <c r="FC148" s="409"/>
      <c r="FD148" s="409"/>
      <c r="FE148" s="409"/>
      <c r="FF148" s="409">
        <v>0</v>
      </c>
      <c r="FG148" s="409">
        <v>0</v>
      </c>
      <c r="FH148" s="409">
        <v>0</v>
      </c>
      <c r="FI148" s="409">
        <v>0</v>
      </c>
    </row>
    <row r="149" spans="1:165">
      <c r="A149" s="409">
        <v>147</v>
      </c>
      <c r="B149" s="409" t="s">
        <v>1035</v>
      </c>
      <c r="C149" s="409" t="s">
        <v>2246</v>
      </c>
      <c r="D149" s="409" t="s">
        <v>595</v>
      </c>
      <c r="E149" s="409" t="s">
        <v>1000</v>
      </c>
      <c r="F149" s="409" t="s">
        <v>2253</v>
      </c>
      <c r="G149" s="409" t="s">
        <v>1323</v>
      </c>
      <c r="H149" s="409" t="s">
        <v>1323</v>
      </c>
      <c r="I149" s="409" t="s">
        <v>1323</v>
      </c>
      <c r="J149" s="409" t="s">
        <v>2242</v>
      </c>
      <c r="K149" s="838">
        <v>44440</v>
      </c>
      <c r="L149" s="409">
        <v>140</v>
      </c>
      <c r="M149" s="409">
        <v>131.6</v>
      </c>
      <c r="N149" s="409">
        <v>0</v>
      </c>
      <c r="O149" s="409">
        <v>0</v>
      </c>
      <c r="P149" s="409">
        <v>0</v>
      </c>
      <c r="Q149" s="409">
        <v>0</v>
      </c>
      <c r="R149" s="409">
        <v>33.6</v>
      </c>
      <c r="S149" s="409"/>
      <c r="T149" s="409"/>
      <c r="U149" s="409">
        <v>4704</v>
      </c>
      <c r="V149" s="409"/>
      <c r="W149" s="409">
        <v>4704</v>
      </c>
      <c r="X149" s="409">
        <v>4446.4000000000005</v>
      </c>
      <c r="Y149" s="409">
        <v>0</v>
      </c>
      <c r="Z149" s="409">
        <v>0</v>
      </c>
      <c r="AA149" s="409">
        <v>0</v>
      </c>
      <c r="AB149" s="409">
        <v>0</v>
      </c>
      <c r="AC149" s="409">
        <v>0</v>
      </c>
      <c r="AD149" s="409">
        <v>2498.3720823538683</v>
      </c>
      <c r="AE149" s="409">
        <v>2205.721001824802</v>
      </c>
      <c r="AF149" s="409"/>
      <c r="AG149" s="409"/>
      <c r="AH149" s="409"/>
      <c r="AI149" s="409">
        <v>0</v>
      </c>
      <c r="AJ149" s="409">
        <v>0</v>
      </c>
      <c r="AK149" s="409">
        <v>0</v>
      </c>
      <c r="AL149" s="409">
        <v>0</v>
      </c>
      <c r="AM149" s="409"/>
      <c r="AN149" s="409">
        <v>0</v>
      </c>
      <c r="AO149" s="409">
        <v>0</v>
      </c>
      <c r="AP149" s="409">
        <v>0</v>
      </c>
      <c r="AQ149" s="409">
        <v>0</v>
      </c>
      <c r="AR149" s="409">
        <v>0</v>
      </c>
      <c r="AS149" s="409"/>
      <c r="AT149" s="409"/>
      <c r="AU149" s="409">
        <v>0</v>
      </c>
      <c r="AV149" s="409">
        <v>0</v>
      </c>
      <c r="AW149" s="409">
        <v>0</v>
      </c>
      <c r="AX149" s="409"/>
      <c r="AY149" s="409"/>
      <c r="AZ149" s="409">
        <v>0</v>
      </c>
      <c r="BA149" s="409"/>
      <c r="BB149" s="409">
        <v>0</v>
      </c>
      <c r="BC149" s="409">
        <v>0</v>
      </c>
      <c r="BD149" s="409">
        <v>0</v>
      </c>
      <c r="BE149" s="409">
        <v>0</v>
      </c>
      <c r="BF149" s="409"/>
      <c r="BG149" s="409">
        <v>0</v>
      </c>
      <c r="BH149" s="409">
        <v>0</v>
      </c>
      <c r="BI149" s="409">
        <v>0</v>
      </c>
      <c r="BJ149" s="409">
        <v>0</v>
      </c>
      <c r="BK149" s="409">
        <v>10201.43</v>
      </c>
      <c r="BL149" s="409">
        <v>1</v>
      </c>
      <c r="BM149" s="409"/>
      <c r="BN149" s="409"/>
      <c r="BO149" s="409"/>
      <c r="BP149" s="409"/>
      <c r="BQ149" s="409">
        <v>266.78400000000022</v>
      </c>
      <c r="BR149" s="409"/>
      <c r="BS149" s="409"/>
      <c r="BT149" s="409"/>
      <c r="BU149" s="409"/>
      <c r="BV149" s="409">
        <v>0</v>
      </c>
      <c r="BW149" s="409"/>
      <c r="BX149" s="409"/>
      <c r="BY149" s="409"/>
      <c r="BZ149" s="409"/>
      <c r="CA149" s="409"/>
      <c r="CB149" s="409"/>
      <c r="CC149" s="409"/>
      <c r="CD149" s="409"/>
      <c r="CE149" s="409"/>
      <c r="CF149" s="409"/>
      <c r="CG149" s="409"/>
      <c r="CH149" s="409"/>
      <c r="CI149" s="409">
        <v>4179.616</v>
      </c>
      <c r="CJ149" s="409">
        <v>-242.17400000000089</v>
      </c>
      <c r="CK149" s="409"/>
      <c r="CL149" s="409"/>
      <c r="CM149" s="409"/>
      <c r="CN149" s="409"/>
      <c r="CO149" s="409">
        <v>-257.59999999999997</v>
      </c>
      <c r="CP149" s="409">
        <v>0</v>
      </c>
      <c r="CQ149" s="409">
        <v>30</v>
      </c>
      <c r="CR149" s="409">
        <v>92.429688544023975</v>
      </c>
      <c r="CS149" s="409">
        <v>0</v>
      </c>
      <c r="CT149" s="409">
        <v>0</v>
      </c>
      <c r="CU149" s="409">
        <v>0</v>
      </c>
      <c r="CV149" s="409">
        <v>0</v>
      </c>
      <c r="CW149" s="409"/>
      <c r="CX149" s="409"/>
      <c r="CY149" s="409"/>
      <c r="CZ149" s="409">
        <v>85.640302779317608</v>
      </c>
      <c r="DA149" s="409">
        <v>0</v>
      </c>
      <c r="DB149" s="409">
        <v>0</v>
      </c>
      <c r="DC149" s="409"/>
      <c r="DD149" s="409"/>
      <c r="DE149" s="409">
        <v>0</v>
      </c>
      <c r="DF149" s="409">
        <v>0</v>
      </c>
      <c r="DG149" s="409">
        <v>0</v>
      </c>
      <c r="DH149" s="409">
        <v>0</v>
      </c>
      <c r="DI149" s="409">
        <v>0</v>
      </c>
      <c r="DJ149" s="409"/>
      <c r="DK149" s="409">
        <v>0</v>
      </c>
      <c r="DL149" s="409">
        <v>0</v>
      </c>
      <c r="DM149" s="409"/>
      <c r="DN149" s="409">
        <v>0</v>
      </c>
      <c r="DO149" s="409">
        <v>0</v>
      </c>
      <c r="DP149" s="409">
        <v>0</v>
      </c>
      <c r="DQ149" s="409">
        <v>0</v>
      </c>
      <c r="DR149" s="409">
        <v>6.7893857647062585</v>
      </c>
      <c r="DS149" s="409"/>
      <c r="DT149" s="409"/>
      <c r="DU149" s="409">
        <v>2205.721001824802</v>
      </c>
      <c r="DV149" s="409"/>
      <c r="DW149" s="409">
        <v>0</v>
      </c>
      <c r="DX149" s="409">
        <v>0</v>
      </c>
      <c r="DY149" s="409">
        <v>-257.59999999999945</v>
      </c>
      <c r="DZ149" s="409"/>
      <c r="EA149" s="409">
        <v>0</v>
      </c>
      <c r="EB149" s="409"/>
      <c r="EC149" s="409">
        <v>-350.60593007797002</v>
      </c>
      <c r="ED149" s="409"/>
      <c r="EE149" s="409">
        <v>0</v>
      </c>
      <c r="EF149" s="409">
        <v>0</v>
      </c>
      <c r="EG149" s="409"/>
      <c r="EH149" s="409">
        <v>0</v>
      </c>
      <c r="EI149" s="409">
        <v>0</v>
      </c>
      <c r="EJ149" s="409">
        <v>0</v>
      </c>
      <c r="EK149" s="409">
        <v>0</v>
      </c>
      <c r="EL149" s="409">
        <v>0</v>
      </c>
      <c r="EM149" s="409"/>
      <c r="EN149" s="409"/>
      <c r="EO149" s="409">
        <v>0</v>
      </c>
      <c r="EP149" s="409">
        <v>0</v>
      </c>
      <c r="EQ149" s="409"/>
      <c r="ER149" s="409">
        <v>0</v>
      </c>
      <c r="ES149" s="409"/>
      <c r="ET149" s="409">
        <v>0</v>
      </c>
      <c r="EU149" s="409"/>
      <c r="EV149" s="409">
        <v>210</v>
      </c>
      <c r="EW149" s="409"/>
      <c r="EX149" s="409"/>
      <c r="EY149" s="409"/>
      <c r="EZ149" s="409"/>
      <c r="FA149" s="409">
        <v>0</v>
      </c>
      <c r="FB149" s="409"/>
      <c r="FC149" s="409"/>
      <c r="FD149" s="409"/>
      <c r="FE149" s="409"/>
      <c r="FF149" s="409">
        <v>0</v>
      </c>
      <c r="FG149" s="409">
        <v>0</v>
      </c>
      <c r="FH149" s="409">
        <v>0</v>
      </c>
      <c r="FI149" s="409">
        <v>0</v>
      </c>
    </row>
    <row r="150" spans="1:165">
      <c r="A150" s="409">
        <v>148</v>
      </c>
      <c r="B150" s="409" t="s">
        <v>1035</v>
      </c>
      <c r="C150" s="409" t="s">
        <v>2241</v>
      </c>
      <c r="D150" s="409" t="s">
        <v>2247</v>
      </c>
      <c r="E150" s="409" t="s">
        <v>973</v>
      </c>
      <c r="F150" s="409" t="s">
        <v>2254</v>
      </c>
      <c r="G150" s="409" t="s">
        <v>2255</v>
      </c>
      <c r="H150" s="409" t="s">
        <v>1323</v>
      </c>
      <c r="I150" s="409" t="s">
        <v>1323</v>
      </c>
      <c r="J150" s="409" t="s">
        <v>2242</v>
      </c>
      <c r="K150" s="838">
        <v>44440</v>
      </c>
      <c r="L150" s="409">
        <v>0</v>
      </c>
      <c r="M150" s="409">
        <v>0</v>
      </c>
      <c r="N150" s="409">
        <v>0</v>
      </c>
      <c r="O150" s="409">
        <v>0</v>
      </c>
      <c r="P150" s="409">
        <v>0</v>
      </c>
      <c r="Q150" s="409">
        <v>0</v>
      </c>
      <c r="R150" s="409"/>
      <c r="S150" s="409"/>
      <c r="T150" s="409"/>
      <c r="U150" s="409"/>
      <c r="V150" s="409"/>
      <c r="W150" s="409"/>
      <c r="X150" s="409"/>
      <c r="Y150" s="409"/>
      <c r="Z150" s="409"/>
      <c r="AA150" s="409">
        <v>0</v>
      </c>
      <c r="AB150" s="409"/>
      <c r="AC150" s="409"/>
      <c r="AD150" s="409"/>
      <c r="AE150" s="409"/>
      <c r="AF150" s="409"/>
      <c r="AG150" s="409"/>
      <c r="AH150" s="409"/>
      <c r="AI150" s="409"/>
      <c r="AJ150" s="409"/>
      <c r="AK150" s="409"/>
      <c r="AL150" s="409"/>
      <c r="AM150" s="409"/>
      <c r="AN150" s="409"/>
      <c r="AO150" s="409"/>
      <c r="AP150" s="409"/>
      <c r="AQ150" s="409"/>
      <c r="AR150" s="409"/>
      <c r="AS150" s="409"/>
      <c r="AT150" s="409"/>
      <c r="AU150" s="409"/>
      <c r="AV150" s="409"/>
      <c r="AW150" s="409"/>
      <c r="AX150" s="409"/>
      <c r="AY150" s="409"/>
      <c r="AZ150" s="409">
        <v>0</v>
      </c>
      <c r="BA150" s="409"/>
      <c r="BB150" s="409"/>
      <c r="BC150" s="409"/>
      <c r="BD150" s="409"/>
      <c r="BE150" s="409"/>
      <c r="BF150" s="409"/>
      <c r="BG150" s="409"/>
      <c r="BH150" s="409"/>
      <c r="BI150" s="409">
        <v>111.36</v>
      </c>
      <c r="BJ150" s="409">
        <v>514.29999999999995</v>
      </c>
      <c r="BK150" s="409">
        <v>859.09</v>
      </c>
      <c r="BL150" s="409">
        <v>34</v>
      </c>
      <c r="BM150" s="409"/>
      <c r="BN150" s="409"/>
      <c r="BO150" s="409"/>
      <c r="BP150" s="409"/>
      <c r="BQ150" s="409"/>
      <c r="BR150" s="409"/>
      <c r="BS150" s="409"/>
      <c r="BT150" s="409"/>
      <c r="BU150" s="409"/>
      <c r="BV150" s="409"/>
      <c r="BW150" s="409"/>
      <c r="BX150" s="409"/>
      <c r="BY150" s="409"/>
      <c r="BZ150" s="409"/>
      <c r="CA150" s="409"/>
      <c r="CB150" s="409"/>
      <c r="CC150" s="409"/>
      <c r="CD150" s="409"/>
      <c r="CE150" s="409"/>
      <c r="CF150" s="409"/>
      <c r="CG150" s="409"/>
      <c r="CH150" s="409"/>
      <c r="CI150" s="409"/>
      <c r="CJ150" s="409">
        <v>-0.03</v>
      </c>
      <c r="CK150" s="409"/>
      <c r="CL150" s="409"/>
      <c r="CM150" s="409"/>
      <c r="CN150" s="409"/>
      <c r="CO150" s="409">
        <v>0</v>
      </c>
      <c r="CP150" s="409">
        <v>0</v>
      </c>
      <c r="CQ150" s="409">
        <v>30</v>
      </c>
      <c r="CR150" s="409"/>
      <c r="CS150" s="409"/>
      <c r="CT150" s="409"/>
      <c r="CU150" s="409"/>
      <c r="CV150" s="409"/>
      <c r="CW150" s="409"/>
      <c r="CX150" s="409"/>
      <c r="CY150" s="409"/>
      <c r="CZ150" s="409"/>
      <c r="DA150" s="409"/>
      <c r="DB150" s="409"/>
      <c r="DC150" s="409"/>
      <c r="DD150" s="409"/>
      <c r="DE150" s="409"/>
      <c r="DF150" s="409"/>
      <c r="DG150" s="409"/>
      <c r="DH150" s="409"/>
      <c r="DI150" s="409"/>
      <c r="DJ150" s="409"/>
      <c r="DK150" s="409">
        <v>0</v>
      </c>
      <c r="DL150" s="409"/>
      <c r="DM150" s="409"/>
      <c r="DN150" s="409"/>
      <c r="DO150" s="409"/>
      <c r="DP150" s="409"/>
      <c r="DQ150" s="409"/>
      <c r="DR150" s="409"/>
      <c r="DS150" s="409"/>
      <c r="DT150" s="409"/>
      <c r="DU150" s="409"/>
      <c r="DV150" s="409"/>
      <c r="DW150" s="409"/>
      <c r="DX150" s="409"/>
      <c r="DY150" s="409"/>
      <c r="DZ150" s="409"/>
      <c r="EA150" s="409"/>
      <c r="EB150" s="409"/>
      <c r="EC150" s="409"/>
      <c r="ED150" s="409"/>
      <c r="EE150" s="409"/>
      <c r="EF150" s="409"/>
      <c r="EG150" s="409"/>
      <c r="EH150" s="409"/>
      <c r="EI150" s="409"/>
      <c r="EJ150" s="409"/>
      <c r="EK150" s="409"/>
      <c r="EL150" s="409"/>
      <c r="EM150" s="409"/>
      <c r="EN150" s="409"/>
      <c r="EO150" s="409"/>
      <c r="EP150" s="409"/>
      <c r="EQ150" s="409"/>
      <c r="ER150" s="409"/>
      <c r="ES150" s="409"/>
      <c r="ET150" s="409"/>
      <c r="EU150" s="409"/>
      <c r="EV150" s="409">
        <v>210</v>
      </c>
      <c r="EW150" s="409"/>
      <c r="EX150" s="409"/>
      <c r="EY150" s="409"/>
      <c r="EZ150" s="409"/>
      <c r="FA150" s="409">
        <v>0</v>
      </c>
      <c r="FB150" s="409"/>
      <c r="FC150" s="409"/>
      <c r="FD150" s="409"/>
      <c r="FE150" s="409"/>
      <c r="FF150" s="409">
        <v>0</v>
      </c>
      <c r="FG150" s="409">
        <v>0</v>
      </c>
      <c r="FH150" s="409">
        <v>0</v>
      </c>
      <c r="FI150" s="409">
        <v>0</v>
      </c>
    </row>
    <row r="151" spans="1:165">
      <c r="A151" s="409">
        <v>149</v>
      </c>
      <c r="B151" s="409" t="s">
        <v>1035</v>
      </c>
      <c r="C151" s="409" t="s">
        <v>2241</v>
      </c>
      <c r="D151" s="409" t="s">
        <v>2247</v>
      </c>
      <c r="E151" s="409" t="s">
        <v>973</v>
      </c>
      <c r="F151" s="409" t="s">
        <v>2254</v>
      </c>
      <c r="G151" s="409" t="s">
        <v>2255</v>
      </c>
      <c r="H151" s="409" t="s">
        <v>1323</v>
      </c>
      <c r="I151" s="409" t="s">
        <v>1323</v>
      </c>
      <c r="J151" s="409" t="s">
        <v>2242</v>
      </c>
      <c r="K151" s="838">
        <v>44440</v>
      </c>
      <c r="L151" s="409">
        <v>0</v>
      </c>
      <c r="M151" s="409">
        <v>0</v>
      </c>
      <c r="N151" s="409">
        <v>23.945</v>
      </c>
      <c r="O151" s="409">
        <v>23.945</v>
      </c>
      <c r="P151" s="409">
        <v>23.945</v>
      </c>
      <c r="Q151" s="409">
        <v>23.945</v>
      </c>
      <c r="R151" s="409"/>
      <c r="S151" s="409">
        <v>358.62</v>
      </c>
      <c r="T151" s="409">
        <v>273.74</v>
      </c>
      <c r="U151" s="409"/>
      <c r="V151" s="409">
        <v>15141.860199999999</v>
      </c>
      <c r="W151" s="409">
        <v>15141.860199999999</v>
      </c>
      <c r="X151" s="409">
        <v>14681.637299999999</v>
      </c>
      <c r="Y151" s="409">
        <v>0</v>
      </c>
      <c r="Z151" s="409">
        <v>1445.6652998700397</v>
      </c>
      <c r="AA151" s="409">
        <v>0</v>
      </c>
      <c r="AB151" s="409">
        <v>0</v>
      </c>
      <c r="AC151" s="409">
        <v>0</v>
      </c>
      <c r="AD151" s="409">
        <v>2061.3895562928069</v>
      </c>
      <c r="AE151" s="409">
        <v>4743.0062534851513</v>
      </c>
      <c r="AF151" s="409">
        <v>6554.6865732709912</v>
      </c>
      <c r="AG151" s="409">
        <v>0</v>
      </c>
      <c r="AH151" s="409">
        <v>0</v>
      </c>
      <c r="AI151" s="409">
        <v>0</v>
      </c>
      <c r="AJ151" s="409">
        <v>0</v>
      </c>
      <c r="AK151" s="409">
        <v>0</v>
      </c>
      <c r="AL151" s="409">
        <v>223.56366200738313</v>
      </c>
      <c r="AM151" s="409"/>
      <c r="AN151" s="409">
        <v>25.503612882442962</v>
      </c>
      <c r="AO151" s="409">
        <v>0</v>
      </c>
      <c r="AP151" s="409">
        <v>0</v>
      </c>
      <c r="AQ151" s="409">
        <v>0</v>
      </c>
      <c r="AR151" s="409">
        <v>0</v>
      </c>
      <c r="AS151" s="409">
        <v>0</v>
      </c>
      <c r="AT151" s="409">
        <v>0</v>
      </c>
      <c r="AU151" s="409">
        <v>0</v>
      </c>
      <c r="AV151" s="409">
        <v>0</v>
      </c>
      <c r="AW151" s="409">
        <v>0</v>
      </c>
      <c r="AX151" s="409">
        <v>0</v>
      </c>
      <c r="AY151" s="409">
        <v>0</v>
      </c>
      <c r="AZ151" s="409">
        <v>0</v>
      </c>
      <c r="BA151" s="409"/>
      <c r="BB151" s="409">
        <v>0</v>
      </c>
      <c r="BC151" s="409">
        <v>0</v>
      </c>
      <c r="BD151" s="409">
        <v>0</v>
      </c>
      <c r="BE151" s="409">
        <v>0</v>
      </c>
      <c r="BF151" s="409">
        <v>0</v>
      </c>
      <c r="BG151" s="409">
        <v>88.079916271635909</v>
      </c>
      <c r="BH151" s="409">
        <v>0</v>
      </c>
      <c r="BI151" s="409">
        <v>0</v>
      </c>
      <c r="BJ151" s="409">
        <v>0</v>
      </c>
      <c r="BK151" s="409">
        <v>0</v>
      </c>
      <c r="BL151" s="409">
        <v>0</v>
      </c>
      <c r="BM151" s="409"/>
      <c r="BN151" s="409"/>
      <c r="BO151" s="409"/>
      <c r="BP151" s="409"/>
      <c r="BQ151" s="409"/>
      <c r="BR151" s="409">
        <v>2055.4387999999999</v>
      </c>
      <c r="BS151" s="409"/>
      <c r="BT151" s="409"/>
      <c r="BU151" s="409"/>
      <c r="BV151" s="409">
        <v>6642.7664895426269</v>
      </c>
      <c r="BW151" s="409"/>
      <c r="BX151" s="409"/>
      <c r="BY151" s="409"/>
      <c r="BZ151" s="409"/>
      <c r="CA151" s="409"/>
      <c r="CB151" s="409"/>
      <c r="CC151" s="409"/>
      <c r="CD151" s="409"/>
      <c r="CE151" s="409"/>
      <c r="CF151" s="409"/>
      <c r="CG151" s="409"/>
      <c r="CH151" s="409"/>
      <c r="CI151" s="409">
        <v>12628.834999999999</v>
      </c>
      <c r="CJ151" s="409">
        <v>-393.44380000000274</v>
      </c>
      <c r="CK151" s="409"/>
      <c r="CL151" s="409"/>
      <c r="CM151" s="409"/>
      <c r="CN151" s="409"/>
      <c r="CO151" s="409">
        <v>-771.50790000000063</v>
      </c>
      <c r="CP151" s="409">
        <v>311.28500000000003</v>
      </c>
      <c r="CQ151" s="409">
        <v>30</v>
      </c>
      <c r="CR151" s="409">
        <v>293.61072218799018</v>
      </c>
      <c r="CS151" s="409">
        <v>0</v>
      </c>
      <c r="CT151" s="409">
        <v>0</v>
      </c>
      <c r="CU151" s="409">
        <v>0</v>
      </c>
      <c r="CV151" s="409">
        <v>0</v>
      </c>
      <c r="CW151" s="409">
        <v>0</v>
      </c>
      <c r="CX151" s="409">
        <v>0</v>
      </c>
      <c r="CY151" s="409">
        <v>0</v>
      </c>
      <c r="CZ151" s="409">
        <v>70.661222559267117</v>
      </c>
      <c r="DA151" s="409">
        <v>0</v>
      </c>
      <c r="DB151" s="409">
        <v>0</v>
      </c>
      <c r="DC151" s="409">
        <v>353.09913345712812</v>
      </c>
      <c r="DD151" s="409">
        <v>0</v>
      </c>
      <c r="DE151" s="409">
        <v>0</v>
      </c>
      <c r="DF151" s="409">
        <v>0</v>
      </c>
      <c r="DG151" s="409">
        <v>4.7448404683935621</v>
      </c>
      <c r="DH151" s="409">
        <v>0</v>
      </c>
      <c r="DI151" s="409">
        <v>-92.148549613124942</v>
      </c>
      <c r="DJ151" s="409"/>
      <c r="DK151" s="409">
        <v>0</v>
      </c>
      <c r="DL151" s="409">
        <v>0</v>
      </c>
      <c r="DM151" s="409">
        <v>0</v>
      </c>
      <c r="DN151" s="409">
        <v>0</v>
      </c>
      <c r="DO151" s="409">
        <v>-11.721844688896795</v>
      </c>
      <c r="DP151" s="409">
        <v>-1.6827135976394416</v>
      </c>
      <c r="DQ151" s="409">
        <v>0</v>
      </c>
      <c r="DR151" s="409">
        <v>-29.341366397137044</v>
      </c>
      <c r="DS151" s="409"/>
      <c r="DT151" s="409"/>
      <c r="DU151" s="409"/>
      <c r="DV151" s="409">
        <v>4743.0062534851513</v>
      </c>
      <c r="DW151" s="409">
        <v>0</v>
      </c>
      <c r="DX151" s="409">
        <v>0</v>
      </c>
      <c r="DY151" s="409">
        <v>-771.50790000000052</v>
      </c>
      <c r="DZ151" s="409">
        <v>311.28499999999985</v>
      </c>
      <c r="EA151" s="409">
        <v>0</v>
      </c>
      <c r="EB151" s="409">
        <v>0</v>
      </c>
      <c r="EC151" s="409">
        <v>-753.91498629838907</v>
      </c>
      <c r="ED151" s="409">
        <v>0</v>
      </c>
      <c r="EE151" s="409">
        <v>0</v>
      </c>
      <c r="EF151" s="409">
        <v>0</v>
      </c>
      <c r="EG151" s="409">
        <v>0</v>
      </c>
      <c r="EH151" s="409">
        <v>0</v>
      </c>
      <c r="EI151" s="409">
        <v>0</v>
      </c>
      <c r="EJ151" s="409">
        <v>0</v>
      </c>
      <c r="EK151" s="409">
        <v>0</v>
      </c>
      <c r="EL151" s="409">
        <v>0</v>
      </c>
      <c r="EM151" s="409">
        <v>0</v>
      </c>
      <c r="EN151" s="409">
        <v>0</v>
      </c>
      <c r="EO151" s="409">
        <v>0</v>
      </c>
      <c r="EP151" s="409">
        <v>0</v>
      </c>
      <c r="EQ151" s="409">
        <v>0</v>
      </c>
      <c r="ER151" s="409">
        <v>0</v>
      </c>
      <c r="ES151" s="409">
        <v>0</v>
      </c>
      <c r="ET151" s="409">
        <v>0</v>
      </c>
      <c r="EU151" s="409">
        <v>0</v>
      </c>
      <c r="EV151" s="409">
        <v>210</v>
      </c>
      <c r="EW151" s="409">
        <v>0</v>
      </c>
      <c r="EX151" s="409">
        <v>0</v>
      </c>
      <c r="EY151" s="409">
        <v>0</v>
      </c>
      <c r="EZ151" s="409"/>
      <c r="FA151" s="409">
        <v>0</v>
      </c>
      <c r="FB151" s="409"/>
      <c r="FC151" s="409"/>
      <c r="FD151" s="409"/>
      <c r="FE151" s="409"/>
      <c r="FF151" s="409">
        <v>0</v>
      </c>
      <c r="FG151" s="409">
        <v>0</v>
      </c>
      <c r="FH151" s="409">
        <v>0</v>
      </c>
      <c r="FI151" s="409">
        <v>0</v>
      </c>
    </row>
    <row r="152" spans="1:165">
      <c r="A152" s="409">
        <v>150</v>
      </c>
      <c r="B152" s="409" t="s">
        <v>1035</v>
      </c>
      <c r="C152" s="409" t="s">
        <v>2241</v>
      </c>
      <c r="D152" s="409" t="s">
        <v>2247</v>
      </c>
      <c r="E152" s="409" t="s">
        <v>973</v>
      </c>
      <c r="F152" s="409" t="s">
        <v>2254</v>
      </c>
      <c r="G152" s="409" t="s">
        <v>2256</v>
      </c>
      <c r="H152" s="409" t="s">
        <v>1323</v>
      </c>
      <c r="I152" s="409" t="s">
        <v>1323</v>
      </c>
      <c r="J152" s="409" t="s">
        <v>2242</v>
      </c>
      <c r="K152" s="838">
        <v>44440</v>
      </c>
      <c r="L152" s="409">
        <v>0</v>
      </c>
      <c r="M152" s="409">
        <v>0</v>
      </c>
      <c r="N152" s="409">
        <v>40.808999999999997</v>
      </c>
      <c r="O152" s="409">
        <v>16.323599999999999</v>
      </c>
      <c r="P152" s="409">
        <v>40.808999999999997</v>
      </c>
      <c r="Q152" s="409">
        <v>16.323599999999999</v>
      </c>
      <c r="R152" s="409"/>
      <c r="S152" s="409">
        <v>358.62</v>
      </c>
      <c r="T152" s="409">
        <v>273.74</v>
      </c>
      <c r="U152" s="409"/>
      <c r="V152" s="409">
        <v>25805.979240000001</v>
      </c>
      <c r="W152" s="409">
        <v>25805.979240000001</v>
      </c>
      <c r="X152" s="409">
        <v>25021.630259999998</v>
      </c>
      <c r="Y152" s="409">
        <v>0</v>
      </c>
      <c r="Z152" s="409">
        <v>2463.8193870284586</v>
      </c>
      <c r="AA152" s="409">
        <v>0</v>
      </c>
      <c r="AB152" s="409">
        <v>0</v>
      </c>
      <c r="AC152" s="409">
        <v>0</v>
      </c>
      <c r="AD152" s="409">
        <v>3513.1863187618774</v>
      </c>
      <c r="AE152" s="409">
        <v>8083.4137481092303</v>
      </c>
      <c r="AF152" s="409">
        <v>11171.025448678884</v>
      </c>
      <c r="AG152" s="409">
        <v>0</v>
      </c>
      <c r="AH152" s="409">
        <v>0</v>
      </c>
      <c r="AI152" s="409">
        <v>0</v>
      </c>
      <c r="AJ152" s="409">
        <v>0</v>
      </c>
      <c r="AK152" s="409">
        <v>0</v>
      </c>
      <c r="AL152" s="409">
        <v>381.01522166879505</v>
      </c>
      <c r="AM152" s="409"/>
      <c r="AN152" s="409">
        <v>43.465313765697005</v>
      </c>
      <c r="AO152" s="409">
        <v>0</v>
      </c>
      <c r="AP152" s="409">
        <v>0</v>
      </c>
      <c r="AQ152" s="409">
        <v>0</v>
      </c>
      <c r="AR152" s="409">
        <v>0</v>
      </c>
      <c r="AS152" s="409">
        <v>0</v>
      </c>
      <c r="AT152" s="409">
        <v>0</v>
      </c>
      <c r="AU152" s="409">
        <v>0</v>
      </c>
      <c r="AV152" s="409">
        <v>0</v>
      </c>
      <c r="AW152" s="409">
        <v>0</v>
      </c>
      <c r="AX152" s="409">
        <v>0</v>
      </c>
      <c r="AY152" s="409">
        <v>0</v>
      </c>
      <c r="AZ152" s="409">
        <v>0</v>
      </c>
      <c r="BA152" s="409"/>
      <c r="BB152" s="409">
        <v>0</v>
      </c>
      <c r="BC152" s="409">
        <v>0</v>
      </c>
      <c r="BD152" s="409">
        <v>0</v>
      </c>
      <c r="BE152" s="409">
        <v>0</v>
      </c>
      <c r="BF152" s="409">
        <v>0</v>
      </c>
      <c r="BG152" s="409">
        <v>150.11289635118769</v>
      </c>
      <c r="BH152" s="409">
        <v>0</v>
      </c>
      <c r="BI152" s="409">
        <v>0</v>
      </c>
      <c r="BJ152" s="409">
        <v>0</v>
      </c>
      <c r="BK152" s="409">
        <v>0</v>
      </c>
      <c r="BL152" s="409">
        <v>0</v>
      </c>
      <c r="BM152" s="409"/>
      <c r="BN152" s="409"/>
      <c r="BO152" s="409"/>
      <c r="BP152" s="409"/>
      <c r="BQ152" s="409"/>
      <c r="BR152" s="409"/>
      <c r="BS152" s="409">
        <v>16414.195979999997</v>
      </c>
      <c r="BT152" s="409"/>
      <c r="BU152" s="409"/>
      <c r="BV152" s="409">
        <v>11321.138345030071</v>
      </c>
      <c r="BW152" s="409"/>
      <c r="BX152" s="409"/>
      <c r="BY152" s="409"/>
      <c r="BZ152" s="409"/>
      <c r="CA152" s="409"/>
      <c r="CB152" s="409"/>
      <c r="CC152" s="409"/>
      <c r="CD152" s="409"/>
      <c r="CE152" s="409"/>
      <c r="CF152" s="409"/>
      <c r="CG152" s="409"/>
      <c r="CH152" s="409"/>
      <c r="CI152" s="409">
        <v>8605.5360000000001</v>
      </c>
      <c r="CJ152" s="409">
        <v>-271.92062400000032</v>
      </c>
      <c r="CK152" s="409"/>
      <c r="CL152" s="409"/>
      <c r="CM152" s="409"/>
      <c r="CN152" s="409"/>
      <c r="CO152" s="409">
        <v>-1314.8659800000009</v>
      </c>
      <c r="CP152" s="409">
        <v>530.51699999999994</v>
      </c>
      <c r="CQ152" s="409">
        <v>30</v>
      </c>
      <c r="CR152" s="409">
        <v>500.39507044350466</v>
      </c>
      <c r="CS152" s="409">
        <v>0</v>
      </c>
      <c r="CT152" s="409">
        <v>0</v>
      </c>
      <c r="CU152" s="409">
        <v>0</v>
      </c>
      <c r="CV152" s="409">
        <v>0</v>
      </c>
      <c r="CW152" s="409">
        <v>0</v>
      </c>
      <c r="CX152" s="409">
        <v>0</v>
      </c>
      <c r="CY152" s="409">
        <v>0</v>
      </c>
      <c r="CZ152" s="409">
        <v>120.42655382840348</v>
      </c>
      <c r="DA152" s="409">
        <v>0</v>
      </c>
      <c r="DB152" s="409">
        <v>0</v>
      </c>
      <c r="DC152" s="409">
        <v>601.78001826067884</v>
      </c>
      <c r="DD152" s="409">
        <v>0</v>
      </c>
      <c r="DE152" s="409">
        <v>0</v>
      </c>
      <c r="DF152" s="409">
        <v>0</v>
      </c>
      <c r="DG152" s="409">
        <v>8.0865397650730131</v>
      </c>
      <c r="DH152" s="409">
        <v>0</v>
      </c>
      <c r="DI152" s="409">
        <v>-157.0469893991235</v>
      </c>
      <c r="DJ152" s="409"/>
      <c r="DK152" s="409">
        <v>0</v>
      </c>
      <c r="DL152" s="409">
        <v>0</v>
      </c>
      <c r="DM152" s="409">
        <v>0</v>
      </c>
      <c r="DN152" s="409">
        <v>0</v>
      </c>
      <c r="DO152" s="409">
        <v>-19.977313005186431</v>
      </c>
      <c r="DP152" s="409">
        <v>-2.8678162124062609</v>
      </c>
      <c r="DQ152" s="409">
        <v>0</v>
      </c>
      <c r="DR152" s="409">
        <v>-50.005922793934666</v>
      </c>
      <c r="DS152" s="409"/>
      <c r="DT152" s="409"/>
      <c r="DU152" s="409"/>
      <c r="DV152" s="409">
        <v>8083.4137481092303</v>
      </c>
      <c r="DW152" s="409">
        <v>0</v>
      </c>
      <c r="DX152" s="409">
        <v>0</v>
      </c>
      <c r="DY152" s="409">
        <v>-1314.8659800000005</v>
      </c>
      <c r="DZ152" s="409">
        <v>530.51699999999983</v>
      </c>
      <c r="EA152" s="409">
        <v>0</v>
      </c>
      <c r="EB152" s="409">
        <v>0</v>
      </c>
      <c r="EC152" s="409">
        <v>-1284.8827177219018</v>
      </c>
      <c r="ED152" s="409">
        <v>0</v>
      </c>
      <c r="EE152" s="409">
        <v>0</v>
      </c>
      <c r="EF152" s="409">
        <v>0</v>
      </c>
      <c r="EG152" s="409">
        <v>0</v>
      </c>
      <c r="EH152" s="409">
        <v>0</v>
      </c>
      <c r="EI152" s="409">
        <v>0</v>
      </c>
      <c r="EJ152" s="409">
        <v>0</v>
      </c>
      <c r="EK152" s="409">
        <v>0</v>
      </c>
      <c r="EL152" s="409">
        <v>0</v>
      </c>
      <c r="EM152" s="409">
        <v>0</v>
      </c>
      <c r="EN152" s="409">
        <v>0</v>
      </c>
      <c r="EO152" s="409">
        <v>0</v>
      </c>
      <c r="EP152" s="409">
        <v>0</v>
      </c>
      <c r="EQ152" s="409">
        <v>0</v>
      </c>
      <c r="ER152" s="409">
        <v>0</v>
      </c>
      <c r="ES152" s="409">
        <v>0</v>
      </c>
      <c r="ET152" s="409">
        <v>0</v>
      </c>
      <c r="EU152" s="409">
        <v>0</v>
      </c>
      <c r="EV152" s="409">
        <v>210</v>
      </c>
      <c r="EW152" s="409">
        <v>0</v>
      </c>
      <c r="EX152" s="409">
        <v>0</v>
      </c>
      <c r="EY152" s="409">
        <v>0</v>
      </c>
      <c r="EZ152" s="409"/>
      <c r="FA152" s="409">
        <v>0</v>
      </c>
      <c r="FB152" s="409"/>
      <c r="FC152" s="409"/>
      <c r="FD152" s="409"/>
      <c r="FE152" s="409"/>
      <c r="FF152" s="409">
        <v>0</v>
      </c>
      <c r="FG152" s="409">
        <v>0</v>
      </c>
      <c r="FH152" s="409">
        <v>0</v>
      </c>
      <c r="FI152" s="409">
        <v>0</v>
      </c>
    </row>
    <row r="153" spans="1:165">
      <c r="A153" s="409">
        <v>151</v>
      </c>
      <c r="B153" s="409" t="s">
        <v>1035</v>
      </c>
      <c r="C153" s="409" t="s">
        <v>2241</v>
      </c>
      <c r="D153" s="409" t="s">
        <v>1989</v>
      </c>
      <c r="E153" s="409" t="s">
        <v>968</v>
      </c>
      <c r="F153" s="409" t="s">
        <v>968</v>
      </c>
      <c r="G153" s="409" t="s">
        <v>1323</v>
      </c>
      <c r="H153" s="409" t="s">
        <v>1323</v>
      </c>
      <c r="I153" s="409" t="s">
        <v>1323</v>
      </c>
      <c r="J153" s="409" t="s">
        <v>2242</v>
      </c>
      <c r="K153" s="838">
        <v>44470</v>
      </c>
      <c r="L153" s="409">
        <v>0</v>
      </c>
      <c r="M153" s="409">
        <v>0</v>
      </c>
      <c r="N153" s="409">
        <v>98.188999999999993</v>
      </c>
      <c r="O153" s="409">
        <v>98.188999999999993</v>
      </c>
      <c r="P153" s="409">
        <v>98.188999999999993</v>
      </c>
      <c r="Q153" s="409">
        <v>98.188999999999993</v>
      </c>
      <c r="R153" s="409"/>
      <c r="S153" s="409">
        <v>358.62</v>
      </c>
      <c r="T153" s="409">
        <v>273.74</v>
      </c>
      <c r="U153" s="409"/>
      <c r="V153" s="409">
        <v>62090.796040000001</v>
      </c>
      <c r="W153" s="409">
        <v>62090.796040000001</v>
      </c>
      <c r="X153" s="409">
        <v>60203.603459999998</v>
      </c>
      <c r="Y153" s="409">
        <v>0</v>
      </c>
      <c r="Z153" s="409">
        <v>5928.1031584439052</v>
      </c>
      <c r="AA153" s="409">
        <v>0</v>
      </c>
      <c r="AB153" s="409">
        <v>0</v>
      </c>
      <c r="AC153" s="409">
        <v>0</v>
      </c>
      <c r="AD153" s="409">
        <v>8452.9454643071367</v>
      </c>
      <c r="AE153" s="409">
        <v>19449.19778757375</v>
      </c>
      <c r="AF153" s="409">
        <v>26878.184169676562</v>
      </c>
      <c r="AG153" s="409">
        <v>0</v>
      </c>
      <c r="AH153" s="409">
        <v>0</v>
      </c>
      <c r="AI153" s="409">
        <v>0</v>
      </c>
      <c r="AJ153" s="409">
        <v>0</v>
      </c>
      <c r="AK153" s="409">
        <v>0</v>
      </c>
      <c r="AL153" s="409">
        <v>916.74639418847107</v>
      </c>
      <c r="AM153" s="409"/>
      <c r="AN153" s="409">
        <v>104.58025664289796</v>
      </c>
      <c r="AO153" s="409">
        <v>0</v>
      </c>
      <c r="AP153" s="409">
        <v>0</v>
      </c>
      <c r="AQ153" s="409">
        <v>0</v>
      </c>
      <c r="AR153" s="409">
        <v>0</v>
      </c>
      <c r="AS153" s="409">
        <v>0</v>
      </c>
      <c r="AT153" s="409">
        <v>0</v>
      </c>
      <c r="AU153" s="409">
        <v>0</v>
      </c>
      <c r="AV153" s="409">
        <v>0</v>
      </c>
      <c r="AW153" s="409">
        <v>0</v>
      </c>
      <c r="AX153" s="409">
        <v>0</v>
      </c>
      <c r="AY153" s="409">
        <v>0</v>
      </c>
      <c r="AZ153" s="409">
        <v>0</v>
      </c>
      <c r="BA153" s="409"/>
      <c r="BB153" s="409">
        <v>0</v>
      </c>
      <c r="BC153" s="409">
        <v>0</v>
      </c>
      <c r="BD153" s="409">
        <v>0</v>
      </c>
      <c r="BE153" s="409">
        <v>0</v>
      </c>
      <c r="BF153" s="409">
        <v>0</v>
      </c>
      <c r="BG153" s="409">
        <v>361.18099389415983</v>
      </c>
      <c r="BH153" s="409">
        <v>0</v>
      </c>
      <c r="BI153" s="409">
        <v>584.5</v>
      </c>
      <c r="BJ153" s="409">
        <v>2713.04</v>
      </c>
      <c r="BK153" s="409">
        <v>15368.23</v>
      </c>
      <c r="BL153" s="409">
        <v>731</v>
      </c>
      <c r="BM153" s="409"/>
      <c r="BN153" s="409"/>
      <c r="BO153" s="409"/>
      <c r="BP153" s="409"/>
      <c r="BQ153" s="409"/>
      <c r="BR153" s="409"/>
      <c r="BS153" s="409"/>
      <c r="BT153" s="409"/>
      <c r="BU153" s="409"/>
      <c r="BV153" s="409">
        <v>27239.365163570721</v>
      </c>
      <c r="BW153" s="409"/>
      <c r="BX153" s="409"/>
      <c r="BY153" s="409"/>
      <c r="BZ153" s="409"/>
      <c r="CA153" s="409"/>
      <c r="CB153" s="409"/>
      <c r="CC153" s="409"/>
      <c r="CD153" s="409"/>
      <c r="CE153" s="409"/>
      <c r="CF153" s="409"/>
      <c r="CG153" s="409"/>
      <c r="CH153" s="409"/>
      <c r="CI153" s="409">
        <v>60204.2166</v>
      </c>
      <c r="CJ153" s="409">
        <v>-1886.6094400000075</v>
      </c>
      <c r="CK153" s="409"/>
      <c r="CL153" s="409"/>
      <c r="CM153" s="409"/>
      <c r="CN153" s="409"/>
      <c r="CO153" s="409">
        <v>-3163.6495800000025</v>
      </c>
      <c r="CP153" s="409">
        <v>1276.4569999999999</v>
      </c>
      <c r="CQ153" s="409">
        <v>31</v>
      </c>
      <c r="CR153" s="409">
        <v>1203.9817582341566</v>
      </c>
      <c r="CS153" s="409">
        <v>0</v>
      </c>
      <c r="CT153" s="409">
        <v>0</v>
      </c>
      <c r="CU153" s="409">
        <v>0</v>
      </c>
      <c r="CV153" s="409">
        <v>0</v>
      </c>
      <c r="CW153" s="409">
        <v>0</v>
      </c>
      <c r="CX153" s="409">
        <v>0</v>
      </c>
      <c r="CY153" s="409">
        <v>0</v>
      </c>
      <c r="CZ153" s="409">
        <v>289.75380170690732</v>
      </c>
      <c r="DA153" s="409">
        <v>0</v>
      </c>
      <c r="DB153" s="409">
        <v>0</v>
      </c>
      <c r="DC153" s="409">
        <v>1447.9202679065347</v>
      </c>
      <c r="DD153" s="409">
        <v>0</v>
      </c>
      <c r="DE153" s="409">
        <v>0</v>
      </c>
      <c r="DF153" s="409">
        <v>0</v>
      </c>
      <c r="DG153" s="409">
        <v>19.456719179415188</v>
      </c>
      <c r="DH153" s="409">
        <v>0</v>
      </c>
      <c r="DI153" s="409">
        <v>-377.86485437306874</v>
      </c>
      <c r="DJ153" s="409"/>
      <c r="DK153" s="409">
        <v>0</v>
      </c>
      <c r="DL153" s="409">
        <v>0</v>
      </c>
      <c r="DM153" s="409">
        <v>0</v>
      </c>
      <c r="DN153" s="409">
        <v>0</v>
      </c>
      <c r="DO153" s="409">
        <v>-48.066661439051359</v>
      </c>
      <c r="DP153" s="409">
        <v>-6.9001447249371068</v>
      </c>
      <c r="DQ153" s="409">
        <v>0</v>
      </c>
      <c r="DR153" s="409">
        <v>-120.31737002165332</v>
      </c>
      <c r="DS153" s="409"/>
      <c r="DT153" s="409"/>
      <c r="DU153" s="409"/>
      <c r="DV153" s="409">
        <v>19449.19778757375</v>
      </c>
      <c r="DW153" s="409">
        <v>0</v>
      </c>
      <c r="DX153" s="409">
        <v>0</v>
      </c>
      <c r="DY153" s="409">
        <v>-3163.6495800000048</v>
      </c>
      <c r="DZ153" s="409">
        <v>1276.4570000000022</v>
      </c>
      <c r="EA153" s="409">
        <v>0</v>
      </c>
      <c r="EB153" s="409">
        <v>0</v>
      </c>
      <c r="EC153" s="409">
        <v>-3091.5079803571716</v>
      </c>
      <c r="ED153" s="409">
        <v>0</v>
      </c>
      <c r="EE153" s="409">
        <v>0</v>
      </c>
      <c r="EF153" s="409">
        <v>0</v>
      </c>
      <c r="EG153" s="409">
        <v>0</v>
      </c>
      <c r="EH153" s="409">
        <v>0</v>
      </c>
      <c r="EI153" s="409">
        <v>0</v>
      </c>
      <c r="EJ153" s="409">
        <v>0</v>
      </c>
      <c r="EK153" s="409">
        <v>0</v>
      </c>
      <c r="EL153" s="409">
        <v>0</v>
      </c>
      <c r="EM153" s="409">
        <v>0</v>
      </c>
      <c r="EN153" s="409">
        <v>0</v>
      </c>
      <c r="EO153" s="409">
        <v>0</v>
      </c>
      <c r="EP153" s="409">
        <v>0</v>
      </c>
      <c r="EQ153" s="409">
        <v>0</v>
      </c>
      <c r="ER153" s="409">
        <v>0</v>
      </c>
      <c r="ES153" s="409">
        <v>0</v>
      </c>
      <c r="ET153" s="409">
        <v>0</v>
      </c>
      <c r="EU153" s="409">
        <v>0</v>
      </c>
      <c r="EV153" s="409">
        <v>210</v>
      </c>
      <c r="EW153" s="409">
        <v>0</v>
      </c>
      <c r="EX153" s="409">
        <v>0</v>
      </c>
      <c r="EY153" s="409">
        <v>0</v>
      </c>
      <c r="EZ153" s="409"/>
      <c r="FA153" s="409">
        <v>0</v>
      </c>
      <c r="FB153" s="409"/>
      <c r="FC153" s="409"/>
      <c r="FD153" s="409"/>
      <c r="FE153" s="409"/>
      <c r="FF153" s="409">
        <v>0</v>
      </c>
      <c r="FG153" s="409">
        <v>0</v>
      </c>
      <c r="FH153" s="409">
        <v>0</v>
      </c>
      <c r="FI153" s="409">
        <v>0</v>
      </c>
    </row>
    <row r="154" spans="1:165">
      <c r="A154" s="409">
        <v>152</v>
      </c>
      <c r="B154" s="409" t="s">
        <v>2240</v>
      </c>
      <c r="C154" s="409" t="s">
        <v>2241</v>
      </c>
      <c r="D154" s="409" t="s">
        <v>1989</v>
      </c>
      <c r="E154" s="409" t="s">
        <v>968</v>
      </c>
      <c r="F154" s="409" t="s">
        <v>968</v>
      </c>
      <c r="G154" s="409" t="s">
        <v>1323</v>
      </c>
      <c r="H154" s="409" t="s">
        <v>1323</v>
      </c>
      <c r="I154" s="409" t="s">
        <v>1323</v>
      </c>
      <c r="J154" s="409" t="s">
        <v>2242</v>
      </c>
      <c r="K154" s="838">
        <v>44470</v>
      </c>
      <c r="L154" s="409">
        <v>0</v>
      </c>
      <c r="M154" s="409">
        <v>0</v>
      </c>
      <c r="N154" s="409">
        <v>0.2</v>
      </c>
      <c r="O154" s="409">
        <v>0.2</v>
      </c>
      <c r="P154" s="409">
        <v>0.2</v>
      </c>
      <c r="Q154" s="409">
        <v>0.2</v>
      </c>
      <c r="R154" s="409"/>
      <c r="S154" s="409">
        <v>358.62</v>
      </c>
      <c r="T154" s="409">
        <v>273.74</v>
      </c>
      <c r="U154" s="409"/>
      <c r="V154" s="409">
        <v>126.47200000000001</v>
      </c>
      <c r="W154" s="409">
        <v>126.47200000000001</v>
      </c>
      <c r="X154" s="409">
        <v>122.62800000000001</v>
      </c>
      <c r="Y154" s="409">
        <v>0</v>
      </c>
      <c r="Z154" s="409">
        <v>12.07488243783704</v>
      </c>
      <c r="AA154" s="409">
        <v>0</v>
      </c>
      <c r="AB154" s="409">
        <v>0</v>
      </c>
      <c r="AC154" s="409">
        <v>0</v>
      </c>
      <c r="AD154" s="409">
        <v>17.217703539718581</v>
      </c>
      <c r="AE154" s="409">
        <v>39.615838408729601</v>
      </c>
      <c r="AF154" s="409">
        <v>54.747851937949399</v>
      </c>
      <c r="AG154" s="409">
        <v>0</v>
      </c>
      <c r="AH154" s="409">
        <v>0</v>
      </c>
      <c r="AI154" s="409">
        <v>0</v>
      </c>
      <c r="AJ154" s="409">
        <v>0</v>
      </c>
      <c r="AK154" s="409">
        <v>0</v>
      </c>
      <c r="AL154" s="409">
        <v>1.8673097682805022</v>
      </c>
      <c r="AM154" s="409"/>
      <c r="AN154" s="409">
        <v>0.21301827423214001</v>
      </c>
      <c r="AO154" s="409">
        <v>0</v>
      </c>
      <c r="AP154" s="409">
        <v>0</v>
      </c>
      <c r="AQ154" s="409">
        <v>0</v>
      </c>
      <c r="AR154" s="409">
        <v>0</v>
      </c>
      <c r="AS154" s="409">
        <v>0</v>
      </c>
      <c r="AT154" s="409">
        <v>0</v>
      </c>
      <c r="AU154" s="409">
        <v>0</v>
      </c>
      <c r="AV154" s="409">
        <v>0</v>
      </c>
      <c r="AW154" s="409">
        <v>0</v>
      </c>
      <c r="AX154" s="409">
        <v>0</v>
      </c>
      <c r="AY154" s="409">
        <v>0</v>
      </c>
      <c r="AZ154" s="409">
        <v>0</v>
      </c>
      <c r="BA154" s="409"/>
      <c r="BB154" s="409">
        <v>0</v>
      </c>
      <c r="BC154" s="409">
        <v>0</v>
      </c>
      <c r="BD154" s="409">
        <v>0</v>
      </c>
      <c r="BE154" s="409">
        <v>0</v>
      </c>
      <c r="BF154" s="409">
        <v>0</v>
      </c>
      <c r="BG154" s="409">
        <v>0.7356852476227681</v>
      </c>
      <c r="BH154" s="409">
        <v>0</v>
      </c>
      <c r="BI154" s="409">
        <v>1.31</v>
      </c>
      <c r="BJ154" s="409">
        <v>6.11</v>
      </c>
      <c r="BK154" s="409">
        <v>120.05</v>
      </c>
      <c r="BL154" s="409">
        <v>3</v>
      </c>
      <c r="BM154" s="409"/>
      <c r="BN154" s="409"/>
      <c r="BO154" s="409"/>
      <c r="BP154" s="409"/>
      <c r="BQ154" s="409"/>
      <c r="BR154" s="409"/>
      <c r="BS154" s="409"/>
      <c r="BT154" s="409"/>
      <c r="BU154" s="409"/>
      <c r="BV154" s="409">
        <v>55.483537185572168</v>
      </c>
      <c r="BW154" s="409"/>
      <c r="BX154" s="409"/>
      <c r="BY154" s="409"/>
      <c r="BZ154" s="409"/>
      <c r="CA154" s="409"/>
      <c r="CB154" s="409"/>
      <c r="CC154" s="409"/>
      <c r="CD154" s="409"/>
      <c r="CE154" s="409"/>
      <c r="CF154" s="409"/>
      <c r="CG154" s="409"/>
      <c r="CH154" s="409"/>
      <c r="CI154" s="409">
        <v>122.62800000000001</v>
      </c>
      <c r="CJ154" s="409">
        <v>-3.8740000000000094</v>
      </c>
      <c r="CK154" s="409"/>
      <c r="CL154" s="409"/>
      <c r="CM154" s="409"/>
      <c r="CN154" s="409"/>
      <c r="CO154" s="409">
        <v>-6.4440000000000062</v>
      </c>
      <c r="CP154" s="409">
        <v>2.6</v>
      </c>
      <c r="CQ154" s="409">
        <v>31</v>
      </c>
      <c r="CR154" s="409">
        <v>2.4523760466735496</v>
      </c>
      <c r="CS154" s="409">
        <v>0</v>
      </c>
      <c r="CT154" s="409">
        <v>0</v>
      </c>
      <c r="CU154" s="409">
        <v>0</v>
      </c>
      <c r="CV154" s="409">
        <v>0</v>
      </c>
      <c r="CW154" s="409">
        <v>0</v>
      </c>
      <c r="CX154" s="409">
        <v>0</v>
      </c>
      <c r="CY154" s="409">
        <v>0</v>
      </c>
      <c r="CZ154" s="409">
        <v>0.59019605395086217</v>
      </c>
      <c r="DA154" s="409">
        <v>0</v>
      </c>
      <c r="DB154" s="409">
        <v>0</v>
      </c>
      <c r="DC154" s="409">
        <v>2.9492514801180008</v>
      </c>
      <c r="DD154" s="409">
        <v>0</v>
      </c>
      <c r="DE154" s="409">
        <v>0</v>
      </c>
      <c r="DF154" s="409">
        <v>0</v>
      </c>
      <c r="DG154" s="409">
        <v>3.9631158641833975E-2</v>
      </c>
      <c r="DH154" s="409">
        <v>0</v>
      </c>
      <c r="DI154" s="409">
        <v>-0.76966840353414057</v>
      </c>
      <c r="DJ154" s="409"/>
      <c r="DK154" s="409">
        <v>0</v>
      </c>
      <c r="DL154" s="409">
        <v>0</v>
      </c>
      <c r="DM154" s="409">
        <v>0</v>
      </c>
      <c r="DN154" s="409">
        <v>0</v>
      </c>
      <c r="DO154" s="409">
        <v>-9.7906407925635985E-2</v>
      </c>
      <c r="DP154" s="409">
        <v>-1.4054822281390184E-2</v>
      </c>
      <c r="DQ154" s="409">
        <v>0</v>
      </c>
      <c r="DR154" s="409">
        <v>-0.24507301229598702</v>
      </c>
      <c r="DS154" s="409"/>
      <c r="DT154" s="409"/>
      <c r="DU154" s="409"/>
      <c r="DV154" s="409">
        <v>39.615838408729601</v>
      </c>
      <c r="DW154" s="409">
        <v>0</v>
      </c>
      <c r="DX154" s="409">
        <v>0</v>
      </c>
      <c r="DY154" s="409">
        <v>-6.4440000000000026</v>
      </c>
      <c r="DZ154" s="409">
        <v>2.6000000000000014</v>
      </c>
      <c r="EA154" s="409">
        <v>0</v>
      </c>
      <c r="EB154" s="409">
        <v>0</v>
      </c>
      <c r="EC154" s="409">
        <v>-6.2970556383244016</v>
      </c>
      <c r="ED154" s="409">
        <v>0</v>
      </c>
      <c r="EE154" s="409">
        <v>0</v>
      </c>
      <c r="EF154" s="409">
        <v>0</v>
      </c>
      <c r="EG154" s="409">
        <v>0</v>
      </c>
      <c r="EH154" s="409">
        <v>0</v>
      </c>
      <c r="EI154" s="409">
        <v>0</v>
      </c>
      <c r="EJ154" s="409">
        <v>0</v>
      </c>
      <c r="EK154" s="409">
        <v>0</v>
      </c>
      <c r="EL154" s="409">
        <v>0</v>
      </c>
      <c r="EM154" s="409">
        <v>0</v>
      </c>
      <c r="EN154" s="409">
        <v>0</v>
      </c>
      <c r="EO154" s="409">
        <v>0</v>
      </c>
      <c r="EP154" s="409">
        <v>0</v>
      </c>
      <c r="EQ154" s="409">
        <v>0</v>
      </c>
      <c r="ER154" s="409">
        <v>0</v>
      </c>
      <c r="ES154" s="409">
        <v>0</v>
      </c>
      <c r="ET154" s="409">
        <v>0</v>
      </c>
      <c r="EU154" s="409">
        <v>0</v>
      </c>
      <c r="EV154" s="409">
        <v>210</v>
      </c>
      <c r="EW154" s="409">
        <v>0</v>
      </c>
      <c r="EX154" s="409">
        <v>0</v>
      </c>
      <c r="EY154" s="409">
        <v>0</v>
      </c>
      <c r="EZ154" s="409"/>
      <c r="FA154" s="409">
        <v>0</v>
      </c>
      <c r="FB154" s="409"/>
      <c r="FC154" s="409"/>
      <c r="FD154" s="409"/>
      <c r="FE154" s="409"/>
      <c r="FF154" s="409">
        <v>0</v>
      </c>
      <c r="FG154" s="409">
        <v>0</v>
      </c>
      <c r="FH154" s="409">
        <v>0</v>
      </c>
      <c r="FI154" s="409">
        <v>0</v>
      </c>
    </row>
    <row r="155" spans="1:165">
      <c r="A155" s="409">
        <v>153</v>
      </c>
      <c r="B155" s="409" t="s">
        <v>1035</v>
      </c>
      <c r="C155" s="409" t="s">
        <v>2241</v>
      </c>
      <c r="D155" s="409" t="s">
        <v>1989</v>
      </c>
      <c r="E155" s="409" t="s">
        <v>968</v>
      </c>
      <c r="F155" s="409" t="s">
        <v>2243</v>
      </c>
      <c r="G155" s="409" t="s">
        <v>1323</v>
      </c>
      <c r="H155" s="409" t="s">
        <v>1323</v>
      </c>
      <c r="I155" s="409" t="s">
        <v>1323</v>
      </c>
      <c r="J155" s="409" t="s">
        <v>2242</v>
      </c>
      <c r="K155" s="838">
        <v>44470</v>
      </c>
      <c r="L155" s="409">
        <v>0</v>
      </c>
      <c r="M155" s="409">
        <v>0</v>
      </c>
      <c r="N155" s="409">
        <v>0.3</v>
      </c>
      <c r="O155" s="409">
        <v>0.3</v>
      </c>
      <c r="P155" s="409">
        <v>0.3</v>
      </c>
      <c r="Q155" s="409">
        <v>0.3</v>
      </c>
      <c r="R155" s="409"/>
      <c r="S155" s="409">
        <v>288.91000000000003</v>
      </c>
      <c r="T155" s="409">
        <v>273.74</v>
      </c>
      <c r="U155" s="409"/>
      <c r="V155" s="409">
        <v>168.79500000000002</v>
      </c>
      <c r="W155" s="409">
        <v>168.79500000000002</v>
      </c>
      <c r="X155" s="409">
        <v>164.298</v>
      </c>
      <c r="Y155" s="409">
        <v>0</v>
      </c>
      <c r="Z155" s="409">
        <v>0</v>
      </c>
      <c r="AA155" s="409">
        <v>0</v>
      </c>
      <c r="AB155" s="409">
        <v>0</v>
      </c>
      <c r="AC155" s="409">
        <v>0</v>
      </c>
      <c r="AD155" s="409">
        <v>25.826555309577866</v>
      </c>
      <c r="AE155" s="409">
        <v>59.423757613094395</v>
      </c>
      <c r="AF155" s="409">
        <v>82.121777906924095</v>
      </c>
      <c r="AG155" s="409">
        <v>0</v>
      </c>
      <c r="AH155" s="409">
        <v>0</v>
      </c>
      <c r="AI155" s="409">
        <v>0</v>
      </c>
      <c r="AJ155" s="409">
        <v>0</v>
      </c>
      <c r="AK155" s="409">
        <v>0</v>
      </c>
      <c r="AL155" s="409">
        <v>0</v>
      </c>
      <c r="AM155" s="409"/>
      <c r="AN155" s="409">
        <v>0.31952741134821</v>
      </c>
      <c r="AO155" s="409">
        <v>0</v>
      </c>
      <c r="AP155" s="409">
        <v>0</v>
      </c>
      <c r="AQ155" s="409">
        <v>0</v>
      </c>
      <c r="AR155" s="409">
        <v>0</v>
      </c>
      <c r="AS155" s="409">
        <v>0</v>
      </c>
      <c r="AT155" s="409">
        <v>0</v>
      </c>
      <c r="AU155" s="409">
        <v>0</v>
      </c>
      <c r="AV155" s="409">
        <v>0</v>
      </c>
      <c r="AW155" s="409">
        <v>0</v>
      </c>
      <c r="AX155" s="409">
        <v>0</v>
      </c>
      <c r="AY155" s="409">
        <v>0</v>
      </c>
      <c r="AZ155" s="409">
        <v>0</v>
      </c>
      <c r="BA155" s="409"/>
      <c r="BB155" s="409">
        <v>0</v>
      </c>
      <c r="BC155" s="409">
        <v>0</v>
      </c>
      <c r="BD155" s="409">
        <v>0</v>
      </c>
      <c r="BE155" s="409">
        <v>0</v>
      </c>
      <c r="BF155" s="409">
        <v>0</v>
      </c>
      <c r="BG155" s="409">
        <v>1.1035278714341521</v>
      </c>
      <c r="BH155" s="409">
        <v>0</v>
      </c>
      <c r="BI155" s="409">
        <v>0.44</v>
      </c>
      <c r="BJ155" s="409">
        <v>2.13</v>
      </c>
      <c r="BK155" s="409">
        <v>12.09</v>
      </c>
      <c r="BL155" s="409">
        <v>0</v>
      </c>
      <c r="BM155" s="409"/>
      <c r="BN155" s="409"/>
      <c r="BO155" s="409"/>
      <c r="BP155" s="409"/>
      <c r="BQ155" s="409"/>
      <c r="BR155" s="409"/>
      <c r="BS155" s="409"/>
      <c r="BT155" s="409">
        <v>106.794</v>
      </c>
      <c r="BU155" s="409"/>
      <c r="BV155" s="409">
        <v>83.225305778358248</v>
      </c>
      <c r="BW155" s="409"/>
      <c r="BX155" s="409"/>
      <c r="BY155" s="409"/>
      <c r="BZ155" s="409"/>
      <c r="CA155" s="409"/>
      <c r="CB155" s="409"/>
      <c r="CC155" s="409"/>
      <c r="CD155" s="409"/>
      <c r="CE155" s="409"/>
      <c r="CF155" s="409"/>
      <c r="CG155" s="409"/>
      <c r="CH155" s="409"/>
      <c r="CI155" s="409">
        <v>57.503999999999991</v>
      </c>
      <c r="CJ155" s="409">
        <v>-1.6050000000000111</v>
      </c>
      <c r="CK155" s="409"/>
      <c r="CL155" s="409"/>
      <c r="CM155" s="409"/>
      <c r="CN155" s="409"/>
      <c r="CO155" s="409">
        <v>-8.397000000000002</v>
      </c>
      <c r="CP155" s="409">
        <v>3.9</v>
      </c>
      <c r="CQ155" s="409">
        <v>31</v>
      </c>
      <c r="CR155" s="409">
        <v>4.9497422794861308</v>
      </c>
      <c r="CS155" s="409">
        <v>0</v>
      </c>
      <c r="CT155" s="409">
        <v>0</v>
      </c>
      <c r="CU155" s="409">
        <v>0</v>
      </c>
      <c r="CV155" s="409">
        <v>0</v>
      </c>
      <c r="CW155" s="409">
        <v>0</v>
      </c>
      <c r="CX155" s="409">
        <v>0</v>
      </c>
      <c r="CY155" s="409">
        <v>0</v>
      </c>
      <c r="CZ155" s="409">
        <v>0.88529408092629325</v>
      </c>
      <c r="DA155" s="409">
        <v>0</v>
      </c>
      <c r="DB155" s="409">
        <v>0</v>
      </c>
      <c r="DC155" s="409">
        <v>4.4238772201770047</v>
      </c>
      <c r="DD155" s="409">
        <v>0</v>
      </c>
      <c r="DE155" s="409">
        <v>0</v>
      </c>
      <c r="DF155" s="409">
        <v>0</v>
      </c>
      <c r="DG155" s="409">
        <v>5.9446737962750795E-2</v>
      </c>
      <c r="DH155" s="409">
        <v>0</v>
      </c>
      <c r="DI155" s="409">
        <v>0</v>
      </c>
      <c r="DJ155" s="409"/>
      <c r="DK155" s="409">
        <v>0</v>
      </c>
      <c r="DL155" s="409">
        <v>0</v>
      </c>
      <c r="DM155" s="409">
        <v>0</v>
      </c>
      <c r="DN155" s="409">
        <v>0</v>
      </c>
      <c r="DO155" s="409">
        <v>0</v>
      </c>
      <c r="DP155" s="409">
        <v>-2.1082233422085317E-2</v>
      </c>
      <c r="DQ155" s="409">
        <v>0</v>
      </c>
      <c r="DR155" s="409">
        <v>-0.39779352615783092</v>
      </c>
      <c r="DS155" s="409"/>
      <c r="DT155" s="409"/>
      <c r="DU155" s="409"/>
      <c r="DV155" s="409">
        <v>59.423757613094395</v>
      </c>
      <c r="DW155" s="409">
        <v>0</v>
      </c>
      <c r="DX155" s="409">
        <v>0</v>
      </c>
      <c r="DY155" s="409">
        <v>-8.3970000000000056</v>
      </c>
      <c r="DZ155" s="409">
        <v>3.9000000000000057</v>
      </c>
      <c r="EA155" s="409">
        <v>0</v>
      </c>
      <c r="EB155" s="409">
        <v>0</v>
      </c>
      <c r="EC155" s="409">
        <v>-9.4455834574865989</v>
      </c>
      <c r="ED155" s="409">
        <v>0</v>
      </c>
      <c r="EE155" s="409">
        <v>0</v>
      </c>
      <c r="EF155" s="409">
        <v>0</v>
      </c>
      <c r="EG155" s="409">
        <v>0</v>
      </c>
      <c r="EH155" s="409">
        <v>0</v>
      </c>
      <c r="EI155" s="409">
        <v>0</v>
      </c>
      <c r="EJ155" s="409">
        <v>0</v>
      </c>
      <c r="EK155" s="409">
        <v>0</v>
      </c>
      <c r="EL155" s="409">
        <v>0</v>
      </c>
      <c r="EM155" s="409">
        <v>0</v>
      </c>
      <c r="EN155" s="409">
        <v>0</v>
      </c>
      <c r="EO155" s="409">
        <v>0</v>
      </c>
      <c r="EP155" s="409">
        <v>0</v>
      </c>
      <c r="EQ155" s="409">
        <v>0</v>
      </c>
      <c r="ER155" s="409">
        <v>0</v>
      </c>
      <c r="ES155" s="409">
        <v>0</v>
      </c>
      <c r="ET155" s="409">
        <v>0</v>
      </c>
      <c r="EU155" s="409">
        <v>0</v>
      </c>
      <c r="EV155" s="409">
        <v>210</v>
      </c>
      <c r="EW155" s="409">
        <v>0</v>
      </c>
      <c r="EX155" s="409">
        <v>0</v>
      </c>
      <c r="EY155" s="409">
        <v>0</v>
      </c>
      <c r="EZ155" s="409"/>
      <c r="FA155" s="409">
        <v>0</v>
      </c>
      <c r="FB155" s="409"/>
      <c r="FC155" s="409"/>
      <c r="FD155" s="409"/>
      <c r="FE155" s="409"/>
      <c r="FF155" s="409">
        <v>0</v>
      </c>
      <c r="FG155" s="409">
        <v>0</v>
      </c>
      <c r="FH155" s="409">
        <v>0</v>
      </c>
      <c r="FI155" s="409">
        <v>0</v>
      </c>
    </row>
    <row r="156" spans="1:165">
      <c r="A156" s="409">
        <v>154</v>
      </c>
      <c r="B156" s="409" t="s">
        <v>1035</v>
      </c>
      <c r="C156" s="409" t="s">
        <v>2241</v>
      </c>
      <c r="D156" s="409" t="s">
        <v>1989</v>
      </c>
      <c r="E156" s="409" t="s">
        <v>968</v>
      </c>
      <c r="F156" s="409" t="s">
        <v>2244</v>
      </c>
      <c r="G156" s="409" t="s">
        <v>1323</v>
      </c>
      <c r="H156" s="409" t="s">
        <v>1323</v>
      </c>
      <c r="I156" s="409" t="s">
        <v>1323</v>
      </c>
      <c r="J156" s="409" t="s">
        <v>2242</v>
      </c>
      <c r="K156" s="838">
        <v>44470</v>
      </c>
      <c r="L156" s="409">
        <v>0</v>
      </c>
      <c r="M156" s="409">
        <v>0</v>
      </c>
      <c r="N156" s="409">
        <v>0.64900000000000002</v>
      </c>
      <c r="O156" s="409">
        <v>0.64900000000000002</v>
      </c>
      <c r="P156" s="409">
        <v>0.64900000000000002</v>
      </c>
      <c r="Q156" s="409">
        <v>0.64900000000000002</v>
      </c>
      <c r="R156" s="409"/>
      <c r="S156" s="409">
        <v>288.91000000000003</v>
      </c>
      <c r="T156" s="409">
        <v>273.74</v>
      </c>
      <c r="U156" s="409"/>
      <c r="V156" s="409">
        <v>365.15985000000001</v>
      </c>
      <c r="W156" s="409">
        <v>365.15985000000001</v>
      </c>
      <c r="X156" s="409">
        <v>355.43134000000003</v>
      </c>
      <c r="Y156" s="409">
        <v>0</v>
      </c>
      <c r="Z156" s="409">
        <v>0</v>
      </c>
      <c r="AA156" s="409">
        <v>0</v>
      </c>
      <c r="AB156" s="409">
        <v>0</v>
      </c>
      <c r="AC156" s="409">
        <v>0</v>
      </c>
      <c r="AD156" s="409">
        <v>55.871447986386791</v>
      </c>
      <c r="AE156" s="409">
        <v>128.55339563632756</v>
      </c>
      <c r="AF156" s="409">
        <v>177.65677953864579</v>
      </c>
      <c r="AG156" s="409">
        <v>0</v>
      </c>
      <c r="AH156" s="409">
        <v>0</v>
      </c>
      <c r="AI156" s="409">
        <v>0</v>
      </c>
      <c r="AJ156" s="409">
        <v>0</v>
      </c>
      <c r="AK156" s="409">
        <v>0</v>
      </c>
      <c r="AL156" s="409">
        <v>0</v>
      </c>
      <c r="AM156" s="409"/>
      <c r="AN156" s="409">
        <v>0.69124429988329428</v>
      </c>
      <c r="AO156" s="409">
        <v>0</v>
      </c>
      <c r="AP156" s="409">
        <v>0</v>
      </c>
      <c r="AQ156" s="409">
        <v>0</v>
      </c>
      <c r="AR156" s="409">
        <v>0</v>
      </c>
      <c r="AS156" s="409">
        <v>0</v>
      </c>
      <c r="AT156" s="409">
        <v>0</v>
      </c>
      <c r="AU156" s="409">
        <v>0</v>
      </c>
      <c r="AV156" s="409">
        <v>0</v>
      </c>
      <c r="AW156" s="409">
        <v>0</v>
      </c>
      <c r="AX156" s="409">
        <v>0</v>
      </c>
      <c r="AY156" s="409">
        <v>0</v>
      </c>
      <c r="AZ156" s="409">
        <v>0</v>
      </c>
      <c r="BA156" s="409"/>
      <c r="BB156" s="409">
        <v>0</v>
      </c>
      <c r="BC156" s="409">
        <v>0</v>
      </c>
      <c r="BD156" s="409">
        <v>0</v>
      </c>
      <c r="BE156" s="409">
        <v>0</v>
      </c>
      <c r="BF156" s="409">
        <v>0</v>
      </c>
      <c r="BG156" s="409">
        <v>2.3872986285358824</v>
      </c>
      <c r="BH156" s="409">
        <v>0</v>
      </c>
      <c r="BI156" s="409">
        <v>1.79</v>
      </c>
      <c r="BJ156" s="409">
        <v>8.25</v>
      </c>
      <c r="BK156" s="409">
        <v>48.59</v>
      </c>
      <c r="BL156" s="409">
        <v>1</v>
      </c>
      <c r="BM156" s="409"/>
      <c r="BN156" s="409"/>
      <c r="BO156" s="409"/>
      <c r="BP156" s="409"/>
      <c r="BQ156" s="409"/>
      <c r="BR156" s="409"/>
      <c r="BS156" s="409"/>
      <c r="BT156" s="409">
        <v>142.16994</v>
      </c>
      <c r="BU156" s="409"/>
      <c r="BV156" s="409">
        <v>180.04407816718168</v>
      </c>
      <c r="BW156" s="409"/>
      <c r="BX156" s="409"/>
      <c r="BY156" s="409"/>
      <c r="BZ156" s="409"/>
      <c r="CA156" s="409"/>
      <c r="CB156" s="409"/>
      <c r="CC156" s="409"/>
      <c r="CD156" s="409"/>
      <c r="CE156" s="409"/>
      <c r="CF156" s="409"/>
      <c r="CG156" s="409"/>
      <c r="CH156" s="409"/>
      <c r="CI156" s="409">
        <v>213.59000000000003</v>
      </c>
      <c r="CJ156" s="409">
        <v>-5.5359099999999728</v>
      </c>
      <c r="CK156" s="409"/>
      <c r="CL156" s="409"/>
      <c r="CM156" s="409"/>
      <c r="CN156" s="409"/>
      <c r="CO156" s="409">
        <v>-18.165510000000008</v>
      </c>
      <c r="CP156" s="409">
        <v>8.4370000000000012</v>
      </c>
      <c r="CQ156" s="409">
        <v>31</v>
      </c>
      <c r="CR156" s="409">
        <v>10.707942464621709</v>
      </c>
      <c r="CS156" s="409">
        <v>0</v>
      </c>
      <c r="CT156" s="409">
        <v>0</v>
      </c>
      <c r="CU156" s="409">
        <v>0</v>
      </c>
      <c r="CV156" s="409">
        <v>0</v>
      </c>
      <c r="CW156" s="409">
        <v>0</v>
      </c>
      <c r="CX156" s="409">
        <v>0</v>
      </c>
      <c r="CY156" s="409">
        <v>0</v>
      </c>
      <c r="CZ156" s="409">
        <v>1.9151861950705467</v>
      </c>
      <c r="DA156" s="409">
        <v>0</v>
      </c>
      <c r="DB156" s="409">
        <v>0</v>
      </c>
      <c r="DC156" s="409">
        <v>9.5703210529829335</v>
      </c>
      <c r="DD156" s="409">
        <v>0</v>
      </c>
      <c r="DE156" s="409">
        <v>0</v>
      </c>
      <c r="DF156" s="409">
        <v>0</v>
      </c>
      <c r="DG156" s="409">
        <v>0.12860310979275136</v>
      </c>
      <c r="DH156" s="409">
        <v>0</v>
      </c>
      <c r="DI156" s="409">
        <v>0</v>
      </c>
      <c r="DJ156" s="409"/>
      <c r="DK156" s="409">
        <v>0</v>
      </c>
      <c r="DL156" s="409">
        <v>0</v>
      </c>
      <c r="DM156" s="409">
        <v>0</v>
      </c>
      <c r="DN156" s="409">
        <v>0</v>
      </c>
      <c r="DO156" s="409">
        <v>0</v>
      </c>
      <c r="DP156" s="409">
        <v>-4.5607898303111183E-2</v>
      </c>
      <c r="DQ156" s="409">
        <v>0</v>
      </c>
      <c r="DR156" s="409">
        <v>-0.86055999492144086</v>
      </c>
      <c r="DS156" s="409"/>
      <c r="DT156" s="409"/>
      <c r="DU156" s="409"/>
      <c r="DV156" s="409">
        <v>128.55339563632756</v>
      </c>
      <c r="DW156" s="409">
        <v>0</v>
      </c>
      <c r="DX156" s="409">
        <v>0</v>
      </c>
      <c r="DY156" s="409">
        <v>-18.165510000000012</v>
      </c>
      <c r="DZ156" s="409">
        <v>8.4370000000000118</v>
      </c>
      <c r="EA156" s="409">
        <v>0</v>
      </c>
      <c r="EB156" s="409">
        <v>0</v>
      </c>
      <c r="EC156" s="409">
        <v>-20.433945546362693</v>
      </c>
      <c r="ED156" s="409">
        <v>0</v>
      </c>
      <c r="EE156" s="409">
        <v>0</v>
      </c>
      <c r="EF156" s="409">
        <v>0</v>
      </c>
      <c r="EG156" s="409">
        <v>0</v>
      </c>
      <c r="EH156" s="409">
        <v>0</v>
      </c>
      <c r="EI156" s="409">
        <v>0</v>
      </c>
      <c r="EJ156" s="409">
        <v>0</v>
      </c>
      <c r="EK156" s="409">
        <v>0</v>
      </c>
      <c r="EL156" s="409">
        <v>0</v>
      </c>
      <c r="EM156" s="409">
        <v>0</v>
      </c>
      <c r="EN156" s="409">
        <v>0</v>
      </c>
      <c r="EO156" s="409">
        <v>0</v>
      </c>
      <c r="EP156" s="409">
        <v>0</v>
      </c>
      <c r="EQ156" s="409">
        <v>0</v>
      </c>
      <c r="ER156" s="409">
        <v>0</v>
      </c>
      <c r="ES156" s="409">
        <v>0</v>
      </c>
      <c r="ET156" s="409">
        <v>0</v>
      </c>
      <c r="EU156" s="409">
        <v>0</v>
      </c>
      <c r="EV156" s="409">
        <v>210</v>
      </c>
      <c r="EW156" s="409">
        <v>0</v>
      </c>
      <c r="EX156" s="409">
        <v>0</v>
      </c>
      <c r="EY156" s="409">
        <v>0</v>
      </c>
      <c r="EZ156" s="409"/>
      <c r="FA156" s="409">
        <v>0</v>
      </c>
      <c r="FB156" s="409"/>
      <c r="FC156" s="409"/>
      <c r="FD156" s="409"/>
      <c r="FE156" s="409"/>
      <c r="FF156" s="409">
        <v>0</v>
      </c>
      <c r="FG156" s="409">
        <v>0</v>
      </c>
      <c r="FH156" s="409">
        <v>0</v>
      </c>
      <c r="FI156" s="409">
        <v>0</v>
      </c>
    </row>
    <row r="157" spans="1:165">
      <c r="A157" s="409">
        <v>155</v>
      </c>
      <c r="B157" s="409" t="s">
        <v>1035</v>
      </c>
      <c r="C157" s="409" t="s">
        <v>2241</v>
      </c>
      <c r="D157" s="409" t="s">
        <v>1989</v>
      </c>
      <c r="E157" s="409" t="s">
        <v>968</v>
      </c>
      <c r="F157" s="409" t="s">
        <v>2245</v>
      </c>
      <c r="G157" s="409" t="s">
        <v>1323</v>
      </c>
      <c r="H157" s="409" t="s">
        <v>1323</v>
      </c>
      <c r="I157" s="409" t="s">
        <v>1323</v>
      </c>
      <c r="J157" s="409" t="s">
        <v>2242</v>
      </c>
      <c r="K157" s="838">
        <v>44470</v>
      </c>
      <c r="L157" s="409">
        <v>0</v>
      </c>
      <c r="M157" s="409">
        <v>0</v>
      </c>
      <c r="N157" s="409">
        <v>0.85099999999999998</v>
      </c>
      <c r="O157" s="409">
        <v>0.85099999999999998</v>
      </c>
      <c r="P157" s="409">
        <v>0.85099999999999998</v>
      </c>
      <c r="Q157" s="409">
        <v>0.85099999999999998</v>
      </c>
      <c r="R157" s="409"/>
      <c r="S157" s="409">
        <v>288.91000000000003</v>
      </c>
      <c r="T157" s="409">
        <v>273.74</v>
      </c>
      <c r="U157" s="409"/>
      <c r="V157" s="409">
        <v>478.81515000000002</v>
      </c>
      <c r="W157" s="409">
        <v>478.81515000000002</v>
      </c>
      <c r="X157" s="409">
        <v>466.05866000000003</v>
      </c>
      <c r="Y157" s="409">
        <v>0</v>
      </c>
      <c r="Z157" s="409">
        <v>0</v>
      </c>
      <c r="AA157" s="409">
        <v>0</v>
      </c>
      <c r="AB157" s="409">
        <v>0</v>
      </c>
      <c r="AC157" s="409">
        <v>0</v>
      </c>
      <c r="AD157" s="409">
        <v>73.261328561502552</v>
      </c>
      <c r="AE157" s="409">
        <v>168.56539242914442</v>
      </c>
      <c r="AF157" s="409">
        <v>232.95210999597467</v>
      </c>
      <c r="AG157" s="409">
        <v>0</v>
      </c>
      <c r="AH157" s="409">
        <v>0</v>
      </c>
      <c r="AI157" s="409">
        <v>0</v>
      </c>
      <c r="AJ157" s="409">
        <v>0</v>
      </c>
      <c r="AK157" s="409">
        <v>0</v>
      </c>
      <c r="AL157" s="409">
        <v>0</v>
      </c>
      <c r="AM157" s="409"/>
      <c r="AN157" s="409">
        <v>0.90639275685775567</v>
      </c>
      <c r="AO157" s="409">
        <v>0</v>
      </c>
      <c r="AP157" s="409">
        <v>0</v>
      </c>
      <c r="AQ157" s="409">
        <v>0</v>
      </c>
      <c r="AR157" s="409">
        <v>0</v>
      </c>
      <c r="AS157" s="409">
        <v>0</v>
      </c>
      <c r="AT157" s="409">
        <v>0</v>
      </c>
      <c r="AU157" s="409">
        <v>0</v>
      </c>
      <c r="AV157" s="409">
        <v>0</v>
      </c>
      <c r="AW157" s="409">
        <v>0</v>
      </c>
      <c r="AX157" s="409">
        <v>0</v>
      </c>
      <c r="AY157" s="409">
        <v>0</v>
      </c>
      <c r="AZ157" s="409">
        <v>0</v>
      </c>
      <c r="BA157" s="409"/>
      <c r="BB157" s="409">
        <v>0</v>
      </c>
      <c r="BC157" s="409">
        <v>0</v>
      </c>
      <c r="BD157" s="409">
        <v>0</v>
      </c>
      <c r="BE157" s="409">
        <v>0</v>
      </c>
      <c r="BF157" s="409">
        <v>0</v>
      </c>
      <c r="BG157" s="409">
        <v>3.1303407286348781</v>
      </c>
      <c r="BH157" s="409">
        <v>0</v>
      </c>
      <c r="BI157" s="409">
        <v>4.1100000000000003</v>
      </c>
      <c r="BJ157" s="409">
        <v>19.03</v>
      </c>
      <c r="BK157" s="409">
        <v>120.83</v>
      </c>
      <c r="BL157" s="409">
        <v>6</v>
      </c>
      <c r="BM157" s="409"/>
      <c r="BN157" s="409"/>
      <c r="BO157" s="409"/>
      <c r="BP157" s="409"/>
      <c r="BQ157" s="409"/>
      <c r="BR157" s="409"/>
      <c r="BS157" s="409"/>
      <c r="BT157" s="409">
        <v>46.600760000000015</v>
      </c>
      <c r="BU157" s="409"/>
      <c r="BV157" s="409">
        <v>236.08245072460954</v>
      </c>
      <c r="BW157" s="409"/>
      <c r="BX157" s="409"/>
      <c r="BY157" s="409"/>
      <c r="BZ157" s="409"/>
      <c r="CA157" s="409"/>
      <c r="CB157" s="409"/>
      <c r="CC157" s="409"/>
      <c r="CD157" s="409"/>
      <c r="CE157" s="409"/>
      <c r="CF157" s="409"/>
      <c r="CG157" s="409"/>
      <c r="CH157" s="409"/>
      <c r="CI157" s="409">
        <v>418.96500000000003</v>
      </c>
      <c r="CJ157" s="409">
        <v>-12.002889999999923</v>
      </c>
      <c r="CK157" s="409"/>
      <c r="CL157" s="409"/>
      <c r="CM157" s="409"/>
      <c r="CN157" s="409"/>
      <c r="CO157" s="409">
        <v>-23.819490000000005</v>
      </c>
      <c r="CP157" s="409">
        <v>11.062999999999999</v>
      </c>
      <c r="CQ157" s="409">
        <v>31</v>
      </c>
      <c r="CR157" s="409">
        <v>14.040768932809044</v>
      </c>
      <c r="CS157" s="409">
        <v>0</v>
      </c>
      <c r="CT157" s="409">
        <v>0</v>
      </c>
      <c r="CU157" s="409">
        <v>0</v>
      </c>
      <c r="CV157" s="409">
        <v>0</v>
      </c>
      <c r="CW157" s="409">
        <v>0</v>
      </c>
      <c r="CX157" s="409">
        <v>0</v>
      </c>
      <c r="CY157" s="409">
        <v>0</v>
      </c>
      <c r="CZ157" s="409">
        <v>2.5112842095609125</v>
      </c>
      <c r="DA157" s="409">
        <v>0</v>
      </c>
      <c r="DB157" s="409">
        <v>0</v>
      </c>
      <c r="DC157" s="409">
        <v>12.549065047902104</v>
      </c>
      <c r="DD157" s="409">
        <v>0</v>
      </c>
      <c r="DE157" s="409">
        <v>0</v>
      </c>
      <c r="DF157" s="409">
        <v>0</v>
      </c>
      <c r="DG157" s="409">
        <v>0.16863058002100306</v>
      </c>
      <c r="DH157" s="409">
        <v>0</v>
      </c>
      <c r="DI157" s="409">
        <v>0</v>
      </c>
      <c r="DJ157" s="409"/>
      <c r="DK157" s="409">
        <v>0</v>
      </c>
      <c r="DL157" s="409">
        <v>0</v>
      </c>
      <c r="DM157" s="409">
        <v>0</v>
      </c>
      <c r="DN157" s="409">
        <v>0</v>
      </c>
      <c r="DO157" s="409">
        <v>0</v>
      </c>
      <c r="DP157" s="409">
        <v>-5.9803268807315235E-2</v>
      </c>
      <c r="DQ157" s="409">
        <v>0</v>
      </c>
      <c r="DR157" s="409">
        <v>-1.1284076358677135</v>
      </c>
      <c r="DS157" s="409"/>
      <c r="DT157" s="409"/>
      <c r="DU157" s="409"/>
      <c r="DV157" s="409">
        <v>168.56539242914442</v>
      </c>
      <c r="DW157" s="409">
        <v>0</v>
      </c>
      <c r="DX157" s="409">
        <v>0</v>
      </c>
      <c r="DY157" s="409">
        <v>-23.819490000000002</v>
      </c>
      <c r="DZ157" s="409">
        <v>11.062999999999988</v>
      </c>
      <c r="EA157" s="409">
        <v>0</v>
      </c>
      <c r="EB157" s="409">
        <v>0</v>
      </c>
      <c r="EC157" s="409">
        <v>-26.793971741070322</v>
      </c>
      <c r="ED157" s="409">
        <v>0</v>
      </c>
      <c r="EE157" s="409">
        <v>0</v>
      </c>
      <c r="EF157" s="409">
        <v>0</v>
      </c>
      <c r="EG157" s="409">
        <v>0</v>
      </c>
      <c r="EH157" s="409">
        <v>0</v>
      </c>
      <c r="EI157" s="409">
        <v>0</v>
      </c>
      <c r="EJ157" s="409">
        <v>0</v>
      </c>
      <c r="EK157" s="409">
        <v>0</v>
      </c>
      <c r="EL157" s="409">
        <v>0</v>
      </c>
      <c r="EM157" s="409">
        <v>0</v>
      </c>
      <c r="EN157" s="409">
        <v>0</v>
      </c>
      <c r="EO157" s="409">
        <v>0</v>
      </c>
      <c r="EP157" s="409">
        <v>0</v>
      </c>
      <c r="EQ157" s="409">
        <v>0</v>
      </c>
      <c r="ER157" s="409">
        <v>0</v>
      </c>
      <c r="ES157" s="409">
        <v>0</v>
      </c>
      <c r="ET157" s="409">
        <v>0</v>
      </c>
      <c r="EU157" s="409">
        <v>0</v>
      </c>
      <c r="EV157" s="409">
        <v>210</v>
      </c>
      <c r="EW157" s="409">
        <v>0</v>
      </c>
      <c r="EX157" s="409">
        <v>0</v>
      </c>
      <c r="EY157" s="409">
        <v>0</v>
      </c>
      <c r="EZ157" s="409"/>
      <c r="FA157" s="409">
        <v>0</v>
      </c>
      <c r="FB157" s="409"/>
      <c r="FC157" s="409"/>
      <c r="FD157" s="409"/>
      <c r="FE157" s="409"/>
      <c r="FF157" s="409">
        <v>0</v>
      </c>
      <c r="FG157" s="409">
        <v>0</v>
      </c>
      <c r="FH157" s="409">
        <v>0</v>
      </c>
      <c r="FI157" s="409">
        <v>0</v>
      </c>
    </row>
    <row r="158" spans="1:165">
      <c r="A158" s="409">
        <v>156</v>
      </c>
      <c r="B158" s="409" t="s">
        <v>1035</v>
      </c>
      <c r="C158" s="409" t="s">
        <v>2241</v>
      </c>
      <c r="D158" s="409" t="s">
        <v>1989</v>
      </c>
      <c r="E158" s="409" t="s">
        <v>968</v>
      </c>
      <c r="F158" s="409" t="s">
        <v>2258</v>
      </c>
      <c r="G158" s="409" t="s">
        <v>1323</v>
      </c>
      <c r="H158" s="409" t="s">
        <v>1323</v>
      </c>
      <c r="I158" s="409" t="s">
        <v>1323</v>
      </c>
      <c r="J158" s="409" t="s">
        <v>2242</v>
      </c>
      <c r="K158" s="838">
        <v>44470</v>
      </c>
      <c r="L158" s="409">
        <v>0</v>
      </c>
      <c r="M158" s="409">
        <v>0</v>
      </c>
      <c r="N158" s="409">
        <v>0.108</v>
      </c>
      <c r="O158" s="409">
        <v>0.108</v>
      </c>
      <c r="P158" s="409">
        <v>0.108</v>
      </c>
      <c r="Q158" s="409">
        <v>0.108</v>
      </c>
      <c r="R158" s="409"/>
      <c r="S158" s="409">
        <v>288.91000000000003</v>
      </c>
      <c r="T158" s="409">
        <v>273.74</v>
      </c>
      <c r="U158" s="409"/>
      <c r="V158" s="409">
        <v>60.766199999999998</v>
      </c>
      <c r="W158" s="409">
        <v>60.766199999999998</v>
      </c>
      <c r="X158" s="409">
        <v>59.147280000000002</v>
      </c>
      <c r="Y158" s="409">
        <v>0</v>
      </c>
      <c r="Z158" s="409">
        <v>0</v>
      </c>
      <c r="AA158" s="409">
        <v>0</v>
      </c>
      <c r="AB158" s="409">
        <v>0</v>
      </c>
      <c r="AC158" s="409">
        <v>0</v>
      </c>
      <c r="AD158" s="409">
        <v>9.2975599114480332</v>
      </c>
      <c r="AE158" s="409">
        <v>21.392552740713985</v>
      </c>
      <c r="AF158" s="409">
        <v>29.563840046492672</v>
      </c>
      <c r="AG158" s="409">
        <v>0</v>
      </c>
      <c r="AH158" s="409">
        <v>0</v>
      </c>
      <c r="AI158" s="409">
        <v>0</v>
      </c>
      <c r="AJ158" s="409">
        <v>0</v>
      </c>
      <c r="AK158" s="409">
        <v>0</v>
      </c>
      <c r="AL158" s="409">
        <v>0</v>
      </c>
      <c r="AM158" s="409"/>
      <c r="AN158" s="409">
        <v>0.11502986808535559</v>
      </c>
      <c r="AO158" s="409">
        <v>0</v>
      </c>
      <c r="AP158" s="409">
        <v>0</v>
      </c>
      <c r="AQ158" s="409">
        <v>0</v>
      </c>
      <c r="AR158" s="409">
        <v>0</v>
      </c>
      <c r="AS158" s="409">
        <v>0</v>
      </c>
      <c r="AT158" s="409">
        <v>0</v>
      </c>
      <c r="AU158" s="409">
        <v>0</v>
      </c>
      <c r="AV158" s="409">
        <v>0</v>
      </c>
      <c r="AW158" s="409">
        <v>0</v>
      </c>
      <c r="AX158" s="409">
        <v>0</v>
      </c>
      <c r="AY158" s="409">
        <v>0</v>
      </c>
      <c r="AZ158" s="409">
        <v>0</v>
      </c>
      <c r="BA158" s="409"/>
      <c r="BB158" s="409">
        <v>0</v>
      </c>
      <c r="BC158" s="409">
        <v>0</v>
      </c>
      <c r="BD158" s="409">
        <v>0</v>
      </c>
      <c r="BE158" s="409">
        <v>0</v>
      </c>
      <c r="BF158" s="409">
        <v>0</v>
      </c>
      <c r="BG158" s="409">
        <v>0.39727003371629471</v>
      </c>
      <c r="BH158" s="409">
        <v>0</v>
      </c>
      <c r="BI158" s="409">
        <v>1.04</v>
      </c>
      <c r="BJ158" s="409">
        <v>4.84</v>
      </c>
      <c r="BK158" s="409">
        <v>40.26</v>
      </c>
      <c r="BL158" s="409">
        <v>3</v>
      </c>
      <c r="BM158" s="409"/>
      <c r="BN158" s="409"/>
      <c r="BO158" s="409"/>
      <c r="BP158" s="409"/>
      <c r="BQ158" s="409"/>
      <c r="BR158" s="409"/>
      <c r="BS158" s="409"/>
      <c r="BT158" s="409"/>
      <c r="BU158" s="409"/>
      <c r="BV158" s="409">
        <v>29.961110080208968</v>
      </c>
      <c r="BW158" s="409"/>
      <c r="BX158" s="409"/>
      <c r="BY158" s="409"/>
      <c r="BZ158" s="409"/>
      <c r="CA158" s="409"/>
      <c r="CB158" s="409"/>
      <c r="CC158" s="409"/>
      <c r="CD158" s="409"/>
      <c r="CE158" s="409"/>
      <c r="CF158" s="409"/>
      <c r="CG158" s="409"/>
      <c r="CH158" s="409"/>
      <c r="CI158" s="409">
        <v>60.242600000000003</v>
      </c>
      <c r="CJ158" s="409">
        <v>-0.55360000000000298</v>
      </c>
      <c r="CK158" s="409"/>
      <c r="CL158" s="409"/>
      <c r="CM158" s="409"/>
      <c r="CN158" s="409"/>
      <c r="CO158" s="409">
        <v>-3.0229200000000009</v>
      </c>
      <c r="CP158" s="409">
        <v>1.4039999999999999</v>
      </c>
      <c r="CQ158" s="409">
        <v>31</v>
      </c>
      <c r="CR158" s="409">
        <v>1.7819072206149968</v>
      </c>
      <c r="CS158" s="409">
        <v>0</v>
      </c>
      <c r="CT158" s="409">
        <v>0</v>
      </c>
      <c r="CU158" s="409">
        <v>0</v>
      </c>
      <c r="CV158" s="409">
        <v>0</v>
      </c>
      <c r="CW158" s="409">
        <v>0</v>
      </c>
      <c r="CX158" s="409">
        <v>0</v>
      </c>
      <c r="CY158" s="409">
        <v>0</v>
      </c>
      <c r="CZ158" s="409">
        <v>0.31870586913346521</v>
      </c>
      <c r="DA158" s="409">
        <v>0</v>
      </c>
      <c r="DB158" s="409">
        <v>0</v>
      </c>
      <c r="DC158" s="409">
        <v>1.592595799263723</v>
      </c>
      <c r="DD158" s="409">
        <v>0</v>
      </c>
      <c r="DE158" s="409">
        <v>0</v>
      </c>
      <c r="DF158" s="409">
        <v>0</v>
      </c>
      <c r="DG158" s="409">
        <v>2.1400825666590351E-2</v>
      </c>
      <c r="DH158" s="409">
        <v>0</v>
      </c>
      <c r="DI158" s="409">
        <v>0</v>
      </c>
      <c r="DJ158" s="409"/>
      <c r="DK158" s="409">
        <v>0</v>
      </c>
      <c r="DL158" s="409">
        <v>0</v>
      </c>
      <c r="DM158" s="409">
        <v>0</v>
      </c>
      <c r="DN158" s="409">
        <v>0</v>
      </c>
      <c r="DO158" s="409">
        <v>0</v>
      </c>
      <c r="DP158" s="409">
        <v>-7.5896040319506919E-3</v>
      </c>
      <c r="DQ158" s="409">
        <v>0</v>
      </c>
      <c r="DR158" s="409">
        <v>-0.14320566941681911</v>
      </c>
      <c r="DS158" s="409"/>
      <c r="DT158" s="409"/>
      <c r="DU158" s="409"/>
      <c r="DV158" s="409">
        <v>21.392552740713985</v>
      </c>
      <c r="DW158" s="409">
        <v>0</v>
      </c>
      <c r="DX158" s="409">
        <v>0</v>
      </c>
      <c r="DY158" s="409">
        <v>-3.0229199999999992</v>
      </c>
      <c r="DZ158" s="409">
        <v>1.4039999999999999</v>
      </c>
      <c r="EA158" s="409">
        <v>0</v>
      </c>
      <c r="EB158" s="409">
        <v>0</v>
      </c>
      <c r="EC158" s="409">
        <v>-3.4004100446951782</v>
      </c>
      <c r="ED158" s="409">
        <v>0</v>
      </c>
      <c r="EE158" s="409">
        <v>0</v>
      </c>
      <c r="EF158" s="409">
        <v>0</v>
      </c>
      <c r="EG158" s="409">
        <v>0</v>
      </c>
      <c r="EH158" s="409">
        <v>0</v>
      </c>
      <c r="EI158" s="409">
        <v>0</v>
      </c>
      <c r="EJ158" s="409">
        <v>0</v>
      </c>
      <c r="EK158" s="409">
        <v>0</v>
      </c>
      <c r="EL158" s="409">
        <v>0</v>
      </c>
      <c r="EM158" s="409">
        <v>0</v>
      </c>
      <c r="EN158" s="409">
        <v>0</v>
      </c>
      <c r="EO158" s="409">
        <v>0</v>
      </c>
      <c r="EP158" s="409">
        <v>0</v>
      </c>
      <c r="EQ158" s="409">
        <v>0</v>
      </c>
      <c r="ER158" s="409">
        <v>0</v>
      </c>
      <c r="ES158" s="409">
        <v>0</v>
      </c>
      <c r="ET158" s="409">
        <v>0</v>
      </c>
      <c r="EU158" s="409">
        <v>0</v>
      </c>
      <c r="EV158" s="409">
        <v>210</v>
      </c>
      <c r="EW158" s="409">
        <v>0</v>
      </c>
      <c r="EX158" s="409">
        <v>0</v>
      </c>
      <c r="EY158" s="409">
        <v>0</v>
      </c>
      <c r="EZ158" s="409"/>
      <c r="FA158" s="409">
        <v>0</v>
      </c>
      <c r="FB158" s="409"/>
      <c r="FC158" s="409"/>
      <c r="FD158" s="409"/>
      <c r="FE158" s="409"/>
      <c r="FF158" s="409">
        <v>0</v>
      </c>
      <c r="FG158" s="409">
        <v>0</v>
      </c>
      <c r="FH158" s="409">
        <v>0</v>
      </c>
      <c r="FI158" s="409">
        <v>0</v>
      </c>
    </row>
    <row r="159" spans="1:165">
      <c r="A159" s="409">
        <v>157</v>
      </c>
      <c r="B159" s="409" t="s">
        <v>1035</v>
      </c>
      <c r="C159" s="409" t="s">
        <v>2241</v>
      </c>
      <c r="D159" s="409" t="s">
        <v>1992</v>
      </c>
      <c r="E159" s="409" t="s">
        <v>969</v>
      </c>
      <c r="F159" s="409" t="s">
        <v>1323</v>
      </c>
      <c r="G159" s="409" t="s">
        <v>1323</v>
      </c>
      <c r="H159" s="409" t="s">
        <v>1323</v>
      </c>
      <c r="I159" s="409" t="s">
        <v>1323</v>
      </c>
      <c r="J159" s="409" t="s">
        <v>2242</v>
      </c>
      <c r="K159" s="838">
        <v>44470</v>
      </c>
      <c r="L159" s="409">
        <v>0</v>
      </c>
      <c r="M159" s="409">
        <v>0</v>
      </c>
      <c r="N159" s="409">
        <v>28.265999999999998</v>
      </c>
      <c r="O159" s="409">
        <v>28.265999999999998</v>
      </c>
      <c r="P159" s="409">
        <v>28.265999999999998</v>
      </c>
      <c r="Q159" s="409">
        <v>28.265999999999998</v>
      </c>
      <c r="R159" s="409"/>
      <c r="S159" s="409">
        <v>358.62</v>
      </c>
      <c r="T159" s="409">
        <v>273.74</v>
      </c>
      <c r="U159" s="409"/>
      <c r="V159" s="409">
        <v>17874.287759999999</v>
      </c>
      <c r="W159" s="409">
        <v>17874.287759999999</v>
      </c>
      <c r="X159" s="409">
        <v>17331.015239999997</v>
      </c>
      <c r="Y159" s="409">
        <v>0</v>
      </c>
      <c r="Z159" s="409">
        <v>1706.5431349395087</v>
      </c>
      <c r="AA159" s="409">
        <v>0</v>
      </c>
      <c r="AB159" s="409">
        <v>0</v>
      </c>
      <c r="AC159" s="409">
        <v>0</v>
      </c>
      <c r="AD159" s="409">
        <v>2433.3780412684268</v>
      </c>
      <c r="AE159" s="409">
        <v>5598.9064423057534</v>
      </c>
      <c r="AF159" s="409">
        <v>7737.5139143903871</v>
      </c>
      <c r="AG159" s="409">
        <v>0</v>
      </c>
      <c r="AH159" s="409">
        <v>0</v>
      </c>
      <c r="AI159" s="409">
        <v>0</v>
      </c>
      <c r="AJ159" s="409">
        <v>0</v>
      </c>
      <c r="AK159" s="409">
        <v>0</v>
      </c>
      <c r="AL159" s="409">
        <v>263.90688955108334</v>
      </c>
      <c r="AM159" s="409"/>
      <c r="AN159" s="409">
        <v>30.105872697228342</v>
      </c>
      <c r="AO159" s="409">
        <v>0</v>
      </c>
      <c r="AP159" s="409">
        <v>0</v>
      </c>
      <c r="AQ159" s="409">
        <v>0</v>
      </c>
      <c r="AR159" s="409">
        <v>0</v>
      </c>
      <c r="AS159" s="409">
        <v>0</v>
      </c>
      <c r="AT159" s="409">
        <v>0</v>
      </c>
      <c r="AU159" s="409">
        <v>0</v>
      </c>
      <c r="AV159" s="409">
        <v>0</v>
      </c>
      <c r="AW159" s="409">
        <v>0</v>
      </c>
      <c r="AX159" s="409">
        <v>0</v>
      </c>
      <c r="AY159" s="409">
        <v>0</v>
      </c>
      <c r="AZ159" s="409">
        <v>0</v>
      </c>
      <c r="BA159" s="409"/>
      <c r="BB159" s="409">
        <v>0</v>
      </c>
      <c r="BC159" s="409">
        <v>0</v>
      </c>
      <c r="BD159" s="409">
        <v>0</v>
      </c>
      <c r="BE159" s="409">
        <v>0</v>
      </c>
      <c r="BF159" s="409">
        <v>0</v>
      </c>
      <c r="BG159" s="409">
        <v>103.9743960465258</v>
      </c>
      <c r="BH159" s="409">
        <v>0</v>
      </c>
      <c r="BI159" s="409">
        <v>176.53</v>
      </c>
      <c r="BJ159" s="409">
        <v>814.99</v>
      </c>
      <c r="BK159" s="409">
        <v>4889.8900000000003</v>
      </c>
      <c r="BL159" s="409">
        <v>12</v>
      </c>
      <c r="BM159" s="409"/>
      <c r="BN159" s="409"/>
      <c r="BO159" s="409"/>
      <c r="BP159" s="409"/>
      <c r="BQ159" s="409"/>
      <c r="BR159" s="409"/>
      <c r="BS159" s="409"/>
      <c r="BT159" s="409"/>
      <c r="BU159" s="409"/>
      <c r="BV159" s="409">
        <v>7841.4883104369128</v>
      </c>
      <c r="BW159" s="409"/>
      <c r="BX159" s="409"/>
      <c r="BY159" s="409"/>
      <c r="BZ159" s="409"/>
      <c r="CA159" s="409"/>
      <c r="CB159" s="409"/>
      <c r="CC159" s="409"/>
      <c r="CD159" s="409"/>
      <c r="CE159" s="409"/>
      <c r="CF159" s="409"/>
      <c r="CG159" s="409"/>
      <c r="CH159" s="409"/>
      <c r="CI159" s="409">
        <v>17333.467799999999</v>
      </c>
      <c r="CJ159" s="409">
        <v>-540.84995999999956</v>
      </c>
      <c r="CK159" s="409"/>
      <c r="CL159" s="409"/>
      <c r="CM159" s="409"/>
      <c r="CN159" s="409"/>
      <c r="CO159" s="409">
        <v>-910.73052000000075</v>
      </c>
      <c r="CP159" s="409">
        <v>367.45799999999997</v>
      </c>
      <c r="CQ159" s="409">
        <v>31</v>
      </c>
      <c r="CR159" s="409">
        <v>346.59430667637207</v>
      </c>
      <c r="CS159" s="409">
        <v>0</v>
      </c>
      <c r="CT159" s="409">
        <v>0</v>
      </c>
      <c r="CU159" s="409">
        <v>0</v>
      </c>
      <c r="CV159" s="409">
        <v>0</v>
      </c>
      <c r="CW159" s="409">
        <v>0</v>
      </c>
      <c r="CX159" s="409">
        <v>0</v>
      </c>
      <c r="CY159" s="409">
        <v>0</v>
      </c>
      <c r="CZ159" s="409">
        <v>83.412408304875044</v>
      </c>
      <c r="DA159" s="409">
        <v>0</v>
      </c>
      <c r="DB159" s="409">
        <v>0</v>
      </c>
      <c r="DC159" s="409">
        <v>416.81771168507839</v>
      </c>
      <c r="DD159" s="409">
        <v>0</v>
      </c>
      <c r="DE159" s="409">
        <v>0</v>
      </c>
      <c r="DF159" s="409">
        <v>0</v>
      </c>
      <c r="DG159" s="409">
        <v>5.6010716508504004</v>
      </c>
      <c r="DH159" s="409">
        <v>0</v>
      </c>
      <c r="DI159" s="409">
        <v>-108.77723547148003</v>
      </c>
      <c r="DJ159" s="409"/>
      <c r="DK159" s="409">
        <v>0</v>
      </c>
      <c r="DL159" s="409">
        <v>0</v>
      </c>
      <c r="DM159" s="409">
        <v>0</v>
      </c>
      <c r="DN159" s="409">
        <v>0</v>
      </c>
      <c r="DO159" s="409">
        <v>-13.837112632130129</v>
      </c>
      <c r="DP159" s="409">
        <v>-1.9863680330288744</v>
      </c>
      <c r="DQ159" s="409">
        <v>0</v>
      </c>
      <c r="DR159" s="409">
        <v>-34.636168827791842</v>
      </c>
      <c r="DS159" s="409"/>
      <c r="DT159" s="409"/>
      <c r="DU159" s="409"/>
      <c r="DV159" s="409">
        <v>5598.9064423057534</v>
      </c>
      <c r="DW159" s="409">
        <v>0</v>
      </c>
      <c r="DX159" s="409">
        <v>0</v>
      </c>
      <c r="DY159" s="409">
        <v>-910.73052000000098</v>
      </c>
      <c r="DZ159" s="409">
        <v>367.45800000000054</v>
      </c>
      <c r="EA159" s="409">
        <v>0</v>
      </c>
      <c r="EB159" s="409">
        <v>0</v>
      </c>
      <c r="EC159" s="409">
        <v>-889.96287336438672</v>
      </c>
      <c r="ED159" s="409">
        <v>0</v>
      </c>
      <c r="EE159" s="409">
        <v>0</v>
      </c>
      <c r="EF159" s="409">
        <v>0</v>
      </c>
      <c r="EG159" s="409">
        <v>0</v>
      </c>
      <c r="EH159" s="409">
        <v>0</v>
      </c>
      <c r="EI159" s="409">
        <v>0</v>
      </c>
      <c r="EJ159" s="409">
        <v>0</v>
      </c>
      <c r="EK159" s="409">
        <v>0</v>
      </c>
      <c r="EL159" s="409">
        <v>0</v>
      </c>
      <c r="EM159" s="409">
        <v>0</v>
      </c>
      <c r="EN159" s="409">
        <v>0</v>
      </c>
      <c r="EO159" s="409">
        <v>0</v>
      </c>
      <c r="EP159" s="409">
        <v>0</v>
      </c>
      <c r="EQ159" s="409">
        <v>0</v>
      </c>
      <c r="ER159" s="409">
        <v>0</v>
      </c>
      <c r="ES159" s="409">
        <v>0</v>
      </c>
      <c r="ET159" s="409">
        <v>0</v>
      </c>
      <c r="EU159" s="409">
        <v>0</v>
      </c>
      <c r="EV159" s="409">
        <v>210</v>
      </c>
      <c r="EW159" s="409">
        <v>0</v>
      </c>
      <c r="EX159" s="409">
        <v>0</v>
      </c>
      <c r="EY159" s="409">
        <v>0</v>
      </c>
      <c r="EZ159" s="409"/>
      <c r="FA159" s="409">
        <v>0</v>
      </c>
      <c r="FB159" s="409"/>
      <c r="FC159" s="409"/>
      <c r="FD159" s="409"/>
      <c r="FE159" s="409"/>
      <c r="FF159" s="409">
        <v>0</v>
      </c>
      <c r="FG159" s="409">
        <v>0</v>
      </c>
      <c r="FH159" s="409">
        <v>0</v>
      </c>
      <c r="FI159" s="409">
        <v>0</v>
      </c>
    </row>
    <row r="160" spans="1:165">
      <c r="A160" s="409">
        <v>158</v>
      </c>
      <c r="B160" s="409" t="s">
        <v>2240</v>
      </c>
      <c r="C160" s="409" t="s">
        <v>2241</v>
      </c>
      <c r="D160" s="409" t="s">
        <v>1992</v>
      </c>
      <c r="E160" s="409" t="s">
        <v>969</v>
      </c>
      <c r="F160" s="409" t="s">
        <v>1323</v>
      </c>
      <c r="G160" s="409" t="s">
        <v>1323</v>
      </c>
      <c r="H160" s="409" t="s">
        <v>1323</v>
      </c>
      <c r="I160" s="409" t="s">
        <v>1323</v>
      </c>
      <c r="J160" s="409" t="s">
        <v>2242</v>
      </c>
      <c r="K160" s="838">
        <v>44470</v>
      </c>
      <c r="L160" s="409">
        <v>0</v>
      </c>
      <c r="M160" s="409">
        <v>0</v>
      </c>
      <c r="N160" s="409">
        <v>0.1</v>
      </c>
      <c r="O160" s="409">
        <v>0.1</v>
      </c>
      <c r="P160" s="409">
        <v>0.1</v>
      </c>
      <c r="Q160" s="409">
        <v>0.1</v>
      </c>
      <c r="R160" s="409"/>
      <c r="S160" s="409">
        <v>358.62</v>
      </c>
      <c r="T160" s="409">
        <v>273.74</v>
      </c>
      <c r="U160" s="409"/>
      <c r="V160" s="409">
        <v>63.236000000000004</v>
      </c>
      <c r="W160" s="409">
        <v>63.236000000000004</v>
      </c>
      <c r="X160" s="409">
        <v>61.314000000000007</v>
      </c>
      <c r="Y160" s="409">
        <v>0</v>
      </c>
      <c r="Z160" s="409">
        <v>6.03744121891852</v>
      </c>
      <c r="AA160" s="409">
        <v>0</v>
      </c>
      <c r="AB160" s="409">
        <v>0</v>
      </c>
      <c r="AC160" s="409">
        <v>0</v>
      </c>
      <c r="AD160" s="409">
        <v>8.6088517698592906</v>
      </c>
      <c r="AE160" s="409">
        <v>19.807919204364801</v>
      </c>
      <c r="AF160" s="409">
        <v>27.373925968974699</v>
      </c>
      <c r="AG160" s="409">
        <v>0</v>
      </c>
      <c r="AH160" s="409">
        <v>0</v>
      </c>
      <c r="AI160" s="409">
        <v>0</v>
      </c>
      <c r="AJ160" s="409">
        <v>0</v>
      </c>
      <c r="AK160" s="409">
        <v>0</v>
      </c>
      <c r="AL160" s="409">
        <v>0.93365488414025111</v>
      </c>
      <c r="AM160" s="409"/>
      <c r="AN160" s="409">
        <v>0.10650913711607</v>
      </c>
      <c r="AO160" s="409">
        <v>0</v>
      </c>
      <c r="AP160" s="409">
        <v>0</v>
      </c>
      <c r="AQ160" s="409">
        <v>0</v>
      </c>
      <c r="AR160" s="409">
        <v>0</v>
      </c>
      <c r="AS160" s="409">
        <v>0</v>
      </c>
      <c r="AT160" s="409">
        <v>0</v>
      </c>
      <c r="AU160" s="409">
        <v>0</v>
      </c>
      <c r="AV160" s="409">
        <v>0</v>
      </c>
      <c r="AW160" s="409">
        <v>0</v>
      </c>
      <c r="AX160" s="409">
        <v>0</v>
      </c>
      <c r="AY160" s="409">
        <v>0</v>
      </c>
      <c r="AZ160" s="409">
        <v>0</v>
      </c>
      <c r="BA160" s="409"/>
      <c r="BB160" s="409">
        <v>0</v>
      </c>
      <c r="BC160" s="409">
        <v>0</v>
      </c>
      <c r="BD160" s="409">
        <v>0</v>
      </c>
      <c r="BE160" s="409">
        <v>0</v>
      </c>
      <c r="BF160" s="409">
        <v>0</v>
      </c>
      <c r="BG160" s="409">
        <v>0.36784262381138405</v>
      </c>
      <c r="BH160" s="409">
        <v>0</v>
      </c>
      <c r="BI160" s="409">
        <v>0.62</v>
      </c>
      <c r="BJ160" s="409">
        <v>2.89</v>
      </c>
      <c r="BK160" s="409">
        <v>178.12</v>
      </c>
      <c r="BL160" s="409">
        <v>1</v>
      </c>
      <c r="BM160" s="409"/>
      <c r="BN160" s="409"/>
      <c r="BO160" s="409"/>
      <c r="BP160" s="409"/>
      <c r="BQ160" s="409"/>
      <c r="BR160" s="409"/>
      <c r="BS160" s="409"/>
      <c r="BT160" s="409"/>
      <c r="BU160" s="409"/>
      <c r="BV160" s="409">
        <v>27.741768592786084</v>
      </c>
      <c r="BW160" s="409"/>
      <c r="BX160" s="409"/>
      <c r="BY160" s="409"/>
      <c r="BZ160" s="409"/>
      <c r="CA160" s="409"/>
      <c r="CB160" s="409"/>
      <c r="CC160" s="409"/>
      <c r="CD160" s="409"/>
      <c r="CE160" s="409"/>
      <c r="CF160" s="409"/>
      <c r="CG160" s="409"/>
      <c r="CH160" s="409"/>
      <c r="CI160" s="409">
        <v>61.314000000000007</v>
      </c>
      <c r="CJ160" s="409">
        <v>-1.9519999999999911</v>
      </c>
      <c r="CK160" s="409"/>
      <c r="CL160" s="409"/>
      <c r="CM160" s="409"/>
      <c r="CN160" s="409"/>
      <c r="CO160" s="409">
        <v>-3.2220000000000031</v>
      </c>
      <c r="CP160" s="409">
        <v>1.3</v>
      </c>
      <c r="CQ160" s="409">
        <v>31</v>
      </c>
      <c r="CR160" s="409">
        <v>1.2261880233367748</v>
      </c>
      <c r="CS160" s="409">
        <v>0</v>
      </c>
      <c r="CT160" s="409">
        <v>0</v>
      </c>
      <c r="CU160" s="409">
        <v>0</v>
      </c>
      <c r="CV160" s="409">
        <v>0</v>
      </c>
      <c r="CW160" s="409">
        <v>0</v>
      </c>
      <c r="CX160" s="409">
        <v>0</v>
      </c>
      <c r="CY160" s="409">
        <v>0</v>
      </c>
      <c r="CZ160" s="409">
        <v>0.29509802697543108</v>
      </c>
      <c r="DA160" s="409">
        <v>0</v>
      </c>
      <c r="DB160" s="409">
        <v>0</v>
      </c>
      <c r="DC160" s="409">
        <v>1.4746257400590004</v>
      </c>
      <c r="DD160" s="409">
        <v>0</v>
      </c>
      <c r="DE160" s="409">
        <v>0</v>
      </c>
      <c r="DF160" s="409">
        <v>0</v>
      </c>
      <c r="DG160" s="409">
        <v>1.9815579320916987E-2</v>
      </c>
      <c r="DH160" s="409">
        <v>0</v>
      </c>
      <c r="DI160" s="409">
        <v>-0.38483420176707028</v>
      </c>
      <c r="DJ160" s="409"/>
      <c r="DK160" s="409">
        <v>0</v>
      </c>
      <c r="DL160" s="409">
        <v>0</v>
      </c>
      <c r="DM160" s="409">
        <v>0</v>
      </c>
      <c r="DN160" s="409">
        <v>0</v>
      </c>
      <c r="DO160" s="409">
        <v>-4.8953203962817993E-2</v>
      </c>
      <c r="DP160" s="409">
        <v>-7.0274111406950918E-3</v>
      </c>
      <c r="DQ160" s="409">
        <v>0</v>
      </c>
      <c r="DR160" s="409">
        <v>-0.12253650614799351</v>
      </c>
      <c r="DS160" s="409"/>
      <c r="DT160" s="409"/>
      <c r="DU160" s="409"/>
      <c r="DV160" s="409">
        <v>19.807919204364801</v>
      </c>
      <c r="DW160" s="409">
        <v>0</v>
      </c>
      <c r="DX160" s="409">
        <v>0</v>
      </c>
      <c r="DY160" s="409">
        <v>-3.2220000000000013</v>
      </c>
      <c r="DZ160" s="409">
        <v>1.3000000000000007</v>
      </c>
      <c r="EA160" s="409">
        <v>0</v>
      </c>
      <c r="EB160" s="409">
        <v>0</v>
      </c>
      <c r="EC160" s="409">
        <v>-3.1485278191622008</v>
      </c>
      <c r="ED160" s="409">
        <v>0</v>
      </c>
      <c r="EE160" s="409">
        <v>0</v>
      </c>
      <c r="EF160" s="409">
        <v>0</v>
      </c>
      <c r="EG160" s="409">
        <v>0</v>
      </c>
      <c r="EH160" s="409">
        <v>0</v>
      </c>
      <c r="EI160" s="409">
        <v>0</v>
      </c>
      <c r="EJ160" s="409">
        <v>0</v>
      </c>
      <c r="EK160" s="409">
        <v>0</v>
      </c>
      <c r="EL160" s="409">
        <v>0</v>
      </c>
      <c r="EM160" s="409">
        <v>0</v>
      </c>
      <c r="EN160" s="409">
        <v>0</v>
      </c>
      <c r="EO160" s="409">
        <v>0</v>
      </c>
      <c r="EP160" s="409">
        <v>0</v>
      </c>
      <c r="EQ160" s="409">
        <v>0</v>
      </c>
      <c r="ER160" s="409">
        <v>0</v>
      </c>
      <c r="ES160" s="409">
        <v>0</v>
      </c>
      <c r="ET160" s="409">
        <v>0</v>
      </c>
      <c r="EU160" s="409">
        <v>0</v>
      </c>
      <c r="EV160" s="409">
        <v>210</v>
      </c>
      <c r="EW160" s="409">
        <v>0</v>
      </c>
      <c r="EX160" s="409">
        <v>0</v>
      </c>
      <c r="EY160" s="409">
        <v>0</v>
      </c>
      <c r="EZ160" s="409"/>
      <c r="FA160" s="409">
        <v>0</v>
      </c>
      <c r="FB160" s="409"/>
      <c r="FC160" s="409"/>
      <c r="FD160" s="409"/>
      <c r="FE160" s="409"/>
      <c r="FF160" s="409">
        <v>0</v>
      </c>
      <c r="FG160" s="409">
        <v>0</v>
      </c>
      <c r="FH160" s="409">
        <v>0</v>
      </c>
      <c r="FI160" s="409">
        <v>0</v>
      </c>
    </row>
    <row r="161" spans="1:165">
      <c r="A161" s="409">
        <v>159</v>
      </c>
      <c r="B161" s="409" t="s">
        <v>1035</v>
      </c>
      <c r="C161" s="409" t="s">
        <v>2246</v>
      </c>
      <c r="D161" s="409" t="s">
        <v>595</v>
      </c>
      <c r="E161" s="409" t="s">
        <v>969</v>
      </c>
      <c r="F161" s="409" t="s">
        <v>1323</v>
      </c>
      <c r="G161" s="409" t="s">
        <v>1323</v>
      </c>
      <c r="H161" s="409" t="s">
        <v>1323</v>
      </c>
      <c r="I161" s="409" t="s">
        <v>972</v>
      </c>
      <c r="J161" s="409" t="s">
        <v>2242</v>
      </c>
      <c r="K161" s="838">
        <v>44470</v>
      </c>
      <c r="L161" s="409">
        <v>0</v>
      </c>
      <c r="M161" s="409">
        <v>0</v>
      </c>
      <c r="N161" s="409">
        <v>9.0730000000000004</v>
      </c>
      <c r="O161" s="409">
        <v>9.0730000000000004</v>
      </c>
      <c r="P161" s="409">
        <v>9.0730000000000004</v>
      </c>
      <c r="Q161" s="409">
        <v>9.0730000000000004</v>
      </c>
      <c r="R161" s="409"/>
      <c r="S161" s="409">
        <v>1856.88</v>
      </c>
      <c r="T161" s="409">
        <v>273.74</v>
      </c>
      <c r="U161" s="409"/>
      <c r="V161" s="409">
        <v>19331.115260000002</v>
      </c>
      <c r="W161" s="409">
        <v>19331.115260000002</v>
      </c>
      <c r="X161" s="409">
        <v>17712.94571</v>
      </c>
      <c r="Y161" s="409">
        <v>0</v>
      </c>
      <c r="Z161" s="409">
        <v>476.56602635945507</v>
      </c>
      <c r="AA161" s="409">
        <v>0</v>
      </c>
      <c r="AB161" s="409">
        <v>0</v>
      </c>
      <c r="AC161" s="409">
        <v>0</v>
      </c>
      <c r="AD161" s="409">
        <v>4446.603540369164</v>
      </c>
      <c r="AE161" s="409">
        <v>11816.507539674527</v>
      </c>
      <c r="AF161" s="409">
        <v>2483.6363031650744</v>
      </c>
      <c r="AG161" s="409">
        <v>0</v>
      </c>
      <c r="AH161" s="409">
        <v>0</v>
      </c>
      <c r="AI161" s="409">
        <v>0</v>
      </c>
      <c r="AJ161" s="409">
        <v>0</v>
      </c>
      <c r="AK161" s="409">
        <v>0</v>
      </c>
      <c r="AL161" s="409">
        <v>84.710507638044987</v>
      </c>
      <c r="AM161" s="409"/>
      <c r="AN161" s="409">
        <v>7.8761616089484576</v>
      </c>
      <c r="AO161" s="409">
        <v>0</v>
      </c>
      <c r="AP161" s="409">
        <v>0</v>
      </c>
      <c r="AQ161" s="409">
        <v>0</v>
      </c>
      <c r="AR161" s="409">
        <v>0</v>
      </c>
      <c r="AS161" s="409">
        <v>0</v>
      </c>
      <c r="AT161" s="409">
        <v>0</v>
      </c>
      <c r="AU161" s="409">
        <v>0</v>
      </c>
      <c r="AV161" s="409">
        <v>0</v>
      </c>
      <c r="AW161" s="409">
        <v>0</v>
      </c>
      <c r="AX161" s="409">
        <v>0</v>
      </c>
      <c r="AY161" s="409">
        <v>0</v>
      </c>
      <c r="AZ161" s="409">
        <v>0</v>
      </c>
      <c r="BA161" s="409"/>
      <c r="BB161" s="409">
        <v>0</v>
      </c>
      <c r="BC161" s="409">
        <v>0</v>
      </c>
      <c r="BD161" s="409">
        <v>0</v>
      </c>
      <c r="BE161" s="409">
        <v>0</v>
      </c>
      <c r="BF161" s="409">
        <v>0</v>
      </c>
      <c r="BG161" s="409">
        <v>15.182085645970252</v>
      </c>
      <c r="BH161" s="409">
        <v>0</v>
      </c>
      <c r="BI161" s="409">
        <v>0</v>
      </c>
      <c r="BJ161" s="409">
        <v>0</v>
      </c>
      <c r="BK161" s="409">
        <v>0</v>
      </c>
      <c r="BL161" s="409">
        <v>0</v>
      </c>
      <c r="BM161" s="409"/>
      <c r="BN161" s="409"/>
      <c r="BO161" s="409"/>
      <c r="BP161" s="409"/>
      <c r="BQ161" s="409"/>
      <c r="BR161" s="409"/>
      <c r="BS161" s="409"/>
      <c r="BT161" s="409"/>
      <c r="BU161" s="409"/>
      <c r="BV161" s="409">
        <v>2498.8183888110448</v>
      </c>
      <c r="BW161" s="409"/>
      <c r="BX161" s="409"/>
      <c r="BY161" s="409"/>
      <c r="BZ161" s="409"/>
      <c r="CA161" s="409"/>
      <c r="CB161" s="409"/>
      <c r="CC161" s="409"/>
      <c r="CD161" s="409"/>
      <c r="CE161" s="409"/>
      <c r="CF161" s="409"/>
      <c r="CG161" s="409"/>
      <c r="CH161" s="409"/>
      <c r="CI161" s="409">
        <v>17707.088900000002</v>
      </c>
      <c r="CJ161" s="409">
        <v>-1624.056359999995</v>
      </c>
      <c r="CK161" s="409"/>
      <c r="CL161" s="409"/>
      <c r="CM161" s="409"/>
      <c r="CN161" s="409"/>
      <c r="CO161" s="409">
        <v>-1736.1185500000013</v>
      </c>
      <c r="CP161" s="409">
        <v>117.94900000000001</v>
      </c>
      <c r="CQ161" s="409">
        <v>31</v>
      </c>
      <c r="CR161" s="409">
        <v>260.19708531457854</v>
      </c>
      <c r="CS161" s="409">
        <v>0</v>
      </c>
      <c r="CT161" s="409">
        <v>0</v>
      </c>
      <c r="CU161" s="409">
        <v>0</v>
      </c>
      <c r="CV161" s="409">
        <v>0</v>
      </c>
      <c r="CW161" s="409">
        <v>0</v>
      </c>
      <c r="CX161" s="409">
        <v>0</v>
      </c>
      <c r="CY161" s="409">
        <v>0</v>
      </c>
      <c r="CZ161" s="409">
        <v>152.42264201818307</v>
      </c>
      <c r="DA161" s="409">
        <v>0</v>
      </c>
      <c r="DB161" s="409">
        <v>0</v>
      </c>
      <c r="DC161" s="409">
        <v>133.79279339555342</v>
      </c>
      <c r="DD161" s="409">
        <v>0</v>
      </c>
      <c r="DE161" s="409">
        <v>0</v>
      </c>
      <c r="DF161" s="409">
        <v>0</v>
      </c>
      <c r="DG161" s="409">
        <v>0.81785470986897657</v>
      </c>
      <c r="DH161" s="409">
        <v>0</v>
      </c>
      <c r="DI161" s="409">
        <v>-30.376926199903778</v>
      </c>
      <c r="DJ161" s="409"/>
      <c r="DK161" s="409">
        <v>0</v>
      </c>
      <c r="DL161" s="409">
        <v>0</v>
      </c>
      <c r="DM161" s="409">
        <v>0</v>
      </c>
      <c r="DN161" s="409">
        <v>0</v>
      </c>
      <c r="DO161" s="409">
        <v>-4.4415241955464779</v>
      </c>
      <c r="DP161" s="409">
        <v>-0.51966457841378144</v>
      </c>
      <c r="DQ161" s="409">
        <v>0</v>
      </c>
      <c r="DR161" s="409">
        <v>8.5019101648387156</v>
      </c>
      <c r="DS161" s="409"/>
      <c r="DT161" s="409"/>
      <c r="DU161" s="409"/>
      <c r="DV161" s="409">
        <v>11816.507539674527</v>
      </c>
      <c r="DW161" s="409">
        <v>0</v>
      </c>
      <c r="DX161" s="409">
        <v>0</v>
      </c>
      <c r="DY161" s="409">
        <v>-1736.1185500000029</v>
      </c>
      <c r="DZ161" s="409">
        <v>117.94900000000007</v>
      </c>
      <c r="EA161" s="409">
        <v>0</v>
      </c>
      <c r="EB161" s="409">
        <v>0</v>
      </c>
      <c r="EC161" s="409">
        <v>-1878.2691069239172</v>
      </c>
      <c r="ED161" s="409">
        <v>0</v>
      </c>
      <c r="EE161" s="409">
        <v>0</v>
      </c>
      <c r="EF161" s="409">
        <v>0</v>
      </c>
      <c r="EG161" s="409">
        <v>0</v>
      </c>
      <c r="EH161" s="409">
        <v>0</v>
      </c>
      <c r="EI161" s="409">
        <v>0</v>
      </c>
      <c r="EJ161" s="409">
        <v>0</v>
      </c>
      <c r="EK161" s="409">
        <v>0</v>
      </c>
      <c r="EL161" s="409">
        <v>0</v>
      </c>
      <c r="EM161" s="409">
        <v>0</v>
      </c>
      <c r="EN161" s="409">
        <v>0</v>
      </c>
      <c r="EO161" s="409">
        <v>0</v>
      </c>
      <c r="EP161" s="409">
        <v>0</v>
      </c>
      <c r="EQ161" s="409">
        <v>0</v>
      </c>
      <c r="ER161" s="409">
        <v>0</v>
      </c>
      <c r="ES161" s="409">
        <v>0</v>
      </c>
      <c r="ET161" s="409">
        <v>0</v>
      </c>
      <c r="EU161" s="409">
        <v>0</v>
      </c>
      <c r="EV161" s="409">
        <v>210</v>
      </c>
      <c r="EW161" s="409">
        <v>0</v>
      </c>
      <c r="EX161" s="409">
        <v>0</v>
      </c>
      <c r="EY161" s="409">
        <v>0</v>
      </c>
      <c r="EZ161" s="409"/>
      <c r="FA161" s="409">
        <v>0</v>
      </c>
      <c r="FB161" s="409"/>
      <c r="FC161" s="409"/>
      <c r="FD161" s="409"/>
      <c r="FE161" s="409"/>
      <c r="FF161" s="409">
        <v>0</v>
      </c>
      <c r="FG161" s="409">
        <v>0</v>
      </c>
      <c r="FH161" s="409">
        <v>0</v>
      </c>
      <c r="FI161" s="409">
        <v>0</v>
      </c>
    </row>
    <row r="162" spans="1:165">
      <c r="A162" s="409">
        <v>160</v>
      </c>
      <c r="B162" s="409" t="s">
        <v>1035</v>
      </c>
      <c r="C162" s="409" t="s">
        <v>2246</v>
      </c>
      <c r="D162" s="409" t="s">
        <v>595</v>
      </c>
      <c r="E162" s="409" t="s">
        <v>969</v>
      </c>
      <c r="F162" s="409" t="s">
        <v>1323</v>
      </c>
      <c r="G162" s="409" t="s">
        <v>1323</v>
      </c>
      <c r="H162" s="409" t="s">
        <v>1323</v>
      </c>
      <c r="I162" s="409" t="s">
        <v>2234</v>
      </c>
      <c r="J162" s="409" t="s">
        <v>2242</v>
      </c>
      <c r="K162" s="838">
        <v>44470</v>
      </c>
      <c r="L162" s="409">
        <v>0</v>
      </c>
      <c r="M162" s="409">
        <v>0</v>
      </c>
      <c r="N162" s="409">
        <v>70.819000000000003</v>
      </c>
      <c r="O162" s="409">
        <v>70.819000000000003</v>
      </c>
      <c r="P162" s="409">
        <v>70.819000000000003</v>
      </c>
      <c r="Q162" s="409">
        <v>70.819000000000003</v>
      </c>
      <c r="R162" s="409"/>
      <c r="S162" s="409">
        <v>64.400000000000006</v>
      </c>
      <c r="T162" s="409">
        <v>273.74</v>
      </c>
      <c r="U162" s="409"/>
      <c r="V162" s="409">
        <v>23946.736660000002</v>
      </c>
      <c r="W162" s="409">
        <v>23946.736660000002</v>
      </c>
      <c r="X162" s="409">
        <v>24604.645170000003</v>
      </c>
      <c r="Y162" s="409">
        <v>0</v>
      </c>
      <c r="Z162" s="409">
        <v>3719.8202822385369</v>
      </c>
      <c r="AA162" s="409">
        <v>0</v>
      </c>
      <c r="AB162" s="409">
        <v>0</v>
      </c>
      <c r="AC162" s="409">
        <v>0</v>
      </c>
      <c r="AD162" s="409">
        <v>0</v>
      </c>
      <c r="AE162" s="409">
        <v>0</v>
      </c>
      <c r="AF162" s="409">
        <v>19385.940631968191</v>
      </c>
      <c r="AG162" s="409">
        <v>0</v>
      </c>
      <c r="AH162" s="409">
        <v>0</v>
      </c>
      <c r="AI162" s="409">
        <v>0</v>
      </c>
      <c r="AJ162" s="409">
        <v>0</v>
      </c>
      <c r="AK162" s="409">
        <v>0</v>
      </c>
      <c r="AL162" s="409">
        <v>661.20505239928445</v>
      </c>
      <c r="AM162" s="409"/>
      <c r="AN162" s="409">
        <v>61.477117710142267</v>
      </c>
      <c r="AO162" s="409">
        <v>0</v>
      </c>
      <c r="AP162" s="409">
        <v>0</v>
      </c>
      <c r="AQ162" s="409">
        <v>0</v>
      </c>
      <c r="AR162" s="409">
        <v>0</v>
      </c>
      <c r="AS162" s="409">
        <v>0</v>
      </c>
      <c r="AT162" s="409">
        <v>0</v>
      </c>
      <c r="AU162" s="409">
        <v>0</v>
      </c>
      <c r="AV162" s="409">
        <v>0</v>
      </c>
      <c r="AW162" s="409">
        <v>0</v>
      </c>
      <c r="AX162" s="409">
        <v>0</v>
      </c>
      <c r="AY162" s="409">
        <v>0</v>
      </c>
      <c r="AZ162" s="409">
        <v>0</v>
      </c>
      <c r="BA162" s="409"/>
      <c r="BB162" s="409">
        <v>0</v>
      </c>
      <c r="BC162" s="409">
        <v>0</v>
      </c>
      <c r="BD162" s="409">
        <v>0</v>
      </c>
      <c r="BE162" s="409">
        <v>0</v>
      </c>
      <c r="BF162" s="409">
        <v>0</v>
      </c>
      <c r="BG162" s="409">
        <v>118.50326500187009</v>
      </c>
      <c r="BH162" s="409">
        <v>0</v>
      </c>
      <c r="BI162" s="409">
        <v>0</v>
      </c>
      <c r="BJ162" s="409">
        <v>0</v>
      </c>
      <c r="BK162" s="409">
        <v>0</v>
      </c>
      <c r="BL162" s="409">
        <v>0</v>
      </c>
      <c r="BM162" s="409"/>
      <c r="BN162" s="409"/>
      <c r="BO162" s="409"/>
      <c r="BP162" s="409"/>
      <c r="BQ162" s="409"/>
      <c r="BR162" s="409"/>
      <c r="BS162" s="409"/>
      <c r="BT162" s="409"/>
      <c r="BU162" s="409"/>
      <c r="BV162" s="409">
        <v>19504.44389697006</v>
      </c>
      <c r="BW162" s="409"/>
      <c r="BX162" s="409"/>
      <c r="BY162" s="409"/>
      <c r="BZ162" s="409"/>
      <c r="CA162" s="409"/>
      <c r="CB162" s="409"/>
      <c r="CC162" s="409"/>
      <c r="CD162" s="409"/>
      <c r="CE162" s="409"/>
      <c r="CF162" s="409"/>
      <c r="CG162" s="409"/>
      <c r="CH162" s="409"/>
      <c r="CI162" s="409">
        <v>24604.992599999998</v>
      </c>
      <c r="CJ162" s="409">
        <v>658.22593999999663</v>
      </c>
      <c r="CK162" s="409"/>
      <c r="CL162" s="409"/>
      <c r="CM162" s="409"/>
      <c r="CN162" s="409"/>
      <c r="CO162" s="409">
        <v>-262.73849000000058</v>
      </c>
      <c r="CP162" s="409">
        <v>920.64700000000005</v>
      </c>
      <c r="CQ162" s="409">
        <v>31</v>
      </c>
      <c r="CR162" s="409">
        <v>658.0164983045579</v>
      </c>
      <c r="CS162" s="409">
        <v>0</v>
      </c>
      <c r="CT162" s="409">
        <v>0</v>
      </c>
      <c r="CU162" s="409">
        <v>0</v>
      </c>
      <c r="CV162" s="409">
        <v>0</v>
      </c>
      <c r="CW162" s="409">
        <v>0</v>
      </c>
      <c r="CX162" s="409">
        <v>0</v>
      </c>
      <c r="CY162" s="409">
        <v>0</v>
      </c>
      <c r="CZ162" s="409">
        <v>0</v>
      </c>
      <c r="DA162" s="409">
        <v>0</v>
      </c>
      <c r="DB162" s="409">
        <v>0</v>
      </c>
      <c r="DC162" s="409">
        <v>1044.3152028523837</v>
      </c>
      <c r="DD162" s="409">
        <v>0</v>
      </c>
      <c r="DE162" s="409">
        <v>0</v>
      </c>
      <c r="DF162" s="409">
        <v>0</v>
      </c>
      <c r="DG162" s="409">
        <v>6.3837377601907832</v>
      </c>
      <c r="DH162" s="409">
        <v>0</v>
      </c>
      <c r="DI162" s="409">
        <v>-237.10608801399576</v>
      </c>
      <c r="DJ162" s="409"/>
      <c r="DK162" s="409">
        <v>0</v>
      </c>
      <c r="DL162" s="409">
        <v>0</v>
      </c>
      <c r="DM162" s="409">
        <v>0</v>
      </c>
      <c r="DN162" s="409">
        <v>0</v>
      </c>
      <c r="DO162" s="409">
        <v>-34.668169514428087</v>
      </c>
      <c r="DP162" s="409">
        <v>-4.056224598113694</v>
      </c>
      <c r="DQ162" s="409">
        <v>0</v>
      </c>
      <c r="DR162" s="409">
        <v>-116.85196018148015</v>
      </c>
      <c r="DS162" s="409"/>
      <c r="DT162" s="409"/>
      <c r="DU162" s="409"/>
      <c r="DV162" s="409">
        <v>0</v>
      </c>
      <c r="DW162" s="409">
        <v>0</v>
      </c>
      <c r="DX162" s="409">
        <v>0</v>
      </c>
      <c r="DY162" s="409">
        <v>-262.73849000000064</v>
      </c>
      <c r="DZ162" s="409">
        <v>920.64700000000084</v>
      </c>
      <c r="EA162" s="409">
        <v>0</v>
      </c>
      <c r="EB162" s="409">
        <v>0</v>
      </c>
      <c r="EC162" s="409">
        <v>0</v>
      </c>
      <c r="ED162" s="409">
        <v>0</v>
      </c>
      <c r="EE162" s="409">
        <v>0</v>
      </c>
      <c r="EF162" s="409">
        <v>0</v>
      </c>
      <c r="EG162" s="409">
        <v>0</v>
      </c>
      <c r="EH162" s="409">
        <v>0</v>
      </c>
      <c r="EI162" s="409">
        <v>0</v>
      </c>
      <c r="EJ162" s="409">
        <v>0</v>
      </c>
      <c r="EK162" s="409">
        <v>0</v>
      </c>
      <c r="EL162" s="409">
        <v>0</v>
      </c>
      <c r="EM162" s="409">
        <v>0</v>
      </c>
      <c r="EN162" s="409">
        <v>0</v>
      </c>
      <c r="EO162" s="409">
        <v>0</v>
      </c>
      <c r="EP162" s="409">
        <v>0</v>
      </c>
      <c r="EQ162" s="409">
        <v>0</v>
      </c>
      <c r="ER162" s="409">
        <v>0</v>
      </c>
      <c r="ES162" s="409">
        <v>0</v>
      </c>
      <c r="ET162" s="409">
        <v>0</v>
      </c>
      <c r="EU162" s="409">
        <v>0</v>
      </c>
      <c r="EV162" s="409">
        <v>210</v>
      </c>
      <c r="EW162" s="409">
        <v>0</v>
      </c>
      <c r="EX162" s="409">
        <v>0</v>
      </c>
      <c r="EY162" s="409">
        <v>0</v>
      </c>
      <c r="EZ162" s="409"/>
      <c r="FA162" s="409">
        <v>0</v>
      </c>
      <c r="FB162" s="409"/>
      <c r="FC162" s="409"/>
      <c r="FD162" s="409"/>
      <c r="FE162" s="409"/>
      <c r="FF162" s="409">
        <v>0</v>
      </c>
      <c r="FG162" s="409">
        <v>0</v>
      </c>
      <c r="FH162" s="409">
        <v>0</v>
      </c>
      <c r="FI162" s="409">
        <v>0</v>
      </c>
    </row>
    <row r="163" spans="1:165">
      <c r="A163" s="409">
        <v>161</v>
      </c>
      <c r="B163" s="409" t="s">
        <v>1035</v>
      </c>
      <c r="C163" s="409" t="s">
        <v>2246</v>
      </c>
      <c r="D163" s="409" t="s">
        <v>595</v>
      </c>
      <c r="E163" s="409" t="s">
        <v>969</v>
      </c>
      <c r="F163" s="409" t="s">
        <v>1323</v>
      </c>
      <c r="G163" s="409" t="s">
        <v>1323</v>
      </c>
      <c r="H163" s="409" t="s">
        <v>1323</v>
      </c>
      <c r="I163" s="409" t="s">
        <v>1323</v>
      </c>
      <c r="J163" s="409" t="s">
        <v>2242</v>
      </c>
      <c r="K163" s="838">
        <v>44470</v>
      </c>
      <c r="L163" s="409">
        <v>843</v>
      </c>
      <c r="M163" s="409">
        <v>843</v>
      </c>
      <c r="N163" s="409">
        <v>0</v>
      </c>
      <c r="O163" s="409">
        <v>0</v>
      </c>
      <c r="P163" s="409">
        <v>0</v>
      </c>
      <c r="Q163" s="409">
        <v>0</v>
      </c>
      <c r="R163" s="409">
        <v>33.6</v>
      </c>
      <c r="S163" s="409"/>
      <c r="T163" s="409"/>
      <c r="U163" s="409">
        <v>28324.800000000003</v>
      </c>
      <c r="V163" s="409"/>
      <c r="W163" s="409">
        <v>28324.800000000003</v>
      </c>
      <c r="X163" s="409">
        <v>26773.68</v>
      </c>
      <c r="Y163" s="409">
        <v>0</v>
      </c>
      <c r="Z163" s="409">
        <v>0</v>
      </c>
      <c r="AA163" s="409">
        <v>0</v>
      </c>
      <c r="AB163" s="409">
        <v>0</v>
      </c>
      <c r="AC163" s="409">
        <v>0</v>
      </c>
      <c r="AD163" s="409">
        <v>15043.769038745078</v>
      </c>
      <c r="AE163" s="409">
        <v>13281.591460987915</v>
      </c>
      <c r="AF163" s="409"/>
      <c r="AG163" s="409"/>
      <c r="AH163" s="409"/>
      <c r="AI163" s="409">
        <v>0</v>
      </c>
      <c r="AJ163" s="409">
        <v>0</v>
      </c>
      <c r="AK163" s="409">
        <v>0</v>
      </c>
      <c r="AL163" s="409">
        <v>0</v>
      </c>
      <c r="AM163" s="409"/>
      <c r="AN163" s="409">
        <v>0</v>
      </c>
      <c r="AO163" s="409">
        <v>0</v>
      </c>
      <c r="AP163" s="409">
        <v>0</v>
      </c>
      <c r="AQ163" s="409">
        <v>0</v>
      </c>
      <c r="AR163" s="409">
        <v>0</v>
      </c>
      <c r="AS163" s="409"/>
      <c r="AT163" s="409"/>
      <c r="AU163" s="409">
        <v>0</v>
      </c>
      <c r="AV163" s="409">
        <v>0</v>
      </c>
      <c r="AW163" s="409">
        <v>0</v>
      </c>
      <c r="AX163" s="409"/>
      <c r="AY163" s="409"/>
      <c r="AZ163" s="409">
        <v>0</v>
      </c>
      <c r="BA163" s="409"/>
      <c r="BB163" s="409">
        <v>0</v>
      </c>
      <c r="BC163" s="409">
        <v>0</v>
      </c>
      <c r="BD163" s="409">
        <v>0</v>
      </c>
      <c r="BE163" s="409">
        <v>0</v>
      </c>
      <c r="BF163" s="409"/>
      <c r="BG163" s="409">
        <v>0</v>
      </c>
      <c r="BH163" s="409">
        <v>0</v>
      </c>
      <c r="BI163" s="409">
        <v>543.84</v>
      </c>
      <c r="BJ163" s="409">
        <v>2510.11</v>
      </c>
      <c r="BK163" s="409">
        <v>14335.89</v>
      </c>
      <c r="BL163" s="409">
        <v>3</v>
      </c>
      <c r="BM163" s="409"/>
      <c r="BN163" s="409"/>
      <c r="BO163" s="409"/>
      <c r="BP163" s="409"/>
      <c r="BQ163" s="409"/>
      <c r="BR163" s="409"/>
      <c r="BS163" s="409"/>
      <c r="BT163" s="409"/>
      <c r="BU163" s="409"/>
      <c r="BV163" s="409">
        <v>0</v>
      </c>
      <c r="BW163" s="409"/>
      <c r="BX163" s="409"/>
      <c r="BY163" s="409"/>
      <c r="BZ163" s="409"/>
      <c r="CA163" s="409"/>
      <c r="CB163" s="409"/>
      <c r="CC163" s="409"/>
      <c r="CD163" s="409"/>
      <c r="CE163" s="409"/>
      <c r="CF163" s="409"/>
      <c r="CG163" s="409"/>
      <c r="CH163" s="409"/>
      <c r="CI163" s="409">
        <v>26773.68</v>
      </c>
      <c r="CJ163" s="409">
        <v>-1551.1499999999978</v>
      </c>
      <c r="CK163" s="409"/>
      <c r="CL163" s="409"/>
      <c r="CM163" s="409"/>
      <c r="CN163" s="409"/>
      <c r="CO163" s="409">
        <v>-1551.12</v>
      </c>
      <c r="CP163" s="409">
        <v>0</v>
      </c>
      <c r="CQ163" s="409">
        <v>31</v>
      </c>
      <c r="CR163" s="409">
        <v>556.55876744722991</v>
      </c>
      <c r="CS163" s="409">
        <v>0</v>
      </c>
      <c r="CT163" s="409">
        <v>0</v>
      </c>
      <c r="CU163" s="409">
        <v>0</v>
      </c>
      <c r="CV163" s="409">
        <v>0</v>
      </c>
      <c r="CW163" s="409"/>
      <c r="CX163" s="409"/>
      <c r="CY163" s="409"/>
      <c r="CZ163" s="409">
        <v>515.67696602117758</v>
      </c>
      <c r="DA163" s="409">
        <v>0</v>
      </c>
      <c r="DB163" s="409">
        <v>0</v>
      </c>
      <c r="DC163" s="409"/>
      <c r="DD163" s="409"/>
      <c r="DE163" s="409">
        <v>0</v>
      </c>
      <c r="DF163" s="409">
        <v>0</v>
      </c>
      <c r="DG163" s="409">
        <v>0</v>
      </c>
      <c r="DH163" s="409">
        <v>0</v>
      </c>
      <c r="DI163" s="409">
        <v>0</v>
      </c>
      <c r="DJ163" s="409"/>
      <c r="DK163" s="409">
        <v>0</v>
      </c>
      <c r="DL163" s="409">
        <v>0</v>
      </c>
      <c r="DM163" s="409"/>
      <c r="DN163" s="409">
        <v>0</v>
      </c>
      <c r="DO163" s="409">
        <v>0</v>
      </c>
      <c r="DP163" s="409">
        <v>0</v>
      </c>
      <c r="DQ163" s="409">
        <v>0</v>
      </c>
      <c r="DR163" s="409">
        <v>40.881801426052682</v>
      </c>
      <c r="DS163" s="409"/>
      <c r="DT163" s="409"/>
      <c r="DU163" s="409">
        <v>13281.591460987915</v>
      </c>
      <c r="DV163" s="409"/>
      <c r="DW163" s="409">
        <v>0</v>
      </c>
      <c r="DX163" s="409">
        <v>0</v>
      </c>
      <c r="DY163" s="409">
        <v>-1551.1200000000026</v>
      </c>
      <c r="DZ163" s="409"/>
      <c r="EA163" s="409">
        <v>0</v>
      </c>
      <c r="EB163" s="409"/>
      <c r="EC163" s="409">
        <v>-2111.1485646837755</v>
      </c>
      <c r="ED163" s="409"/>
      <c r="EE163" s="409">
        <v>0</v>
      </c>
      <c r="EF163" s="409">
        <v>0</v>
      </c>
      <c r="EG163" s="409"/>
      <c r="EH163" s="409">
        <v>0</v>
      </c>
      <c r="EI163" s="409">
        <v>0</v>
      </c>
      <c r="EJ163" s="409">
        <v>0</v>
      </c>
      <c r="EK163" s="409">
        <v>0</v>
      </c>
      <c r="EL163" s="409">
        <v>0</v>
      </c>
      <c r="EM163" s="409"/>
      <c r="EN163" s="409"/>
      <c r="EO163" s="409">
        <v>0</v>
      </c>
      <c r="EP163" s="409">
        <v>0</v>
      </c>
      <c r="EQ163" s="409"/>
      <c r="ER163" s="409">
        <v>0</v>
      </c>
      <c r="ES163" s="409"/>
      <c r="ET163" s="409">
        <v>0</v>
      </c>
      <c r="EU163" s="409"/>
      <c r="EV163" s="409">
        <v>210</v>
      </c>
      <c r="EW163" s="409"/>
      <c r="EX163" s="409"/>
      <c r="EY163" s="409"/>
      <c r="EZ163" s="409"/>
      <c r="FA163" s="409">
        <v>0</v>
      </c>
      <c r="FB163" s="409"/>
      <c r="FC163" s="409"/>
      <c r="FD163" s="409"/>
      <c r="FE163" s="409"/>
      <c r="FF163" s="409">
        <v>0</v>
      </c>
      <c r="FG163" s="409">
        <v>0</v>
      </c>
      <c r="FH163" s="409">
        <v>0</v>
      </c>
      <c r="FI163" s="409">
        <v>0</v>
      </c>
    </row>
    <row r="164" spans="1:165">
      <c r="A164" s="409">
        <v>162</v>
      </c>
      <c r="B164" s="409" t="s">
        <v>1035</v>
      </c>
      <c r="C164" s="409" t="s">
        <v>2241</v>
      </c>
      <c r="D164" s="409" t="s">
        <v>1992</v>
      </c>
      <c r="E164" s="409" t="s">
        <v>997</v>
      </c>
      <c r="F164" s="409" t="s">
        <v>1323</v>
      </c>
      <c r="G164" s="409" t="s">
        <v>1323</v>
      </c>
      <c r="H164" s="409" t="s">
        <v>1323</v>
      </c>
      <c r="I164" s="409" t="s">
        <v>1323</v>
      </c>
      <c r="J164" s="409" t="s">
        <v>2242</v>
      </c>
      <c r="K164" s="838">
        <v>44470</v>
      </c>
      <c r="L164" s="409">
        <v>0</v>
      </c>
      <c r="M164" s="409">
        <v>0</v>
      </c>
      <c r="N164" s="409">
        <v>62.427999999999997</v>
      </c>
      <c r="O164" s="409">
        <v>62.427999999999997</v>
      </c>
      <c r="P164" s="409">
        <v>62.427999999999997</v>
      </c>
      <c r="Q164" s="409">
        <v>62.427999999999997</v>
      </c>
      <c r="R164" s="409"/>
      <c r="S164" s="409">
        <v>358.62</v>
      </c>
      <c r="T164" s="409">
        <v>273.74</v>
      </c>
      <c r="U164" s="409"/>
      <c r="V164" s="409">
        <v>39476.970079999999</v>
      </c>
      <c r="W164" s="409">
        <v>39476.970079999999</v>
      </c>
      <c r="X164" s="409">
        <v>38277.103919999994</v>
      </c>
      <c r="Y164" s="409">
        <v>0</v>
      </c>
      <c r="Z164" s="409">
        <v>3769.0538041464533</v>
      </c>
      <c r="AA164" s="409">
        <v>0</v>
      </c>
      <c r="AB164" s="409">
        <v>0</v>
      </c>
      <c r="AC164" s="409">
        <v>0</v>
      </c>
      <c r="AD164" s="409">
        <v>5374.333982887757</v>
      </c>
      <c r="AE164" s="409">
        <v>12365.687800900856</v>
      </c>
      <c r="AF164" s="409">
        <v>17088.994503911523</v>
      </c>
      <c r="AG164" s="409">
        <v>0</v>
      </c>
      <c r="AH164" s="409">
        <v>0</v>
      </c>
      <c r="AI164" s="409">
        <v>0</v>
      </c>
      <c r="AJ164" s="409">
        <v>0</v>
      </c>
      <c r="AK164" s="409">
        <v>0</v>
      </c>
      <c r="AL164" s="409">
        <v>582.86207107107589</v>
      </c>
      <c r="AM164" s="409"/>
      <c r="AN164" s="409">
        <v>66.49152411882018</v>
      </c>
      <c r="AO164" s="409">
        <v>0</v>
      </c>
      <c r="AP164" s="409">
        <v>0</v>
      </c>
      <c r="AQ164" s="409">
        <v>0</v>
      </c>
      <c r="AR164" s="409">
        <v>0</v>
      </c>
      <c r="AS164" s="409">
        <v>0</v>
      </c>
      <c r="AT164" s="409">
        <v>0</v>
      </c>
      <c r="AU164" s="409">
        <v>0</v>
      </c>
      <c r="AV164" s="409">
        <v>0</v>
      </c>
      <c r="AW164" s="409">
        <v>0</v>
      </c>
      <c r="AX164" s="409">
        <v>0</v>
      </c>
      <c r="AY164" s="409">
        <v>0</v>
      </c>
      <c r="AZ164" s="409">
        <v>0</v>
      </c>
      <c r="BA164" s="409"/>
      <c r="BB164" s="409">
        <v>0</v>
      </c>
      <c r="BC164" s="409">
        <v>0</v>
      </c>
      <c r="BD164" s="409">
        <v>0</v>
      </c>
      <c r="BE164" s="409">
        <v>0</v>
      </c>
      <c r="BF164" s="409">
        <v>0</v>
      </c>
      <c r="BG164" s="409">
        <v>229.6367931929708</v>
      </c>
      <c r="BH164" s="409">
        <v>0</v>
      </c>
      <c r="BI164" s="409">
        <v>312.61</v>
      </c>
      <c r="BJ164" s="409">
        <v>1443.76</v>
      </c>
      <c r="BK164" s="409">
        <v>10713.5</v>
      </c>
      <c r="BL164" s="409">
        <v>68</v>
      </c>
      <c r="BM164" s="409"/>
      <c r="BN164" s="409"/>
      <c r="BO164" s="409"/>
      <c r="BP164" s="409"/>
      <c r="BQ164" s="409"/>
      <c r="BR164" s="409"/>
      <c r="BS164" s="409"/>
      <c r="BT164" s="409"/>
      <c r="BU164" s="409"/>
      <c r="BV164" s="409">
        <v>17318.631297104494</v>
      </c>
      <c r="BW164" s="409"/>
      <c r="BX164" s="409"/>
      <c r="BY164" s="409"/>
      <c r="BZ164" s="409"/>
      <c r="CA164" s="409"/>
      <c r="CB164" s="409"/>
      <c r="CC164" s="409"/>
      <c r="CD164" s="409"/>
      <c r="CE164" s="409"/>
      <c r="CF164" s="409"/>
      <c r="CG164" s="409"/>
      <c r="CH164" s="409"/>
      <c r="CI164" s="409">
        <v>38278.330199999997</v>
      </c>
      <c r="CJ164" s="409">
        <v>-1198.6698800000013</v>
      </c>
      <c r="CK164" s="409"/>
      <c r="CL164" s="409"/>
      <c r="CM164" s="409"/>
      <c r="CN164" s="409"/>
      <c r="CO164" s="409">
        <v>-2011.4301600000017</v>
      </c>
      <c r="CP164" s="409">
        <v>811.56399999999996</v>
      </c>
      <c r="CQ164" s="409">
        <v>31</v>
      </c>
      <c r="CR164" s="409">
        <v>765.48465920867966</v>
      </c>
      <c r="CS164" s="409">
        <v>0</v>
      </c>
      <c r="CT164" s="409">
        <v>0</v>
      </c>
      <c r="CU164" s="409">
        <v>0</v>
      </c>
      <c r="CV164" s="409">
        <v>0</v>
      </c>
      <c r="CW164" s="409">
        <v>0</v>
      </c>
      <c r="CX164" s="409">
        <v>0</v>
      </c>
      <c r="CY164" s="409">
        <v>0</v>
      </c>
      <c r="CZ164" s="409">
        <v>184.2237962802219</v>
      </c>
      <c r="DA164" s="409">
        <v>0</v>
      </c>
      <c r="DB164" s="409">
        <v>0</v>
      </c>
      <c r="DC164" s="409">
        <v>920.57935700403323</v>
      </c>
      <c r="DD164" s="409">
        <v>0</v>
      </c>
      <c r="DE164" s="409">
        <v>0</v>
      </c>
      <c r="DF164" s="409">
        <v>0</v>
      </c>
      <c r="DG164" s="409">
        <v>12.370469858462059</v>
      </c>
      <c r="DH164" s="409">
        <v>0</v>
      </c>
      <c r="DI164" s="409">
        <v>-240.24429547914633</v>
      </c>
      <c r="DJ164" s="409"/>
      <c r="DK164" s="409">
        <v>0</v>
      </c>
      <c r="DL164" s="409">
        <v>0</v>
      </c>
      <c r="DM164" s="409">
        <v>0</v>
      </c>
      <c r="DN164" s="409">
        <v>0</v>
      </c>
      <c r="DO164" s="409">
        <v>-30.560506169907967</v>
      </c>
      <c r="DP164" s="409">
        <v>-4.3870722269131406</v>
      </c>
      <c r="DQ164" s="409">
        <v>0</v>
      </c>
      <c r="DR164" s="409">
        <v>-76.497090058069375</v>
      </c>
      <c r="DS164" s="409"/>
      <c r="DT164" s="409"/>
      <c r="DU164" s="409"/>
      <c r="DV164" s="409">
        <v>12365.687800900856</v>
      </c>
      <c r="DW164" s="409">
        <v>0</v>
      </c>
      <c r="DX164" s="409">
        <v>0</v>
      </c>
      <c r="DY164" s="409">
        <v>-2011.4301599999999</v>
      </c>
      <c r="DZ164" s="409">
        <v>811.56399999999849</v>
      </c>
      <c r="EA164" s="409">
        <v>0</v>
      </c>
      <c r="EB164" s="409">
        <v>0</v>
      </c>
      <c r="EC164" s="409">
        <v>-1965.5629469465784</v>
      </c>
      <c r="ED164" s="409">
        <v>0</v>
      </c>
      <c r="EE164" s="409">
        <v>0</v>
      </c>
      <c r="EF164" s="409">
        <v>0</v>
      </c>
      <c r="EG164" s="409">
        <v>0</v>
      </c>
      <c r="EH164" s="409">
        <v>0</v>
      </c>
      <c r="EI164" s="409">
        <v>0</v>
      </c>
      <c r="EJ164" s="409">
        <v>0</v>
      </c>
      <c r="EK164" s="409">
        <v>0</v>
      </c>
      <c r="EL164" s="409">
        <v>0</v>
      </c>
      <c r="EM164" s="409">
        <v>0</v>
      </c>
      <c r="EN164" s="409">
        <v>0</v>
      </c>
      <c r="EO164" s="409">
        <v>0</v>
      </c>
      <c r="EP164" s="409">
        <v>0</v>
      </c>
      <c r="EQ164" s="409">
        <v>0</v>
      </c>
      <c r="ER164" s="409">
        <v>0</v>
      </c>
      <c r="ES164" s="409">
        <v>0</v>
      </c>
      <c r="ET164" s="409">
        <v>0</v>
      </c>
      <c r="EU164" s="409">
        <v>0</v>
      </c>
      <c r="EV164" s="409">
        <v>210</v>
      </c>
      <c r="EW164" s="409">
        <v>0</v>
      </c>
      <c r="EX164" s="409">
        <v>0</v>
      </c>
      <c r="EY164" s="409">
        <v>0</v>
      </c>
      <c r="EZ164" s="409"/>
      <c r="FA164" s="409">
        <v>0</v>
      </c>
      <c r="FB164" s="409"/>
      <c r="FC164" s="409"/>
      <c r="FD164" s="409"/>
      <c r="FE164" s="409"/>
      <c r="FF164" s="409">
        <v>0</v>
      </c>
      <c r="FG164" s="409">
        <v>0</v>
      </c>
      <c r="FH164" s="409">
        <v>0</v>
      </c>
      <c r="FI164" s="409">
        <v>0</v>
      </c>
    </row>
    <row r="165" spans="1:165">
      <c r="A165" s="409">
        <v>163</v>
      </c>
      <c r="B165" s="409" t="s">
        <v>2240</v>
      </c>
      <c r="C165" s="409" t="s">
        <v>2241</v>
      </c>
      <c r="D165" s="409" t="s">
        <v>1992</v>
      </c>
      <c r="E165" s="409" t="s">
        <v>997</v>
      </c>
      <c r="F165" s="409" t="s">
        <v>1323</v>
      </c>
      <c r="G165" s="409" t="s">
        <v>1323</v>
      </c>
      <c r="H165" s="409" t="s">
        <v>1323</v>
      </c>
      <c r="I165" s="409" t="s">
        <v>1323</v>
      </c>
      <c r="J165" s="409" t="s">
        <v>2242</v>
      </c>
      <c r="K165" s="838">
        <v>44470</v>
      </c>
      <c r="L165" s="409">
        <v>0</v>
      </c>
      <c r="M165" s="409">
        <v>0</v>
      </c>
      <c r="N165" s="409">
        <v>0.1</v>
      </c>
      <c r="O165" s="409">
        <v>0.1</v>
      </c>
      <c r="P165" s="409">
        <v>0.1</v>
      </c>
      <c r="Q165" s="409">
        <v>0.1</v>
      </c>
      <c r="R165" s="409"/>
      <c r="S165" s="409">
        <v>358.62</v>
      </c>
      <c r="T165" s="409">
        <v>273.74</v>
      </c>
      <c r="U165" s="409"/>
      <c r="V165" s="409">
        <v>63.236000000000004</v>
      </c>
      <c r="W165" s="409">
        <v>63.236000000000004</v>
      </c>
      <c r="X165" s="409">
        <v>61.314000000000007</v>
      </c>
      <c r="Y165" s="409">
        <v>0</v>
      </c>
      <c r="Z165" s="409">
        <v>6.03744121891852</v>
      </c>
      <c r="AA165" s="409">
        <v>0</v>
      </c>
      <c r="AB165" s="409">
        <v>0</v>
      </c>
      <c r="AC165" s="409">
        <v>0</v>
      </c>
      <c r="AD165" s="409">
        <v>8.6088517698592906</v>
      </c>
      <c r="AE165" s="409">
        <v>19.807919204364801</v>
      </c>
      <c r="AF165" s="409">
        <v>27.373925968974699</v>
      </c>
      <c r="AG165" s="409">
        <v>0</v>
      </c>
      <c r="AH165" s="409">
        <v>0</v>
      </c>
      <c r="AI165" s="409">
        <v>0</v>
      </c>
      <c r="AJ165" s="409">
        <v>0</v>
      </c>
      <c r="AK165" s="409">
        <v>0</v>
      </c>
      <c r="AL165" s="409">
        <v>0.93365488414025111</v>
      </c>
      <c r="AM165" s="409"/>
      <c r="AN165" s="409">
        <v>0.10650913711607</v>
      </c>
      <c r="AO165" s="409">
        <v>0</v>
      </c>
      <c r="AP165" s="409">
        <v>0</v>
      </c>
      <c r="AQ165" s="409">
        <v>0</v>
      </c>
      <c r="AR165" s="409">
        <v>0</v>
      </c>
      <c r="AS165" s="409">
        <v>0</v>
      </c>
      <c r="AT165" s="409">
        <v>0</v>
      </c>
      <c r="AU165" s="409">
        <v>0</v>
      </c>
      <c r="AV165" s="409">
        <v>0</v>
      </c>
      <c r="AW165" s="409">
        <v>0</v>
      </c>
      <c r="AX165" s="409">
        <v>0</v>
      </c>
      <c r="AY165" s="409">
        <v>0</v>
      </c>
      <c r="AZ165" s="409">
        <v>0</v>
      </c>
      <c r="BA165" s="409"/>
      <c r="BB165" s="409">
        <v>0</v>
      </c>
      <c r="BC165" s="409">
        <v>0</v>
      </c>
      <c r="BD165" s="409">
        <v>0</v>
      </c>
      <c r="BE165" s="409">
        <v>0</v>
      </c>
      <c r="BF165" s="409">
        <v>0</v>
      </c>
      <c r="BG165" s="409">
        <v>0.36784262381138405</v>
      </c>
      <c r="BH165" s="409">
        <v>0</v>
      </c>
      <c r="BI165" s="409">
        <v>0.62</v>
      </c>
      <c r="BJ165" s="409">
        <v>2.89</v>
      </c>
      <c r="BK165" s="409">
        <v>199.33</v>
      </c>
      <c r="BL165" s="409">
        <v>1</v>
      </c>
      <c r="BM165" s="409"/>
      <c r="BN165" s="409"/>
      <c r="BO165" s="409"/>
      <c r="BP165" s="409"/>
      <c r="BQ165" s="409"/>
      <c r="BR165" s="409"/>
      <c r="BS165" s="409"/>
      <c r="BT165" s="409"/>
      <c r="BU165" s="409"/>
      <c r="BV165" s="409">
        <v>27.741768592786084</v>
      </c>
      <c r="BW165" s="409"/>
      <c r="BX165" s="409"/>
      <c r="BY165" s="409"/>
      <c r="BZ165" s="409"/>
      <c r="CA165" s="409"/>
      <c r="CB165" s="409"/>
      <c r="CC165" s="409"/>
      <c r="CD165" s="409"/>
      <c r="CE165" s="409"/>
      <c r="CF165" s="409"/>
      <c r="CG165" s="409"/>
      <c r="CH165" s="409"/>
      <c r="CI165" s="409">
        <v>61.314000000000007</v>
      </c>
      <c r="CJ165" s="409">
        <v>-1.9519999999999911</v>
      </c>
      <c r="CK165" s="409"/>
      <c r="CL165" s="409"/>
      <c r="CM165" s="409"/>
      <c r="CN165" s="409"/>
      <c r="CO165" s="409">
        <v>-3.2220000000000031</v>
      </c>
      <c r="CP165" s="409">
        <v>1.3</v>
      </c>
      <c r="CQ165" s="409">
        <v>31</v>
      </c>
      <c r="CR165" s="409">
        <v>1.2261880233367748</v>
      </c>
      <c r="CS165" s="409">
        <v>0</v>
      </c>
      <c r="CT165" s="409">
        <v>0</v>
      </c>
      <c r="CU165" s="409">
        <v>0</v>
      </c>
      <c r="CV165" s="409">
        <v>0</v>
      </c>
      <c r="CW165" s="409">
        <v>0</v>
      </c>
      <c r="CX165" s="409">
        <v>0</v>
      </c>
      <c r="CY165" s="409">
        <v>0</v>
      </c>
      <c r="CZ165" s="409">
        <v>0.29509802697543108</v>
      </c>
      <c r="DA165" s="409">
        <v>0</v>
      </c>
      <c r="DB165" s="409">
        <v>0</v>
      </c>
      <c r="DC165" s="409">
        <v>1.4746257400590004</v>
      </c>
      <c r="DD165" s="409">
        <v>0</v>
      </c>
      <c r="DE165" s="409">
        <v>0</v>
      </c>
      <c r="DF165" s="409">
        <v>0</v>
      </c>
      <c r="DG165" s="409">
        <v>1.9815579320916987E-2</v>
      </c>
      <c r="DH165" s="409">
        <v>0</v>
      </c>
      <c r="DI165" s="409">
        <v>-0.38483420176707028</v>
      </c>
      <c r="DJ165" s="409"/>
      <c r="DK165" s="409">
        <v>0</v>
      </c>
      <c r="DL165" s="409">
        <v>0</v>
      </c>
      <c r="DM165" s="409">
        <v>0</v>
      </c>
      <c r="DN165" s="409">
        <v>0</v>
      </c>
      <c r="DO165" s="409">
        <v>-4.8953203962817993E-2</v>
      </c>
      <c r="DP165" s="409">
        <v>-7.0274111406950918E-3</v>
      </c>
      <c r="DQ165" s="409">
        <v>0</v>
      </c>
      <c r="DR165" s="409">
        <v>-0.12253650614799351</v>
      </c>
      <c r="DS165" s="409"/>
      <c r="DT165" s="409"/>
      <c r="DU165" s="409"/>
      <c r="DV165" s="409">
        <v>19.807919204364801</v>
      </c>
      <c r="DW165" s="409">
        <v>0</v>
      </c>
      <c r="DX165" s="409">
        <v>0</v>
      </c>
      <c r="DY165" s="409">
        <v>-3.2220000000000013</v>
      </c>
      <c r="DZ165" s="409">
        <v>1.3000000000000007</v>
      </c>
      <c r="EA165" s="409">
        <v>0</v>
      </c>
      <c r="EB165" s="409">
        <v>0</v>
      </c>
      <c r="EC165" s="409">
        <v>-3.1485278191622008</v>
      </c>
      <c r="ED165" s="409">
        <v>0</v>
      </c>
      <c r="EE165" s="409">
        <v>0</v>
      </c>
      <c r="EF165" s="409">
        <v>0</v>
      </c>
      <c r="EG165" s="409">
        <v>0</v>
      </c>
      <c r="EH165" s="409">
        <v>0</v>
      </c>
      <c r="EI165" s="409">
        <v>0</v>
      </c>
      <c r="EJ165" s="409">
        <v>0</v>
      </c>
      <c r="EK165" s="409">
        <v>0</v>
      </c>
      <c r="EL165" s="409">
        <v>0</v>
      </c>
      <c r="EM165" s="409">
        <v>0</v>
      </c>
      <c r="EN165" s="409">
        <v>0</v>
      </c>
      <c r="EO165" s="409">
        <v>0</v>
      </c>
      <c r="EP165" s="409">
        <v>0</v>
      </c>
      <c r="EQ165" s="409">
        <v>0</v>
      </c>
      <c r="ER165" s="409">
        <v>0</v>
      </c>
      <c r="ES165" s="409">
        <v>0</v>
      </c>
      <c r="ET165" s="409">
        <v>0</v>
      </c>
      <c r="EU165" s="409">
        <v>0</v>
      </c>
      <c r="EV165" s="409">
        <v>210</v>
      </c>
      <c r="EW165" s="409">
        <v>0</v>
      </c>
      <c r="EX165" s="409">
        <v>0</v>
      </c>
      <c r="EY165" s="409">
        <v>0</v>
      </c>
      <c r="EZ165" s="409"/>
      <c r="FA165" s="409">
        <v>0</v>
      </c>
      <c r="FB165" s="409"/>
      <c r="FC165" s="409"/>
      <c r="FD165" s="409"/>
      <c r="FE165" s="409"/>
      <c r="FF165" s="409">
        <v>0</v>
      </c>
      <c r="FG165" s="409">
        <v>0</v>
      </c>
      <c r="FH165" s="409">
        <v>0</v>
      </c>
      <c r="FI165" s="409">
        <v>0</v>
      </c>
    </row>
    <row r="166" spans="1:165">
      <c r="A166" s="409">
        <v>164</v>
      </c>
      <c r="B166" s="409" t="s">
        <v>1035</v>
      </c>
      <c r="C166" s="409" t="s">
        <v>2246</v>
      </c>
      <c r="D166" s="409" t="s">
        <v>595</v>
      </c>
      <c r="E166" s="409" t="s">
        <v>997</v>
      </c>
      <c r="F166" s="409" t="s">
        <v>1323</v>
      </c>
      <c r="G166" s="409" t="s">
        <v>1323</v>
      </c>
      <c r="H166" s="409" t="s">
        <v>1323</v>
      </c>
      <c r="I166" s="409" t="s">
        <v>972</v>
      </c>
      <c r="J166" s="409" t="s">
        <v>2242</v>
      </c>
      <c r="K166" s="838">
        <v>44470</v>
      </c>
      <c r="L166" s="409">
        <v>0</v>
      </c>
      <c r="M166" s="409">
        <v>0</v>
      </c>
      <c r="N166" s="409">
        <v>0.30399999999999999</v>
      </c>
      <c r="O166" s="409">
        <v>0.30399999999999999</v>
      </c>
      <c r="P166" s="409">
        <v>0.30399999999999999</v>
      </c>
      <c r="Q166" s="409">
        <v>0.30399999999999999</v>
      </c>
      <c r="R166" s="409"/>
      <c r="S166" s="409">
        <v>1856.88</v>
      </c>
      <c r="T166" s="409">
        <v>273.74</v>
      </c>
      <c r="U166" s="409"/>
      <c r="V166" s="409">
        <v>647.70848000000001</v>
      </c>
      <c r="W166" s="409">
        <v>647.70848000000001</v>
      </c>
      <c r="X166" s="409">
        <v>593.49007999999992</v>
      </c>
      <c r="Y166" s="409">
        <v>0</v>
      </c>
      <c r="Z166" s="409">
        <v>15.967824535795692</v>
      </c>
      <c r="AA166" s="409">
        <v>0</v>
      </c>
      <c r="AB166" s="409">
        <v>0</v>
      </c>
      <c r="AC166" s="409">
        <v>0</v>
      </c>
      <c r="AD166" s="409">
        <v>148.98792860930519</v>
      </c>
      <c r="AE166" s="409">
        <v>395.92398237198893</v>
      </c>
      <c r="AF166" s="409">
        <v>83.216734945683072</v>
      </c>
      <c r="AG166" s="409">
        <v>0</v>
      </c>
      <c r="AH166" s="409">
        <v>0</v>
      </c>
      <c r="AI166" s="409">
        <v>0</v>
      </c>
      <c r="AJ166" s="409">
        <v>0</v>
      </c>
      <c r="AK166" s="409">
        <v>0</v>
      </c>
      <c r="AL166" s="409">
        <v>2.8383108477863632</v>
      </c>
      <c r="AM166" s="409"/>
      <c r="AN166" s="409">
        <v>0.26389872469087744</v>
      </c>
      <c r="AO166" s="409">
        <v>0</v>
      </c>
      <c r="AP166" s="409">
        <v>0</v>
      </c>
      <c r="AQ166" s="409">
        <v>0</v>
      </c>
      <c r="AR166" s="409">
        <v>0</v>
      </c>
      <c r="AS166" s="409">
        <v>0</v>
      </c>
      <c r="AT166" s="409">
        <v>0</v>
      </c>
      <c r="AU166" s="409">
        <v>0</v>
      </c>
      <c r="AV166" s="409">
        <v>0</v>
      </c>
      <c r="AW166" s="409">
        <v>0</v>
      </c>
      <c r="AX166" s="409">
        <v>0</v>
      </c>
      <c r="AY166" s="409">
        <v>0</v>
      </c>
      <c r="AZ166" s="409">
        <v>0</v>
      </c>
      <c r="BA166" s="409"/>
      <c r="BB166" s="409">
        <v>0</v>
      </c>
      <c r="BC166" s="409">
        <v>0</v>
      </c>
      <c r="BD166" s="409">
        <v>0</v>
      </c>
      <c r="BE166" s="409">
        <v>0</v>
      </c>
      <c r="BF166" s="409">
        <v>0</v>
      </c>
      <c r="BG166" s="409">
        <v>0.50869106540008335</v>
      </c>
      <c r="BH166" s="409">
        <v>0</v>
      </c>
      <c r="BI166" s="409">
        <v>0</v>
      </c>
      <c r="BJ166" s="409">
        <v>0</v>
      </c>
      <c r="BK166" s="409">
        <v>0</v>
      </c>
      <c r="BL166" s="409">
        <v>0</v>
      </c>
      <c r="BM166" s="409"/>
      <c r="BN166" s="409"/>
      <c r="BO166" s="409"/>
      <c r="BP166" s="409"/>
      <c r="BQ166" s="409"/>
      <c r="BR166" s="409"/>
      <c r="BS166" s="409"/>
      <c r="BT166" s="409"/>
      <c r="BU166" s="409"/>
      <c r="BV166" s="409">
        <v>83.725426011083158</v>
      </c>
      <c r="BW166" s="409"/>
      <c r="BX166" s="409"/>
      <c r="BY166" s="409"/>
      <c r="BZ166" s="409"/>
      <c r="CA166" s="409"/>
      <c r="CB166" s="409"/>
      <c r="CC166" s="409"/>
      <c r="CD166" s="409"/>
      <c r="CE166" s="409"/>
      <c r="CF166" s="409"/>
      <c r="CG166" s="409"/>
      <c r="CH166" s="409"/>
      <c r="CI166" s="409">
        <v>585.68100000000004</v>
      </c>
      <c r="CJ166" s="409">
        <v>-62.057479999999941</v>
      </c>
      <c r="CK166" s="409"/>
      <c r="CL166" s="409"/>
      <c r="CM166" s="409"/>
      <c r="CN166" s="409"/>
      <c r="CO166" s="409">
        <v>-58.170400000000043</v>
      </c>
      <c r="CP166" s="409">
        <v>3.952</v>
      </c>
      <c r="CQ166" s="409">
        <v>31</v>
      </c>
      <c r="CR166" s="409">
        <v>8.7181653185971868</v>
      </c>
      <c r="CS166" s="409">
        <v>0</v>
      </c>
      <c r="CT166" s="409">
        <v>0</v>
      </c>
      <c r="CU166" s="409">
        <v>0</v>
      </c>
      <c r="CV166" s="409">
        <v>0</v>
      </c>
      <c r="CW166" s="409">
        <v>0</v>
      </c>
      <c r="CX166" s="409">
        <v>0</v>
      </c>
      <c r="CY166" s="409">
        <v>0</v>
      </c>
      <c r="CZ166" s="409">
        <v>5.1070740850355492</v>
      </c>
      <c r="DA166" s="409">
        <v>0</v>
      </c>
      <c r="DB166" s="409">
        <v>0</v>
      </c>
      <c r="DC166" s="409">
        <v>4.4828622497793731</v>
      </c>
      <c r="DD166" s="409">
        <v>0</v>
      </c>
      <c r="DE166" s="409">
        <v>0</v>
      </c>
      <c r="DF166" s="409">
        <v>0</v>
      </c>
      <c r="DG166" s="409">
        <v>2.7403045497648937E-2</v>
      </c>
      <c r="DH166" s="409">
        <v>0</v>
      </c>
      <c r="DI166" s="409">
        <v>-1.0178094968335429</v>
      </c>
      <c r="DJ166" s="409"/>
      <c r="DK166" s="409">
        <v>0</v>
      </c>
      <c r="DL166" s="409">
        <v>0</v>
      </c>
      <c r="DM166" s="409">
        <v>0</v>
      </c>
      <c r="DN166" s="409">
        <v>0</v>
      </c>
      <c r="DO166" s="409">
        <v>-0.14881774004696702</v>
      </c>
      <c r="DP166" s="409">
        <v>-1.7411884915440268E-2</v>
      </c>
      <c r="DQ166" s="409">
        <v>0</v>
      </c>
      <c r="DR166" s="409">
        <v>0.28486506008056534</v>
      </c>
      <c r="DS166" s="409"/>
      <c r="DT166" s="409"/>
      <c r="DU166" s="409"/>
      <c r="DV166" s="409">
        <v>395.92398237198893</v>
      </c>
      <c r="DW166" s="409">
        <v>0</v>
      </c>
      <c r="DX166" s="409">
        <v>0</v>
      </c>
      <c r="DY166" s="409">
        <v>-58.170400000000086</v>
      </c>
      <c r="DZ166" s="409">
        <v>3.9519999999999982</v>
      </c>
      <c r="EA166" s="409">
        <v>0</v>
      </c>
      <c r="EB166" s="409">
        <v>0</v>
      </c>
      <c r="EC166" s="409">
        <v>-62.933297531673134</v>
      </c>
      <c r="ED166" s="409">
        <v>0</v>
      </c>
      <c r="EE166" s="409">
        <v>0</v>
      </c>
      <c r="EF166" s="409">
        <v>0</v>
      </c>
      <c r="EG166" s="409">
        <v>0</v>
      </c>
      <c r="EH166" s="409">
        <v>0</v>
      </c>
      <c r="EI166" s="409">
        <v>0</v>
      </c>
      <c r="EJ166" s="409">
        <v>0</v>
      </c>
      <c r="EK166" s="409">
        <v>0</v>
      </c>
      <c r="EL166" s="409">
        <v>0</v>
      </c>
      <c r="EM166" s="409">
        <v>0</v>
      </c>
      <c r="EN166" s="409">
        <v>0</v>
      </c>
      <c r="EO166" s="409">
        <v>0</v>
      </c>
      <c r="EP166" s="409">
        <v>0</v>
      </c>
      <c r="EQ166" s="409">
        <v>0</v>
      </c>
      <c r="ER166" s="409">
        <v>0</v>
      </c>
      <c r="ES166" s="409">
        <v>0</v>
      </c>
      <c r="ET166" s="409">
        <v>0</v>
      </c>
      <c r="EU166" s="409">
        <v>0</v>
      </c>
      <c r="EV166" s="409">
        <v>210</v>
      </c>
      <c r="EW166" s="409">
        <v>0</v>
      </c>
      <c r="EX166" s="409">
        <v>0</v>
      </c>
      <c r="EY166" s="409">
        <v>0</v>
      </c>
      <c r="EZ166" s="409"/>
      <c r="FA166" s="409">
        <v>0</v>
      </c>
      <c r="FB166" s="409"/>
      <c r="FC166" s="409"/>
      <c r="FD166" s="409"/>
      <c r="FE166" s="409"/>
      <c r="FF166" s="409">
        <v>0</v>
      </c>
      <c r="FG166" s="409">
        <v>0</v>
      </c>
      <c r="FH166" s="409">
        <v>0</v>
      </c>
      <c r="FI166" s="409">
        <v>0</v>
      </c>
    </row>
    <row r="167" spans="1:165">
      <c r="A167" s="409">
        <v>165</v>
      </c>
      <c r="B167" s="409" t="s">
        <v>1035</v>
      </c>
      <c r="C167" s="409" t="s">
        <v>2246</v>
      </c>
      <c r="D167" s="409" t="s">
        <v>595</v>
      </c>
      <c r="E167" s="409" t="s">
        <v>997</v>
      </c>
      <c r="F167" s="409" t="s">
        <v>1323</v>
      </c>
      <c r="G167" s="409" t="s">
        <v>1323</v>
      </c>
      <c r="H167" s="409" t="s">
        <v>1323</v>
      </c>
      <c r="I167" s="409" t="s">
        <v>2234</v>
      </c>
      <c r="J167" s="409" t="s">
        <v>2242</v>
      </c>
      <c r="K167" s="838">
        <v>44470</v>
      </c>
      <c r="L167" s="409">
        <v>0</v>
      </c>
      <c r="M167" s="409">
        <v>0</v>
      </c>
      <c r="N167" s="409">
        <v>25.58</v>
      </c>
      <c r="O167" s="409">
        <v>25.58</v>
      </c>
      <c r="P167" s="409">
        <v>25.58</v>
      </c>
      <c r="Q167" s="409">
        <v>25.58</v>
      </c>
      <c r="R167" s="409"/>
      <c r="S167" s="409">
        <v>64.400000000000006</v>
      </c>
      <c r="T167" s="409">
        <v>273.74</v>
      </c>
      <c r="U167" s="409"/>
      <c r="V167" s="409">
        <v>8649.6211999999996</v>
      </c>
      <c r="W167" s="409">
        <v>8649.6211999999996</v>
      </c>
      <c r="X167" s="409">
        <v>8887.259399999999</v>
      </c>
      <c r="Y167" s="409">
        <v>0</v>
      </c>
      <c r="Z167" s="409">
        <v>1343.6083935054403</v>
      </c>
      <c r="AA167" s="409">
        <v>0</v>
      </c>
      <c r="AB167" s="409">
        <v>0</v>
      </c>
      <c r="AC167" s="409">
        <v>0</v>
      </c>
      <c r="AD167" s="409">
        <v>0</v>
      </c>
      <c r="AE167" s="409">
        <v>0</v>
      </c>
      <c r="AF167" s="409">
        <v>7002.2502628637267</v>
      </c>
      <c r="AG167" s="409">
        <v>0</v>
      </c>
      <c r="AH167" s="409">
        <v>0</v>
      </c>
      <c r="AI167" s="409">
        <v>0</v>
      </c>
      <c r="AJ167" s="409">
        <v>0</v>
      </c>
      <c r="AK167" s="409">
        <v>0</v>
      </c>
      <c r="AL167" s="409">
        <v>238.82891936307621</v>
      </c>
      <c r="AM167" s="409"/>
      <c r="AN167" s="409">
        <v>22.205688742081065</v>
      </c>
      <c r="AO167" s="409">
        <v>0</v>
      </c>
      <c r="AP167" s="409">
        <v>0</v>
      </c>
      <c r="AQ167" s="409">
        <v>0</v>
      </c>
      <c r="AR167" s="409">
        <v>0</v>
      </c>
      <c r="AS167" s="409">
        <v>0</v>
      </c>
      <c r="AT167" s="409">
        <v>0</v>
      </c>
      <c r="AU167" s="409">
        <v>0</v>
      </c>
      <c r="AV167" s="409">
        <v>0</v>
      </c>
      <c r="AW167" s="409">
        <v>0</v>
      </c>
      <c r="AX167" s="409">
        <v>0</v>
      </c>
      <c r="AY167" s="409">
        <v>0</v>
      </c>
      <c r="AZ167" s="409">
        <v>0</v>
      </c>
      <c r="BA167" s="409"/>
      <c r="BB167" s="409">
        <v>0</v>
      </c>
      <c r="BC167" s="409">
        <v>0</v>
      </c>
      <c r="BD167" s="409">
        <v>0</v>
      </c>
      <c r="BE167" s="409">
        <v>0</v>
      </c>
      <c r="BF167" s="409">
        <v>0</v>
      </c>
      <c r="BG167" s="409">
        <v>42.803675832020168</v>
      </c>
      <c r="BH167" s="409">
        <v>0</v>
      </c>
      <c r="BI167" s="409">
        <v>0</v>
      </c>
      <c r="BJ167" s="409">
        <v>0</v>
      </c>
      <c r="BK167" s="409">
        <v>0</v>
      </c>
      <c r="BL167" s="409">
        <v>0</v>
      </c>
      <c r="BM167" s="409"/>
      <c r="BN167" s="409"/>
      <c r="BO167" s="409"/>
      <c r="BP167" s="409"/>
      <c r="BQ167" s="409"/>
      <c r="BR167" s="409"/>
      <c r="BS167" s="409"/>
      <c r="BT167" s="409"/>
      <c r="BU167" s="409"/>
      <c r="BV167" s="409">
        <v>7045.0539386957471</v>
      </c>
      <c r="BW167" s="409"/>
      <c r="BX167" s="409"/>
      <c r="BY167" s="409"/>
      <c r="BZ167" s="409"/>
      <c r="CA167" s="409"/>
      <c r="CB167" s="409"/>
      <c r="CC167" s="409"/>
      <c r="CD167" s="409"/>
      <c r="CE167" s="409"/>
      <c r="CF167" s="409"/>
      <c r="CG167" s="409"/>
      <c r="CH167" s="409"/>
      <c r="CI167" s="409">
        <v>8887.259399999999</v>
      </c>
      <c r="CJ167" s="409">
        <v>237.60819999999876</v>
      </c>
      <c r="CK167" s="409"/>
      <c r="CL167" s="409"/>
      <c r="CM167" s="409"/>
      <c r="CN167" s="409"/>
      <c r="CO167" s="409">
        <v>-94.901800000000193</v>
      </c>
      <c r="CP167" s="409">
        <v>332.53999999999996</v>
      </c>
      <c r="CQ167" s="409">
        <v>31</v>
      </c>
      <c r="CR167" s="409">
        <v>237.67720564581214</v>
      </c>
      <c r="CS167" s="409">
        <v>0</v>
      </c>
      <c r="CT167" s="409">
        <v>0</v>
      </c>
      <c r="CU167" s="409">
        <v>0</v>
      </c>
      <c r="CV167" s="409">
        <v>0</v>
      </c>
      <c r="CW167" s="409">
        <v>0</v>
      </c>
      <c r="CX167" s="409">
        <v>0</v>
      </c>
      <c r="CY167" s="409">
        <v>0</v>
      </c>
      <c r="CZ167" s="409">
        <v>0</v>
      </c>
      <c r="DA167" s="409">
        <v>0</v>
      </c>
      <c r="DB167" s="409">
        <v>0</v>
      </c>
      <c r="DC167" s="409">
        <v>377.20926430709369</v>
      </c>
      <c r="DD167" s="409">
        <v>0</v>
      </c>
      <c r="DE167" s="409">
        <v>0</v>
      </c>
      <c r="DF167" s="409">
        <v>0</v>
      </c>
      <c r="DG167" s="409">
        <v>2.3058220520719104</v>
      </c>
      <c r="DH167" s="409">
        <v>0</v>
      </c>
      <c r="DI167" s="409">
        <v>-85.643312266454359</v>
      </c>
      <c r="DJ167" s="409"/>
      <c r="DK167" s="409">
        <v>0</v>
      </c>
      <c r="DL167" s="409">
        <v>0</v>
      </c>
      <c r="DM167" s="409">
        <v>0</v>
      </c>
      <c r="DN167" s="409">
        <v>0</v>
      </c>
      <c r="DO167" s="409">
        <v>-12.522229573688861</v>
      </c>
      <c r="DP167" s="409">
        <v>-1.4651184741347407</v>
      </c>
      <c r="DQ167" s="409">
        <v>0</v>
      </c>
      <c r="DR167" s="409">
        <v>-42.207220399077393</v>
      </c>
      <c r="DS167" s="409"/>
      <c r="DT167" s="409"/>
      <c r="DU167" s="409"/>
      <c r="DV167" s="409">
        <v>0</v>
      </c>
      <c r="DW167" s="409">
        <v>0</v>
      </c>
      <c r="DX167" s="409">
        <v>0</v>
      </c>
      <c r="DY167" s="409">
        <v>-94.901800000000321</v>
      </c>
      <c r="DZ167" s="409">
        <v>332.53999999999996</v>
      </c>
      <c r="EA167" s="409">
        <v>0</v>
      </c>
      <c r="EB167" s="409">
        <v>0</v>
      </c>
      <c r="EC167" s="409">
        <v>0</v>
      </c>
      <c r="ED167" s="409">
        <v>0</v>
      </c>
      <c r="EE167" s="409">
        <v>0</v>
      </c>
      <c r="EF167" s="409">
        <v>0</v>
      </c>
      <c r="EG167" s="409">
        <v>0</v>
      </c>
      <c r="EH167" s="409">
        <v>0</v>
      </c>
      <c r="EI167" s="409">
        <v>0</v>
      </c>
      <c r="EJ167" s="409">
        <v>0</v>
      </c>
      <c r="EK167" s="409">
        <v>0</v>
      </c>
      <c r="EL167" s="409">
        <v>0</v>
      </c>
      <c r="EM167" s="409">
        <v>0</v>
      </c>
      <c r="EN167" s="409">
        <v>0</v>
      </c>
      <c r="EO167" s="409">
        <v>0</v>
      </c>
      <c r="EP167" s="409">
        <v>0</v>
      </c>
      <c r="EQ167" s="409">
        <v>0</v>
      </c>
      <c r="ER167" s="409">
        <v>0</v>
      </c>
      <c r="ES167" s="409">
        <v>0</v>
      </c>
      <c r="ET167" s="409">
        <v>0</v>
      </c>
      <c r="EU167" s="409">
        <v>0</v>
      </c>
      <c r="EV167" s="409">
        <v>210</v>
      </c>
      <c r="EW167" s="409">
        <v>0</v>
      </c>
      <c r="EX167" s="409">
        <v>0</v>
      </c>
      <c r="EY167" s="409">
        <v>0</v>
      </c>
      <c r="EZ167" s="409"/>
      <c r="FA167" s="409">
        <v>0</v>
      </c>
      <c r="FB167" s="409"/>
      <c r="FC167" s="409"/>
      <c r="FD167" s="409"/>
      <c r="FE167" s="409"/>
      <c r="FF167" s="409">
        <v>0</v>
      </c>
      <c r="FG167" s="409">
        <v>0</v>
      </c>
      <c r="FH167" s="409">
        <v>0</v>
      </c>
      <c r="FI167" s="409">
        <v>0</v>
      </c>
    </row>
    <row r="168" spans="1:165">
      <c r="A168" s="409">
        <v>166</v>
      </c>
      <c r="B168" s="409" t="s">
        <v>1035</v>
      </c>
      <c r="C168" s="409" t="s">
        <v>2246</v>
      </c>
      <c r="D168" s="409" t="s">
        <v>595</v>
      </c>
      <c r="E168" s="409" t="s">
        <v>997</v>
      </c>
      <c r="F168" s="409" t="s">
        <v>1323</v>
      </c>
      <c r="G168" s="409" t="s">
        <v>1323</v>
      </c>
      <c r="H168" s="409" t="s">
        <v>1323</v>
      </c>
      <c r="I168" s="409" t="s">
        <v>1323</v>
      </c>
      <c r="J168" s="409" t="s">
        <v>2242</v>
      </c>
      <c r="K168" s="838">
        <v>44470</v>
      </c>
      <c r="L168" s="409">
        <v>216</v>
      </c>
      <c r="M168" s="409">
        <v>216</v>
      </c>
      <c r="N168" s="409">
        <v>0</v>
      </c>
      <c r="O168" s="409">
        <v>0</v>
      </c>
      <c r="P168" s="409">
        <v>0</v>
      </c>
      <c r="Q168" s="409">
        <v>0</v>
      </c>
      <c r="R168" s="409">
        <v>33.6</v>
      </c>
      <c r="S168" s="409"/>
      <c r="T168" s="409"/>
      <c r="U168" s="409">
        <v>7257.6</v>
      </c>
      <c r="V168" s="409"/>
      <c r="W168" s="409">
        <v>7257.6</v>
      </c>
      <c r="X168" s="409">
        <v>6860.1600000000008</v>
      </c>
      <c r="Y168" s="409">
        <v>0</v>
      </c>
      <c r="Z168" s="409">
        <v>0</v>
      </c>
      <c r="AA168" s="409">
        <v>0</v>
      </c>
      <c r="AB168" s="409">
        <v>0</v>
      </c>
      <c r="AC168" s="409">
        <v>0</v>
      </c>
      <c r="AD168" s="409">
        <v>3854.6312127745396</v>
      </c>
      <c r="AE168" s="409">
        <v>3403.1124028154086</v>
      </c>
      <c r="AF168" s="409"/>
      <c r="AG168" s="409"/>
      <c r="AH168" s="409"/>
      <c r="AI168" s="409">
        <v>0</v>
      </c>
      <c r="AJ168" s="409">
        <v>0</v>
      </c>
      <c r="AK168" s="409">
        <v>0</v>
      </c>
      <c r="AL168" s="409">
        <v>0</v>
      </c>
      <c r="AM168" s="409"/>
      <c r="AN168" s="409">
        <v>0</v>
      </c>
      <c r="AO168" s="409">
        <v>0</v>
      </c>
      <c r="AP168" s="409">
        <v>0</v>
      </c>
      <c r="AQ168" s="409">
        <v>0</v>
      </c>
      <c r="AR168" s="409">
        <v>0</v>
      </c>
      <c r="AS168" s="409"/>
      <c r="AT168" s="409"/>
      <c r="AU168" s="409">
        <v>0</v>
      </c>
      <c r="AV168" s="409">
        <v>0</v>
      </c>
      <c r="AW168" s="409">
        <v>0</v>
      </c>
      <c r="AX168" s="409"/>
      <c r="AY168" s="409"/>
      <c r="AZ168" s="409">
        <v>0</v>
      </c>
      <c r="BA168" s="409"/>
      <c r="BB168" s="409">
        <v>0</v>
      </c>
      <c r="BC168" s="409">
        <v>0</v>
      </c>
      <c r="BD168" s="409">
        <v>0</v>
      </c>
      <c r="BE168" s="409">
        <v>0</v>
      </c>
      <c r="BF168" s="409"/>
      <c r="BG168" s="409">
        <v>0</v>
      </c>
      <c r="BH168" s="409">
        <v>0</v>
      </c>
      <c r="BI168" s="409">
        <v>165.75</v>
      </c>
      <c r="BJ168" s="409">
        <v>765.05</v>
      </c>
      <c r="BK168" s="409">
        <v>4554.75</v>
      </c>
      <c r="BL168" s="409">
        <v>2</v>
      </c>
      <c r="BM168" s="409"/>
      <c r="BN168" s="409"/>
      <c r="BO168" s="409"/>
      <c r="BP168" s="409"/>
      <c r="BQ168" s="409"/>
      <c r="BR168" s="409"/>
      <c r="BS168" s="409"/>
      <c r="BT168" s="409"/>
      <c r="BU168" s="409"/>
      <c r="BV168" s="409">
        <v>0</v>
      </c>
      <c r="BW168" s="409"/>
      <c r="BX168" s="409"/>
      <c r="BY168" s="409"/>
      <c r="BZ168" s="409"/>
      <c r="CA168" s="409"/>
      <c r="CB168" s="409"/>
      <c r="CC168" s="409"/>
      <c r="CD168" s="409"/>
      <c r="CE168" s="409"/>
      <c r="CF168" s="409"/>
      <c r="CG168" s="409"/>
      <c r="CH168" s="409"/>
      <c r="CI168" s="409">
        <v>6860.1600000000008</v>
      </c>
      <c r="CJ168" s="409">
        <v>-397.47000000000025</v>
      </c>
      <c r="CK168" s="409"/>
      <c r="CL168" s="409"/>
      <c r="CM168" s="409"/>
      <c r="CN168" s="409"/>
      <c r="CO168" s="409">
        <v>-397.43999999999994</v>
      </c>
      <c r="CP168" s="409">
        <v>0</v>
      </c>
      <c r="CQ168" s="409">
        <v>31</v>
      </c>
      <c r="CR168" s="409">
        <v>142.60580518220877</v>
      </c>
      <c r="CS168" s="409">
        <v>0</v>
      </c>
      <c r="CT168" s="409">
        <v>0</v>
      </c>
      <c r="CU168" s="409">
        <v>0</v>
      </c>
      <c r="CV168" s="409">
        <v>0</v>
      </c>
      <c r="CW168" s="409"/>
      <c r="CX168" s="409"/>
      <c r="CY168" s="409"/>
      <c r="CZ168" s="409">
        <v>132.13075285951891</v>
      </c>
      <c r="DA168" s="409">
        <v>0</v>
      </c>
      <c r="DB168" s="409">
        <v>0</v>
      </c>
      <c r="DC168" s="409"/>
      <c r="DD168" s="409"/>
      <c r="DE168" s="409">
        <v>0</v>
      </c>
      <c r="DF168" s="409">
        <v>0</v>
      </c>
      <c r="DG168" s="409">
        <v>0</v>
      </c>
      <c r="DH168" s="409">
        <v>0</v>
      </c>
      <c r="DI168" s="409">
        <v>0</v>
      </c>
      <c r="DJ168" s="409"/>
      <c r="DK168" s="409">
        <v>0</v>
      </c>
      <c r="DL168" s="409">
        <v>0</v>
      </c>
      <c r="DM168" s="409"/>
      <c r="DN168" s="409">
        <v>0</v>
      </c>
      <c r="DO168" s="409">
        <v>0</v>
      </c>
      <c r="DP168" s="409">
        <v>0</v>
      </c>
      <c r="DQ168" s="409">
        <v>0</v>
      </c>
      <c r="DR168" s="409">
        <v>10.475052322689656</v>
      </c>
      <c r="DS168" s="409"/>
      <c r="DT168" s="409"/>
      <c r="DU168" s="409">
        <v>3403.1124028154086</v>
      </c>
      <c r="DV168" s="409"/>
      <c r="DW168" s="409">
        <v>0</v>
      </c>
      <c r="DX168" s="409">
        <v>0</v>
      </c>
      <c r="DY168" s="409">
        <v>-397.4399999999996</v>
      </c>
      <c r="DZ168" s="409"/>
      <c r="EA168" s="409">
        <v>0</v>
      </c>
      <c r="EB168" s="409"/>
      <c r="EC168" s="409">
        <v>-540.93486354886772</v>
      </c>
      <c r="ED168" s="409"/>
      <c r="EE168" s="409">
        <v>0</v>
      </c>
      <c r="EF168" s="409">
        <v>0</v>
      </c>
      <c r="EG168" s="409"/>
      <c r="EH168" s="409">
        <v>0</v>
      </c>
      <c r="EI168" s="409">
        <v>0</v>
      </c>
      <c r="EJ168" s="409">
        <v>0</v>
      </c>
      <c r="EK168" s="409">
        <v>0</v>
      </c>
      <c r="EL168" s="409">
        <v>0</v>
      </c>
      <c r="EM168" s="409"/>
      <c r="EN168" s="409"/>
      <c r="EO168" s="409">
        <v>0</v>
      </c>
      <c r="EP168" s="409">
        <v>0</v>
      </c>
      <c r="EQ168" s="409"/>
      <c r="ER168" s="409">
        <v>0</v>
      </c>
      <c r="ES168" s="409"/>
      <c r="ET168" s="409">
        <v>0</v>
      </c>
      <c r="EU168" s="409"/>
      <c r="EV168" s="409">
        <v>210</v>
      </c>
      <c r="EW168" s="409"/>
      <c r="EX168" s="409"/>
      <c r="EY168" s="409"/>
      <c r="EZ168" s="409"/>
      <c r="FA168" s="409">
        <v>0</v>
      </c>
      <c r="FB168" s="409"/>
      <c r="FC168" s="409"/>
      <c r="FD168" s="409"/>
      <c r="FE168" s="409"/>
      <c r="FF168" s="409">
        <v>0</v>
      </c>
      <c r="FG168" s="409">
        <v>0</v>
      </c>
      <c r="FH168" s="409">
        <v>0</v>
      </c>
      <c r="FI168" s="409">
        <v>0</v>
      </c>
    </row>
    <row r="169" spans="1:165">
      <c r="A169" s="409">
        <v>167</v>
      </c>
      <c r="B169" s="409" t="s">
        <v>1035</v>
      </c>
      <c r="C169" s="409" t="s">
        <v>2241</v>
      </c>
      <c r="D169" s="409" t="s">
        <v>2247</v>
      </c>
      <c r="E169" s="409" t="s">
        <v>973</v>
      </c>
      <c r="F169" s="409" t="s">
        <v>1323</v>
      </c>
      <c r="G169" s="409" t="s">
        <v>1323</v>
      </c>
      <c r="H169" s="409" t="s">
        <v>1323</v>
      </c>
      <c r="I169" s="409" t="s">
        <v>1323</v>
      </c>
      <c r="J169" s="409" t="s">
        <v>2242</v>
      </c>
      <c r="K169" s="838">
        <v>44470</v>
      </c>
      <c r="L169" s="409">
        <v>0</v>
      </c>
      <c r="M169" s="409">
        <v>0</v>
      </c>
      <c r="N169" s="409">
        <v>461.80900000000003</v>
      </c>
      <c r="O169" s="409">
        <v>461.80900000000003</v>
      </c>
      <c r="P169" s="409">
        <v>461.80900000000003</v>
      </c>
      <c r="Q169" s="409">
        <v>461.80900000000003</v>
      </c>
      <c r="R169" s="409"/>
      <c r="S169" s="409">
        <v>358.62</v>
      </c>
      <c r="T169" s="409">
        <v>273.74</v>
      </c>
      <c r="U169" s="409"/>
      <c r="V169" s="409">
        <v>292029.53924000001</v>
      </c>
      <c r="W169" s="409">
        <v>292029.53924000001</v>
      </c>
      <c r="X169" s="409">
        <v>283153.57026000001</v>
      </c>
      <c r="Y169" s="409">
        <v>0</v>
      </c>
      <c r="Z169" s="409">
        <v>27881.446918675429</v>
      </c>
      <c r="AA169" s="409">
        <v>0</v>
      </c>
      <c r="AB169" s="409">
        <v>0</v>
      </c>
      <c r="AC169" s="409">
        <v>0</v>
      </c>
      <c r="AD169" s="409">
        <v>39756.452269869485</v>
      </c>
      <c r="AE169" s="409">
        <v>91474.75359848504</v>
      </c>
      <c r="AF169" s="409">
        <v>126415.25377806237</v>
      </c>
      <c r="AG169" s="409">
        <v>0</v>
      </c>
      <c r="AH169" s="409">
        <v>0</v>
      </c>
      <c r="AI169" s="409">
        <v>0</v>
      </c>
      <c r="AJ169" s="409">
        <v>0</v>
      </c>
      <c r="AK169" s="409">
        <v>0</v>
      </c>
      <c r="AL169" s="409">
        <v>4311.7022838992525</v>
      </c>
      <c r="AM169" s="409"/>
      <c r="AN169" s="409">
        <v>491.86878102435173</v>
      </c>
      <c r="AO169" s="409">
        <v>0</v>
      </c>
      <c r="AP169" s="409">
        <v>0</v>
      </c>
      <c r="AQ169" s="409">
        <v>0</v>
      </c>
      <c r="AR169" s="409">
        <v>0</v>
      </c>
      <c r="AS169" s="409">
        <v>0</v>
      </c>
      <c r="AT169" s="409">
        <v>0</v>
      </c>
      <c r="AU169" s="409">
        <v>0</v>
      </c>
      <c r="AV169" s="409">
        <v>0</v>
      </c>
      <c r="AW169" s="409">
        <v>0</v>
      </c>
      <c r="AX169" s="409">
        <v>0</v>
      </c>
      <c r="AY169" s="409">
        <v>0</v>
      </c>
      <c r="AZ169" s="409">
        <v>0</v>
      </c>
      <c r="BA169" s="409"/>
      <c r="BB169" s="409">
        <v>0</v>
      </c>
      <c r="BC169" s="409">
        <v>0</v>
      </c>
      <c r="BD169" s="409">
        <v>0</v>
      </c>
      <c r="BE169" s="409">
        <v>0</v>
      </c>
      <c r="BF169" s="409">
        <v>0</v>
      </c>
      <c r="BG169" s="409">
        <v>1698.7303425971145</v>
      </c>
      <c r="BH169" s="409">
        <v>0</v>
      </c>
      <c r="BI169" s="409">
        <v>877.46</v>
      </c>
      <c r="BJ169" s="409">
        <v>4060.26</v>
      </c>
      <c r="BK169" s="409">
        <v>17153.54</v>
      </c>
      <c r="BL169" s="409">
        <v>1021</v>
      </c>
      <c r="BM169" s="409"/>
      <c r="BN169" s="409"/>
      <c r="BO169" s="409"/>
      <c r="BP169" s="409"/>
      <c r="BQ169" s="409"/>
      <c r="BR169" s="409">
        <v>39641.684560000002</v>
      </c>
      <c r="BS169" s="409"/>
      <c r="BT169" s="409"/>
      <c r="BU169" s="409"/>
      <c r="BV169" s="409">
        <v>128113.98412065949</v>
      </c>
      <c r="BW169" s="409"/>
      <c r="BX169" s="409"/>
      <c r="BY169" s="409"/>
      <c r="BZ169" s="409"/>
      <c r="CA169" s="409"/>
      <c r="CB169" s="409"/>
      <c r="CC169" s="409"/>
      <c r="CD169" s="409"/>
      <c r="CE169" s="409"/>
      <c r="CF169" s="409"/>
      <c r="CG169" s="409"/>
      <c r="CH169" s="409"/>
      <c r="CI169" s="409">
        <v>243512.413</v>
      </c>
      <c r="CJ169" s="409">
        <v>-7637.823560000048</v>
      </c>
      <c r="CK169" s="409"/>
      <c r="CL169" s="409"/>
      <c r="CM169" s="409"/>
      <c r="CN169" s="409"/>
      <c r="CO169" s="409">
        <v>-14879.485980000014</v>
      </c>
      <c r="CP169" s="409">
        <v>6003.5170000000007</v>
      </c>
      <c r="CQ169" s="409">
        <v>31</v>
      </c>
      <c r="CR169" s="409">
        <v>5662.6466486913559</v>
      </c>
      <c r="CS169" s="409">
        <v>0</v>
      </c>
      <c r="CT169" s="409">
        <v>0</v>
      </c>
      <c r="CU169" s="409">
        <v>0</v>
      </c>
      <c r="CV169" s="409">
        <v>0</v>
      </c>
      <c r="CW169" s="409">
        <v>0</v>
      </c>
      <c r="CX169" s="409">
        <v>0</v>
      </c>
      <c r="CY169" s="409">
        <v>0</v>
      </c>
      <c r="CZ169" s="409">
        <v>1362.7892473949687</v>
      </c>
      <c r="DA169" s="409">
        <v>0</v>
      </c>
      <c r="DB169" s="409">
        <v>0</v>
      </c>
      <c r="DC169" s="409">
        <v>6809.9543839090766</v>
      </c>
      <c r="DD169" s="409">
        <v>0</v>
      </c>
      <c r="DE169" s="409">
        <v>0</v>
      </c>
      <c r="DF169" s="409">
        <v>0</v>
      </c>
      <c r="DG169" s="409">
        <v>91.510128706133401</v>
      </c>
      <c r="DH169" s="409">
        <v>0</v>
      </c>
      <c r="DI169" s="409">
        <v>-1777.198978838489</v>
      </c>
      <c r="DJ169" s="409"/>
      <c r="DK169" s="409">
        <v>0</v>
      </c>
      <c r="DL169" s="409">
        <v>0</v>
      </c>
      <c r="DM169" s="409">
        <v>0</v>
      </c>
      <c r="DN169" s="409">
        <v>0</v>
      </c>
      <c r="DO169" s="409">
        <v>-226.07030168865049</v>
      </c>
      <c r="DP169" s="409">
        <v>-32.453217114732638</v>
      </c>
      <c r="DQ169" s="409">
        <v>0</v>
      </c>
      <c r="DR169" s="409">
        <v>-565.88461367698733</v>
      </c>
      <c r="DS169" s="409"/>
      <c r="DT169" s="409"/>
      <c r="DU169" s="409"/>
      <c r="DV169" s="409">
        <v>91474.75359848504</v>
      </c>
      <c r="DW169" s="409">
        <v>0</v>
      </c>
      <c r="DX169" s="409">
        <v>0</v>
      </c>
      <c r="DY169" s="409">
        <v>-14879.485980000027</v>
      </c>
      <c r="DZ169" s="409">
        <v>6003.5170000000071</v>
      </c>
      <c r="EA169" s="409">
        <v>0</v>
      </c>
      <c r="EB169" s="409">
        <v>0</v>
      </c>
      <c r="EC169" s="409">
        <v>-14540.184836394765</v>
      </c>
      <c r="ED169" s="409">
        <v>0</v>
      </c>
      <c r="EE169" s="409">
        <v>0</v>
      </c>
      <c r="EF169" s="409">
        <v>0</v>
      </c>
      <c r="EG169" s="409">
        <v>0</v>
      </c>
      <c r="EH169" s="409">
        <v>0</v>
      </c>
      <c r="EI169" s="409">
        <v>0</v>
      </c>
      <c r="EJ169" s="409">
        <v>0</v>
      </c>
      <c r="EK169" s="409">
        <v>0</v>
      </c>
      <c r="EL169" s="409">
        <v>0</v>
      </c>
      <c r="EM169" s="409">
        <v>0</v>
      </c>
      <c r="EN169" s="409">
        <v>0</v>
      </c>
      <c r="EO169" s="409">
        <v>0</v>
      </c>
      <c r="EP169" s="409">
        <v>0</v>
      </c>
      <c r="EQ169" s="409">
        <v>0</v>
      </c>
      <c r="ER169" s="409">
        <v>0</v>
      </c>
      <c r="ES169" s="409">
        <v>0</v>
      </c>
      <c r="ET169" s="409">
        <v>0</v>
      </c>
      <c r="EU169" s="409">
        <v>0</v>
      </c>
      <c r="EV169" s="409">
        <v>210</v>
      </c>
      <c r="EW169" s="409">
        <v>0</v>
      </c>
      <c r="EX169" s="409">
        <v>0</v>
      </c>
      <c r="EY169" s="409">
        <v>0</v>
      </c>
      <c r="EZ169" s="409"/>
      <c r="FA169" s="409">
        <v>0</v>
      </c>
      <c r="FB169" s="409"/>
      <c r="FC169" s="409"/>
      <c r="FD169" s="409"/>
      <c r="FE169" s="409"/>
      <c r="FF169" s="409">
        <v>0</v>
      </c>
      <c r="FG169" s="409">
        <v>0</v>
      </c>
      <c r="FH169" s="409">
        <v>0</v>
      </c>
      <c r="FI169" s="409">
        <v>0</v>
      </c>
    </row>
    <row r="170" spans="1:165">
      <c r="A170" s="409">
        <v>168</v>
      </c>
      <c r="B170" s="409" t="s">
        <v>2240</v>
      </c>
      <c r="C170" s="409" t="s">
        <v>2241</v>
      </c>
      <c r="D170" s="409" t="s">
        <v>2247</v>
      </c>
      <c r="E170" s="409" t="s">
        <v>973</v>
      </c>
      <c r="F170" s="409" t="s">
        <v>1323</v>
      </c>
      <c r="G170" s="409" t="s">
        <v>1323</v>
      </c>
      <c r="H170" s="409" t="s">
        <v>1323</v>
      </c>
      <c r="I170" s="409" t="s">
        <v>1323</v>
      </c>
      <c r="J170" s="409" t="s">
        <v>2242</v>
      </c>
      <c r="K170" s="838">
        <v>44470</v>
      </c>
      <c r="L170" s="409">
        <v>0</v>
      </c>
      <c r="M170" s="409">
        <v>0</v>
      </c>
      <c r="N170" s="409">
        <v>0.88400000000000001</v>
      </c>
      <c r="O170" s="409">
        <v>0.88400000000000001</v>
      </c>
      <c r="P170" s="409">
        <v>0.88400000000000001</v>
      </c>
      <c r="Q170" s="409">
        <v>0.88400000000000001</v>
      </c>
      <c r="R170" s="409"/>
      <c r="S170" s="409">
        <v>358.62</v>
      </c>
      <c r="T170" s="409">
        <v>273.74</v>
      </c>
      <c r="U170" s="409"/>
      <c r="V170" s="409">
        <v>559.00624000000005</v>
      </c>
      <c r="W170" s="409">
        <v>559.00624000000005</v>
      </c>
      <c r="X170" s="409">
        <v>542.01576</v>
      </c>
      <c r="Y170" s="409">
        <v>0</v>
      </c>
      <c r="Z170" s="409">
        <v>53.370980375239718</v>
      </c>
      <c r="AA170" s="409">
        <v>0</v>
      </c>
      <c r="AB170" s="409">
        <v>0</v>
      </c>
      <c r="AC170" s="409">
        <v>0</v>
      </c>
      <c r="AD170" s="409">
        <v>76.102249645556114</v>
      </c>
      <c r="AE170" s="409">
        <v>175.10200576658482</v>
      </c>
      <c r="AF170" s="409">
        <v>241.98550556573633</v>
      </c>
      <c r="AG170" s="409">
        <v>0</v>
      </c>
      <c r="AH170" s="409">
        <v>0</v>
      </c>
      <c r="AI170" s="409">
        <v>0</v>
      </c>
      <c r="AJ170" s="409">
        <v>0</v>
      </c>
      <c r="AK170" s="409">
        <v>0</v>
      </c>
      <c r="AL170" s="409">
        <v>8.2535091757998202</v>
      </c>
      <c r="AM170" s="409"/>
      <c r="AN170" s="409">
        <v>0.9415407721060588</v>
      </c>
      <c r="AO170" s="409">
        <v>0</v>
      </c>
      <c r="AP170" s="409">
        <v>0</v>
      </c>
      <c r="AQ170" s="409">
        <v>0</v>
      </c>
      <c r="AR170" s="409">
        <v>0</v>
      </c>
      <c r="AS170" s="409">
        <v>0</v>
      </c>
      <c r="AT170" s="409">
        <v>0</v>
      </c>
      <c r="AU170" s="409">
        <v>0</v>
      </c>
      <c r="AV170" s="409">
        <v>0</v>
      </c>
      <c r="AW170" s="409">
        <v>0</v>
      </c>
      <c r="AX170" s="409">
        <v>0</v>
      </c>
      <c r="AY170" s="409">
        <v>0</v>
      </c>
      <c r="AZ170" s="409">
        <v>0</v>
      </c>
      <c r="BA170" s="409"/>
      <c r="BB170" s="409">
        <v>0</v>
      </c>
      <c r="BC170" s="409">
        <v>0</v>
      </c>
      <c r="BD170" s="409">
        <v>0</v>
      </c>
      <c r="BE170" s="409">
        <v>0</v>
      </c>
      <c r="BF170" s="409">
        <v>0</v>
      </c>
      <c r="BG170" s="409">
        <v>3.2517287944926347</v>
      </c>
      <c r="BH170" s="409">
        <v>0</v>
      </c>
      <c r="BI170" s="409">
        <v>1.93</v>
      </c>
      <c r="BJ170" s="409">
        <v>8.93</v>
      </c>
      <c r="BK170" s="409">
        <v>329.13</v>
      </c>
      <c r="BL170" s="409">
        <v>8</v>
      </c>
      <c r="BM170" s="409"/>
      <c r="BN170" s="409"/>
      <c r="BO170" s="409"/>
      <c r="BP170" s="409"/>
      <c r="BQ170" s="409"/>
      <c r="BR170" s="409">
        <v>75.882559999999998</v>
      </c>
      <c r="BS170" s="409"/>
      <c r="BT170" s="409"/>
      <c r="BU170" s="409"/>
      <c r="BV170" s="409">
        <v>245.23723436022897</v>
      </c>
      <c r="BW170" s="409"/>
      <c r="BX170" s="409"/>
      <c r="BY170" s="409"/>
      <c r="BZ170" s="409"/>
      <c r="CA170" s="409"/>
      <c r="CB170" s="409"/>
      <c r="CC170" s="409"/>
      <c r="CD170" s="409"/>
      <c r="CE170" s="409"/>
      <c r="CF170" s="409"/>
      <c r="CG170" s="409"/>
      <c r="CH170" s="409"/>
      <c r="CI170" s="409">
        <v>464.024</v>
      </c>
      <c r="CJ170" s="409">
        <v>-16.760559999999941</v>
      </c>
      <c r="CK170" s="409"/>
      <c r="CL170" s="409"/>
      <c r="CM170" s="409"/>
      <c r="CN170" s="409"/>
      <c r="CO170" s="409">
        <v>-28.482480000000024</v>
      </c>
      <c r="CP170" s="409">
        <v>11.492000000000001</v>
      </c>
      <c r="CQ170" s="409">
        <v>31</v>
      </c>
      <c r="CR170" s="409">
        <v>10.83950212629702</v>
      </c>
      <c r="CS170" s="409">
        <v>0</v>
      </c>
      <c r="CT170" s="409">
        <v>0</v>
      </c>
      <c r="CU170" s="409">
        <v>0</v>
      </c>
      <c r="CV170" s="409">
        <v>0</v>
      </c>
      <c r="CW170" s="409">
        <v>0</v>
      </c>
      <c r="CX170" s="409">
        <v>0</v>
      </c>
      <c r="CY170" s="409">
        <v>0</v>
      </c>
      <c r="CZ170" s="409">
        <v>2.608666558462815</v>
      </c>
      <c r="DA170" s="409">
        <v>0</v>
      </c>
      <c r="DB170" s="409">
        <v>0</v>
      </c>
      <c r="DC170" s="409">
        <v>13.035691542121583</v>
      </c>
      <c r="DD170" s="409">
        <v>0</v>
      </c>
      <c r="DE170" s="409">
        <v>0</v>
      </c>
      <c r="DF170" s="409">
        <v>0</v>
      </c>
      <c r="DG170" s="409">
        <v>0.1751697211969061</v>
      </c>
      <c r="DH170" s="409">
        <v>0</v>
      </c>
      <c r="DI170" s="409">
        <v>-3.4019343436209013</v>
      </c>
      <c r="DJ170" s="409"/>
      <c r="DK170" s="409">
        <v>0</v>
      </c>
      <c r="DL170" s="409">
        <v>0</v>
      </c>
      <c r="DM170" s="409">
        <v>0</v>
      </c>
      <c r="DN170" s="409">
        <v>0</v>
      </c>
      <c r="DO170" s="409">
        <v>-0.43274632303131177</v>
      </c>
      <c r="DP170" s="409">
        <v>-6.2122314483744612E-2</v>
      </c>
      <c r="DQ170" s="409">
        <v>0</v>
      </c>
      <c r="DR170" s="409">
        <v>-1.0832227143482624</v>
      </c>
      <c r="DS170" s="409"/>
      <c r="DT170" s="409"/>
      <c r="DU170" s="409"/>
      <c r="DV170" s="409">
        <v>175.10200576658482</v>
      </c>
      <c r="DW170" s="409">
        <v>0</v>
      </c>
      <c r="DX170" s="409">
        <v>0</v>
      </c>
      <c r="DY170" s="409">
        <v>-28.48248000000001</v>
      </c>
      <c r="DZ170" s="409">
        <v>11.49199999999999</v>
      </c>
      <c r="EA170" s="409">
        <v>0</v>
      </c>
      <c r="EB170" s="409">
        <v>0</v>
      </c>
      <c r="EC170" s="409">
        <v>-27.832985921393856</v>
      </c>
      <c r="ED170" s="409">
        <v>0</v>
      </c>
      <c r="EE170" s="409">
        <v>0</v>
      </c>
      <c r="EF170" s="409">
        <v>0</v>
      </c>
      <c r="EG170" s="409">
        <v>0</v>
      </c>
      <c r="EH170" s="409">
        <v>0</v>
      </c>
      <c r="EI170" s="409">
        <v>0</v>
      </c>
      <c r="EJ170" s="409">
        <v>0</v>
      </c>
      <c r="EK170" s="409">
        <v>0</v>
      </c>
      <c r="EL170" s="409">
        <v>0</v>
      </c>
      <c r="EM170" s="409">
        <v>0</v>
      </c>
      <c r="EN170" s="409">
        <v>0</v>
      </c>
      <c r="EO170" s="409">
        <v>0</v>
      </c>
      <c r="EP170" s="409">
        <v>0</v>
      </c>
      <c r="EQ170" s="409">
        <v>0</v>
      </c>
      <c r="ER170" s="409">
        <v>0</v>
      </c>
      <c r="ES170" s="409">
        <v>0</v>
      </c>
      <c r="ET170" s="409">
        <v>0</v>
      </c>
      <c r="EU170" s="409">
        <v>0</v>
      </c>
      <c r="EV170" s="409">
        <v>210</v>
      </c>
      <c r="EW170" s="409">
        <v>0</v>
      </c>
      <c r="EX170" s="409">
        <v>0</v>
      </c>
      <c r="EY170" s="409">
        <v>0</v>
      </c>
      <c r="EZ170" s="409"/>
      <c r="FA170" s="409">
        <v>0</v>
      </c>
      <c r="FB170" s="409"/>
      <c r="FC170" s="409"/>
      <c r="FD170" s="409"/>
      <c r="FE170" s="409"/>
      <c r="FF170" s="409">
        <v>0</v>
      </c>
      <c r="FG170" s="409">
        <v>0</v>
      </c>
      <c r="FH170" s="409">
        <v>0</v>
      </c>
      <c r="FI170" s="409">
        <v>0</v>
      </c>
    </row>
    <row r="171" spans="1:165">
      <c r="A171" s="409">
        <v>169</v>
      </c>
      <c r="B171" s="409" t="s">
        <v>1035</v>
      </c>
      <c r="C171" s="409" t="s">
        <v>2248</v>
      </c>
      <c r="D171" s="409" t="s">
        <v>2247</v>
      </c>
      <c r="E171" s="409" t="s">
        <v>973</v>
      </c>
      <c r="F171" s="409" t="s">
        <v>1323</v>
      </c>
      <c r="G171" s="409" t="s">
        <v>1323</v>
      </c>
      <c r="H171" s="409" t="s">
        <v>1323</v>
      </c>
      <c r="I171" s="409" t="s">
        <v>972</v>
      </c>
      <c r="J171" s="409" t="s">
        <v>2242</v>
      </c>
      <c r="K171" s="838">
        <v>44470</v>
      </c>
      <c r="L171" s="409">
        <v>0</v>
      </c>
      <c r="M171" s="409">
        <v>0</v>
      </c>
      <c r="N171" s="409">
        <v>2E-3</v>
      </c>
      <c r="O171" s="409">
        <v>2E-3</v>
      </c>
      <c r="P171" s="409">
        <v>2E-3</v>
      </c>
      <c r="Q171" s="409">
        <v>2E-3</v>
      </c>
      <c r="R171" s="409"/>
      <c r="S171" s="409">
        <v>760.53</v>
      </c>
      <c r="T171" s="409">
        <v>235.42</v>
      </c>
      <c r="U171" s="409"/>
      <c r="V171" s="409">
        <v>1.9919</v>
      </c>
      <c r="W171" s="409">
        <v>1.9919</v>
      </c>
      <c r="X171" s="409">
        <v>1.8693400000000002</v>
      </c>
      <c r="Y171" s="409">
        <v>0</v>
      </c>
      <c r="Z171" s="409">
        <v>0.1038439889653984</v>
      </c>
      <c r="AA171" s="409">
        <v>0</v>
      </c>
      <c r="AB171" s="409">
        <v>0</v>
      </c>
      <c r="AC171" s="409">
        <v>0</v>
      </c>
      <c r="AD171" s="409">
        <v>0.42200865790270004</v>
      </c>
      <c r="AE171" s="409">
        <v>0.97098445176677206</v>
      </c>
      <c r="AF171" s="409">
        <v>0.47083152666636402</v>
      </c>
      <c r="AG171" s="409">
        <v>0</v>
      </c>
      <c r="AH171" s="409">
        <v>0</v>
      </c>
      <c r="AI171" s="409">
        <v>0</v>
      </c>
      <c r="AJ171" s="409">
        <v>0</v>
      </c>
      <c r="AK171" s="409">
        <v>0</v>
      </c>
      <c r="AL171" s="409">
        <v>1.605886400721232E-2</v>
      </c>
      <c r="AM171" s="409"/>
      <c r="AN171" s="409">
        <v>1.8319571583964021E-3</v>
      </c>
      <c r="AO171" s="409">
        <v>0</v>
      </c>
      <c r="AP171" s="409">
        <v>0</v>
      </c>
      <c r="AQ171" s="409">
        <v>0</v>
      </c>
      <c r="AR171" s="409">
        <v>0</v>
      </c>
      <c r="AS171" s="409">
        <v>0</v>
      </c>
      <c r="AT171" s="409">
        <v>0</v>
      </c>
      <c r="AU171" s="409">
        <v>0</v>
      </c>
      <c r="AV171" s="409">
        <v>0</v>
      </c>
      <c r="AW171" s="409">
        <v>0</v>
      </c>
      <c r="AX171" s="409">
        <v>0</v>
      </c>
      <c r="AY171" s="409">
        <v>0</v>
      </c>
      <c r="AZ171" s="409">
        <v>0</v>
      </c>
      <c r="BA171" s="409"/>
      <c r="BB171" s="409">
        <v>0</v>
      </c>
      <c r="BC171" s="409">
        <v>0</v>
      </c>
      <c r="BD171" s="409">
        <v>0</v>
      </c>
      <c r="BE171" s="409">
        <v>0</v>
      </c>
      <c r="BF171" s="409">
        <v>0</v>
      </c>
      <c r="BG171" s="409">
        <v>6.3268931295558202E-3</v>
      </c>
      <c r="BH171" s="409">
        <v>0</v>
      </c>
      <c r="BI171" s="409">
        <v>0</v>
      </c>
      <c r="BJ171" s="409">
        <v>0</v>
      </c>
      <c r="BK171" s="409">
        <v>0</v>
      </c>
      <c r="BL171" s="409">
        <v>0</v>
      </c>
      <c r="BM171" s="409"/>
      <c r="BN171" s="409"/>
      <c r="BO171" s="409"/>
      <c r="BP171" s="409"/>
      <c r="BQ171" s="409"/>
      <c r="BR171" s="409"/>
      <c r="BS171" s="409"/>
      <c r="BT171" s="409"/>
      <c r="BU171" s="409"/>
      <c r="BV171" s="409">
        <v>0.47715841979591983</v>
      </c>
      <c r="BW171" s="409"/>
      <c r="BX171" s="409"/>
      <c r="BY171" s="409"/>
      <c r="BZ171" s="409"/>
      <c r="CA171" s="409"/>
      <c r="CB171" s="409"/>
      <c r="CC171" s="409"/>
      <c r="CD171" s="409"/>
      <c r="CE171" s="409"/>
      <c r="CF171" s="409"/>
      <c r="CG171" s="409"/>
      <c r="CH171" s="409"/>
      <c r="CI171" s="409">
        <v>0</v>
      </c>
      <c r="CJ171" s="409">
        <v>-2.0219</v>
      </c>
      <c r="CK171" s="409"/>
      <c r="CL171" s="409"/>
      <c r="CM171" s="409"/>
      <c r="CN171" s="409"/>
      <c r="CO171" s="409">
        <v>-0.14491999999999985</v>
      </c>
      <c r="CP171" s="409">
        <v>2.2360000000000015E-2</v>
      </c>
      <c r="CQ171" s="409">
        <v>31</v>
      </c>
      <c r="CR171" s="409">
        <v>3.1785608611027527E-2</v>
      </c>
      <c r="CS171" s="409">
        <v>0</v>
      </c>
      <c r="CT171" s="409">
        <v>0</v>
      </c>
      <c r="CU171" s="409">
        <v>0</v>
      </c>
      <c r="CV171" s="409">
        <v>0</v>
      </c>
      <c r="CW171" s="409">
        <v>0</v>
      </c>
      <c r="CX171" s="409">
        <v>0</v>
      </c>
      <c r="CY171" s="409">
        <v>0</v>
      </c>
      <c r="CZ171" s="409">
        <v>1.446579934732195E-2</v>
      </c>
      <c r="DA171" s="409">
        <v>0</v>
      </c>
      <c r="DB171" s="409">
        <v>0</v>
      </c>
      <c r="DC171" s="409">
        <v>2.536356272901602E-2</v>
      </c>
      <c r="DD171" s="409">
        <v>0</v>
      </c>
      <c r="DE171" s="409">
        <v>0</v>
      </c>
      <c r="DF171" s="409">
        <v>0</v>
      </c>
      <c r="DG171" s="409">
        <v>3.4082796431976047E-4</v>
      </c>
      <c r="DH171" s="409">
        <v>0</v>
      </c>
      <c r="DI171" s="409">
        <v>-6.6191482703933935E-3</v>
      </c>
      <c r="DJ171" s="409"/>
      <c r="DK171" s="409">
        <v>0</v>
      </c>
      <c r="DL171" s="409">
        <v>0</v>
      </c>
      <c r="DM171" s="409">
        <v>0</v>
      </c>
      <c r="DN171" s="409">
        <v>0</v>
      </c>
      <c r="DO171" s="409">
        <v>-8.4199510816045965E-4</v>
      </c>
      <c r="DP171" s="409">
        <v>-1.2087147161995212E-4</v>
      </c>
      <c r="DQ171" s="409">
        <v>0</v>
      </c>
      <c r="DR171" s="409">
        <v>-8.0256657945647954E-4</v>
      </c>
      <c r="DS171" s="409"/>
      <c r="DT171" s="409"/>
      <c r="DU171" s="409"/>
      <c r="DV171" s="409">
        <v>0.97098445176677206</v>
      </c>
      <c r="DW171" s="409">
        <v>0</v>
      </c>
      <c r="DX171" s="409">
        <v>0</v>
      </c>
      <c r="DY171" s="409">
        <v>-0.14491999999999994</v>
      </c>
      <c r="DZ171" s="409">
        <v>2.2359999999999991E-2</v>
      </c>
      <c r="EA171" s="409">
        <v>0</v>
      </c>
      <c r="EB171" s="409">
        <v>0</v>
      </c>
      <c r="EC171" s="409">
        <v>-0.15434087381010408</v>
      </c>
      <c r="ED171" s="409">
        <v>0</v>
      </c>
      <c r="EE171" s="409">
        <v>0</v>
      </c>
      <c r="EF171" s="409">
        <v>0</v>
      </c>
      <c r="EG171" s="409">
        <v>0</v>
      </c>
      <c r="EH171" s="409">
        <v>0</v>
      </c>
      <c r="EI171" s="409">
        <v>0</v>
      </c>
      <c r="EJ171" s="409">
        <v>0</v>
      </c>
      <c r="EK171" s="409">
        <v>0</v>
      </c>
      <c r="EL171" s="409">
        <v>0</v>
      </c>
      <c r="EM171" s="409">
        <v>0</v>
      </c>
      <c r="EN171" s="409">
        <v>0</v>
      </c>
      <c r="EO171" s="409">
        <v>0</v>
      </c>
      <c r="EP171" s="409">
        <v>0</v>
      </c>
      <c r="EQ171" s="409">
        <v>0</v>
      </c>
      <c r="ER171" s="409">
        <v>0</v>
      </c>
      <c r="ES171" s="409">
        <v>0</v>
      </c>
      <c r="ET171" s="409">
        <v>0</v>
      </c>
      <c r="EU171" s="409">
        <v>0</v>
      </c>
      <c r="EV171" s="409">
        <v>210</v>
      </c>
      <c r="EW171" s="409">
        <v>0</v>
      </c>
      <c r="EX171" s="409">
        <v>0</v>
      </c>
      <c r="EY171" s="409">
        <v>0</v>
      </c>
      <c r="EZ171" s="409"/>
      <c r="FA171" s="409">
        <v>0</v>
      </c>
      <c r="FB171" s="409"/>
      <c r="FC171" s="409"/>
      <c r="FD171" s="409"/>
      <c r="FE171" s="409"/>
      <c r="FF171" s="409">
        <v>0</v>
      </c>
      <c r="FG171" s="409">
        <v>0</v>
      </c>
      <c r="FH171" s="409">
        <v>0</v>
      </c>
      <c r="FI171" s="409">
        <v>0</v>
      </c>
    </row>
    <row r="172" spans="1:165">
      <c r="A172" s="409">
        <v>170</v>
      </c>
      <c r="B172" s="409" t="s">
        <v>1035</v>
      </c>
      <c r="C172" s="409" t="s">
        <v>2248</v>
      </c>
      <c r="D172" s="409" t="s">
        <v>2247</v>
      </c>
      <c r="E172" s="409" t="s">
        <v>973</v>
      </c>
      <c r="F172" s="409" t="s">
        <v>1323</v>
      </c>
      <c r="G172" s="409" t="s">
        <v>1323</v>
      </c>
      <c r="H172" s="409" t="s">
        <v>1323</v>
      </c>
      <c r="I172" s="409" t="s">
        <v>2234</v>
      </c>
      <c r="J172" s="409" t="s">
        <v>2242</v>
      </c>
      <c r="K172" s="838">
        <v>44470</v>
      </c>
      <c r="L172" s="409">
        <v>0</v>
      </c>
      <c r="M172" s="409">
        <v>0</v>
      </c>
      <c r="N172" s="409">
        <v>5.5E-2</v>
      </c>
      <c r="O172" s="409">
        <v>5.5E-2</v>
      </c>
      <c r="P172" s="409">
        <v>5.5E-2</v>
      </c>
      <c r="Q172" s="409">
        <v>5.5E-2</v>
      </c>
      <c r="R172" s="409"/>
      <c r="S172" s="409">
        <v>203.33</v>
      </c>
      <c r="T172" s="409">
        <v>235.42</v>
      </c>
      <c r="U172" s="409"/>
      <c r="V172" s="409">
        <v>24.131250000000001</v>
      </c>
      <c r="W172" s="409">
        <v>24.131250000000001</v>
      </c>
      <c r="X172" s="409">
        <v>23.7941</v>
      </c>
      <c r="Y172" s="409">
        <v>0</v>
      </c>
      <c r="Z172" s="409">
        <v>2.8557096965484559</v>
      </c>
      <c r="AA172" s="409">
        <v>0</v>
      </c>
      <c r="AB172" s="409">
        <v>0</v>
      </c>
      <c r="AC172" s="409">
        <v>0</v>
      </c>
      <c r="AD172" s="409">
        <v>2.3210876495289341</v>
      </c>
      <c r="AE172" s="409">
        <v>5.3404163354218488</v>
      </c>
      <c r="AF172" s="409">
        <v>12.94786698332501</v>
      </c>
      <c r="AG172" s="409">
        <v>0</v>
      </c>
      <c r="AH172" s="409">
        <v>0</v>
      </c>
      <c r="AI172" s="409">
        <v>0</v>
      </c>
      <c r="AJ172" s="409">
        <v>0</v>
      </c>
      <c r="AK172" s="409">
        <v>0</v>
      </c>
      <c r="AL172" s="409">
        <v>0.44161876019833884</v>
      </c>
      <c r="AM172" s="409"/>
      <c r="AN172" s="409">
        <v>5.0378821855901056E-2</v>
      </c>
      <c r="AO172" s="409">
        <v>0</v>
      </c>
      <c r="AP172" s="409">
        <v>0</v>
      </c>
      <c r="AQ172" s="409">
        <v>0</v>
      </c>
      <c r="AR172" s="409">
        <v>0</v>
      </c>
      <c r="AS172" s="409">
        <v>0</v>
      </c>
      <c r="AT172" s="409">
        <v>0</v>
      </c>
      <c r="AU172" s="409">
        <v>0</v>
      </c>
      <c r="AV172" s="409">
        <v>0</v>
      </c>
      <c r="AW172" s="409">
        <v>0</v>
      </c>
      <c r="AX172" s="409">
        <v>0</v>
      </c>
      <c r="AY172" s="409">
        <v>0</v>
      </c>
      <c r="AZ172" s="409">
        <v>0</v>
      </c>
      <c r="BA172" s="409"/>
      <c r="BB172" s="409">
        <v>0</v>
      </c>
      <c r="BC172" s="409">
        <v>0</v>
      </c>
      <c r="BD172" s="409">
        <v>0</v>
      </c>
      <c r="BE172" s="409">
        <v>0</v>
      </c>
      <c r="BF172" s="409">
        <v>0</v>
      </c>
      <c r="BG172" s="409">
        <v>0.17398956106278507</v>
      </c>
      <c r="BH172" s="409">
        <v>0</v>
      </c>
      <c r="BI172" s="409">
        <v>0</v>
      </c>
      <c r="BJ172" s="409">
        <v>0</v>
      </c>
      <c r="BK172" s="409">
        <v>0</v>
      </c>
      <c r="BL172" s="409">
        <v>0</v>
      </c>
      <c r="BM172" s="409"/>
      <c r="BN172" s="409"/>
      <c r="BO172" s="409"/>
      <c r="BP172" s="409"/>
      <c r="BQ172" s="409"/>
      <c r="BR172" s="409"/>
      <c r="BS172" s="409"/>
      <c r="BT172" s="409"/>
      <c r="BU172" s="409"/>
      <c r="BV172" s="409">
        <v>13.121856544387795</v>
      </c>
      <c r="BW172" s="409"/>
      <c r="BX172" s="409"/>
      <c r="BY172" s="409"/>
      <c r="BZ172" s="409"/>
      <c r="CA172" s="409"/>
      <c r="CB172" s="409"/>
      <c r="CC172" s="409"/>
      <c r="CD172" s="409"/>
      <c r="CE172" s="409"/>
      <c r="CF172" s="409"/>
      <c r="CG172" s="409"/>
      <c r="CH172" s="409"/>
      <c r="CI172" s="409">
        <v>25.9572</v>
      </c>
      <c r="CJ172" s="409">
        <v>1.7959499999999977</v>
      </c>
      <c r="CK172" s="409"/>
      <c r="CL172" s="409"/>
      <c r="CM172" s="409"/>
      <c r="CN172" s="409"/>
      <c r="CO172" s="409">
        <v>-0.95205000000000017</v>
      </c>
      <c r="CP172" s="409">
        <v>0.61490000000000034</v>
      </c>
      <c r="CQ172" s="409">
        <v>31</v>
      </c>
      <c r="CR172" s="409">
        <v>0.51162713786011338</v>
      </c>
      <c r="CS172" s="409">
        <v>0</v>
      </c>
      <c r="CT172" s="409">
        <v>0</v>
      </c>
      <c r="CU172" s="409">
        <v>0</v>
      </c>
      <c r="CV172" s="409">
        <v>0</v>
      </c>
      <c r="CW172" s="409">
        <v>0</v>
      </c>
      <c r="CX172" s="409">
        <v>0</v>
      </c>
      <c r="CY172" s="409">
        <v>0</v>
      </c>
      <c r="CZ172" s="409">
        <v>7.9563268612794946E-2</v>
      </c>
      <c r="DA172" s="409">
        <v>0</v>
      </c>
      <c r="DB172" s="409">
        <v>0</v>
      </c>
      <c r="DC172" s="409">
        <v>0.69749797504794131</v>
      </c>
      <c r="DD172" s="409">
        <v>0</v>
      </c>
      <c r="DE172" s="409">
        <v>0</v>
      </c>
      <c r="DF172" s="409">
        <v>0</v>
      </c>
      <c r="DG172" s="409">
        <v>9.3727690187933865E-3</v>
      </c>
      <c r="DH172" s="409">
        <v>0</v>
      </c>
      <c r="DI172" s="409">
        <v>-0.18202657743581829</v>
      </c>
      <c r="DJ172" s="409"/>
      <c r="DK172" s="409">
        <v>0</v>
      </c>
      <c r="DL172" s="409">
        <v>0</v>
      </c>
      <c r="DM172" s="409">
        <v>0</v>
      </c>
      <c r="DN172" s="409">
        <v>0</v>
      </c>
      <c r="DO172" s="409">
        <v>-2.31548654744127E-2</v>
      </c>
      <c r="DP172" s="409">
        <v>-3.3239654695486828E-3</v>
      </c>
      <c r="DQ172" s="409">
        <v>0</v>
      </c>
      <c r="DR172" s="409">
        <v>-6.6301466439643325E-2</v>
      </c>
      <c r="DS172" s="409"/>
      <c r="DT172" s="409"/>
      <c r="DU172" s="409"/>
      <c r="DV172" s="409">
        <v>5.3404163354218488</v>
      </c>
      <c r="DW172" s="409">
        <v>0</v>
      </c>
      <c r="DX172" s="409">
        <v>0</v>
      </c>
      <c r="DY172" s="409">
        <v>-0.95204999999999984</v>
      </c>
      <c r="DZ172" s="409">
        <v>0.61490000000000045</v>
      </c>
      <c r="EA172" s="409">
        <v>0</v>
      </c>
      <c r="EB172" s="409">
        <v>0</v>
      </c>
      <c r="EC172" s="409">
        <v>-0.8488751001305852</v>
      </c>
      <c r="ED172" s="409">
        <v>0</v>
      </c>
      <c r="EE172" s="409">
        <v>0</v>
      </c>
      <c r="EF172" s="409">
        <v>0</v>
      </c>
      <c r="EG172" s="409">
        <v>0</v>
      </c>
      <c r="EH172" s="409">
        <v>0</v>
      </c>
      <c r="EI172" s="409">
        <v>0</v>
      </c>
      <c r="EJ172" s="409">
        <v>0</v>
      </c>
      <c r="EK172" s="409">
        <v>0</v>
      </c>
      <c r="EL172" s="409">
        <v>0</v>
      </c>
      <c r="EM172" s="409">
        <v>0</v>
      </c>
      <c r="EN172" s="409">
        <v>0</v>
      </c>
      <c r="EO172" s="409">
        <v>0</v>
      </c>
      <c r="EP172" s="409">
        <v>0</v>
      </c>
      <c r="EQ172" s="409">
        <v>0</v>
      </c>
      <c r="ER172" s="409">
        <v>0</v>
      </c>
      <c r="ES172" s="409">
        <v>0</v>
      </c>
      <c r="ET172" s="409">
        <v>0</v>
      </c>
      <c r="EU172" s="409">
        <v>0</v>
      </c>
      <c r="EV172" s="409">
        <v>210</v>
      </c>
      <c r="EW172" s="409">
        <v>0</v>
      </c>
      <c r="EX172" s="409">
        <v>0</v>
      </c>
      <c r="EY172" s="409">
        <v>0</v>
      </c>
      <c r="EZ172" s="409"/>
      <c r="FA172" s="409">
        <v>0</v>
      </c>
      <c r="FB172" s="409"/>
      <c r="FC172" s="409"/>
      <c r="FD172" s="409"/>
      <c r="FE172" s="409"/>
      <c r="FF172" s="409">
        <v>0</v>
      </c>
      <c r="FG172" s="409">
        <v>0</v>
      </c>
      <c r="FH172" s="409">
        <v>0</v>
      </c>
      <c r="FI172" s="409">
        <v>0</v>
      </c>
    </row>
    <row r="173" spans="1:165">
      <c r="A173" s="409">
        <v>171</v>
      </c>
      <c r="B173" s="409" t="s">
        <v>1035</v>
      </c>
      <c r="C173" s="409" t="s">
        <v>2248</v>
      </c>
      <c r="D173" s="409" t="s">
        <v>2247</v>
      </c>
      <c r="E173" s="409" t="s">
        <v>973</v>
      </c>
      <c r="F173" s="409" t="s">
        <v>1323</v>
      </c>
      <c r="G173" s="409" t="s">
        <v>1323</v>
      </c>
      <c r="H173" s="409" t="s">
        <v>1323</v>
      </c>
      <c r="I173" s="409" t="s">
        <v>1323</v>
      </c>
      <c r="J173" s="409" t="s">
        <v>2242</v>
      </c>
      <c r="K173" s="838">
        <v>44470</v>
      </c>
      <c r="L173" s="409">
        <v>0</v>
      </c>
      <c r="M173" s="409">
        <v>0</v>
      </c>
      <c r="N173" s="409">
        <v>0</v>
      </c>
      <c r="O173" s="409">
        <v>0</v>
      </c>
      <c r="P173" s="409">
        <v>0</v>
      </c>
      <c r="Q173" s="409">
        <v>0</v>
      </c>
      <c r="R173" s="409"/>
      <c r="S173" s="409"/>
      <c r="T173" s="409"/>
      <c r="U173" s="409"/>
      <c r="V173" s="409"/>
      <c r="W173" s="409"/>
      <c r="X173" s="409"/>
      <c r="Y173" s="409"/>
      <c r="Z173" s="409"/>
      <c r="AA173" s="409">
        <v>0</v>
      </c>
      <c r="AB173" s="409"/>
      <c r="AC173" s="409"/>
      <c r="AD173" s="409"/>
      <c r="AE173" s="409"/>
      <c r="AF173" s="409"/>
      <c r="AG173" s="409"/>
      <c r="AH173" s="409"/>
      <c r="AI173" s="409"/>
      <c r="AJ173" s="409"/>
      <c r="AK173" s="409"/>
      <c r="AL173" s="409"/>
      <c r="AM173" s="409"/>
      <c r="AN173" s="409"/>
      <c r="AO173" s="409"/>
      <c r="AP173" s="409"/>
      <c r="AQ173" s="409"/>
      <c r="AR173" s="409"/>
      <c r="AS173" s="409"/>
      <c r="AT173" s="409"/>
      <c r="AU173" s="409"/>
      <c r="AV173" s="409"/>
      <c r="AW173" s="409"/>
      <c r="AX173" s="409"/>
      <c r="AY173" s="409"/>
      <c r="AZ173" s="409">
        <v>0</v>
      </c>
      <c r="BA173" s="409"/>
      <c r="BB173" s="409"/>
      <c r="BC173" s="409"/>
      <c r="BD173" s="409"/>
      <c r="BE173" s="409"/>
      <c r="BF173" s="409"/>
      <c r="BG173" s="409"/>
      <c r="BH173" s="409"/>
      <c r="BI173" s="409">
        <v>0.23</v>
      </c>
      <c r="BJ173" s="409">
        <v>1.06</v>
      </c>
      <c r="BK173" s="409">
        <v>0</v>
      </c>
      <c r="BL173" s="409">
        <v>1</v>
      </c>
      <c r="BM173" s="409"/>
      <c r="BN173" s="409"/>
      <c r="BO173" s="409"/>
      <c r="BP173" s="409"/>
      <c r="BQ173" s="409"/>
      <c r="BR173" s="409"/>
      <c r="BS173" s="409"/>
      <c r="BT173" s="409"/>
      <c r="BU173" s="409"/>
      <c r="BV173" s="409"/>
      <c r="BW173" s="409"/>
      <c r="BX173" s="409"/>
      <c r="BY173" s="409"/>
      <c r="BZ173" s="409"/>
      <c r="CA173" s="409"/>
      <c r="CB173" s="409"/>
      <c r="CC173" s="409"/>
      <c r="CD173" s="409"/>
      <c r="CE173" s="409"/>
      <c r="CF173" s="409"/>
      <c r="CG173" s="409"/>
      <c r="CH173" s="409"/>
      <c r="CI173" s="409"/>
      <c r="CJ173" s="409">
        <v>-0.03</v>
      </c>
      <c r="CK173" s="409"/>
      <c r="CL173" s="409"/>
      <c r="CM173" s="409"/>
      <c r="CN173" s="409"/>
      <c r="CO173" s="409">
        <v>0</v>
      </c>
      <c r="CP173" s="409">
        <v>0</v>
      </c>
      <c r="CQ173" s="409">
        <v>31</v>
      </c>
      <c r="CR173" s="409"/>
      <c r="CS173" s="409"/>
      <c r="CT173" s="409"/>
      <c r="CU173" s="409"/>
      <c r="CV173" s="409"/>
      <c r="CW173" s="409"/>
      <c r="CX173" s="409"/>
      <c r="CY173" s="409"/>
      <c r="CZ173" s="409"/>
      <c r="DA173" s="409"/>
      <c r="DB173" s="409"/>
      <c r="DC173" s="409"/>
      <c r="DD173" s="409"/>
      <c r="DE173" s="409"/>
      <c r="DF173" s="409"/>
      <c r="DG173" s="409"/>
      <c r="DH173" s="409"/>
      <c r="DI173" s="409"/>
      <c r="DJ173" s="409"/>
      <c r="DK173" s="409">
        <v>0</v>
      </c>
      <c r="DL173" s="409"/>
      <c r="DM173" s="409"/>
      <c r="DN173" s="409"/>
      <c r="DO173" s="409"/>
      <c r="DP173" s="409"/>
      <c r="DQ173" s="409"/>
      <c r="DR173" s="409"/>
      <c r="DS173" s="409"/>
      <c r="DT173" s="409"/>
      <c r="DU173" s="409"/>
      <c r="DV173" s="409"/>
      <c r="DW173" s="409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9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09"/>
      <c r="EV173" s="409">
        <v>210</v>
      </c>
      <c r="EW173" s="409"/>
      <c r="EX173" s="409"/>
      <c r="EY173" s="409"/>
      <c r="EZ173" s="409"/>
      <c r="FA173" s="409">
        <v>0</v>
      </c>
      <c r="FB173" s="409"/>
      <c r="FC173" s="409"/>
      <c r="FD173" s="409"/>
      <c r="FE173" s="409"/>
      <c r="FF173" s="409">
        <v>0</v>
      </c>
      <c r="FG173" s="409">
        <v>0</v>
      </c>
      <c r="FH173" s="409">
        <v>0</v>
      </c>
      <c r="FI173" s="409">
        <v>0</v>
      </c>
    </row>
    <row r="174" spans="1:165">
      <c r="A174" s="409">
        <v>172</v>
      </c>
      <c r="B174" s="409" t="s">
        <v>1035</v>
      </c>
      <c r="C174" s="409" t="s">
        <v>2248</v>
      </c>
      <c r="D174" s="409" t="s">
        <v>2247</v>
      </c>
      <c r="E174" s="409" t="s">
        <v>973</v>
      </c>
      <c r="F174" s="409" t="s">
        <v>1323</v>
      </c>
      <c r="G174" s="409" t="s">
        <v>1323</v>
      </c>
      <c r="H174" s="409" t="s">
        <v>1323</v>
      </c>
      <c r="I174" s="409" t="s">
        <v>2259</v>
      </c>
      <c r="J174" s="409" t="s">
        <v>2242</v>
      </c>
      <c r="K174" s="838">
        <v>44470</v>
      </c>
      <c r="L174" s="409">
        <v>0</v>
      </c>
      <c r="M174" s="409">
        <v>0</v>
      </c>
      <c r="N174" s="409">
        <v>1E-3</v>
      </c>
      <c r="O174" s="409">
        <v>1E-3</v>
      </c>
      <c r="P174" s="409">
        <v>1E-3</v>
      </c>
      <c r="Q174" s="409">
        <v>1E-3</v>
      </c>
      <c r="R174" s="409"/>
      <c r="S174" s="409">
        <v>481.93</v>
      </c>
      <c r="T174" s="409">
        <v>235.42</v>
      </c>
      <c r="U174" s="409"/>
      <c r="V174" s="409">
        <v>0.71735000000000004</v>
      </c>
      <c r="W174" s="409">
        <v>0.71735000000000004</v>
      </c>
      <c r="X174" s="409">
        <v>0.68364000000000003</v>
      </c>
      <c r="Y174" s="409">
        <v>0</v>
      </c>
      <c r="Z174" s="409">
        <v>5.1921994482699199E-2</v>
      </c>
      <c r="AA174" s="409">
        <v>0</v>
      </c>
      <c r="AB174" s="409">
        <v>0</v>
      </c>
      <c r="AC174" s="409">
        <v>0</v>
      </c>
      <c r="AD174" s="409">
        <v>0.126603108824208</v>
      </c>
      <c r="AE174" s="409">
        <v>0.291295184108746</v>
      </c>
      <c r="AF174" s="409">
        <v>0.23541576333318201</v>
      </c>
      <c r="AG174" s="409">
        <v>0</v>
      </c>
      <c r="AH174" s="409">
        <v>0</v>
      </c>
      <c r="AI174" s="409">
        <v>0</v>
      </c>
      <c r="AJ174" s="409">
        <v>0</v>
      </c>
      <c r="AK174" s="409">
        <v>0</v>
      </c>
      <c r="AL174" s="409">
        <v>8.0294320036061601E-3</v>
      </c>
      <c r="AM174" s="409"/>
      <c r="AN174" s="409">
        <v>9.1597857919820103E-4</v>
      </c>
      <c r="AO174" s="409">
        <v>0</v>
      </c>
      <c r="AP174" s="409">
        <v>0</v>
      </c>
      <c r="AQ174" s="409">
        <v>0</v>
      </c>
      <c r="AR174" s="409">
        <v>0</v>
      </c>
      <c r="AS174" s="409">
        <v>0</v>
      </c>
      <c r="AT174" s="409">
        <v>0</v>
      </c>
      <c r="AU174" s="409">
        <v>0</v>
      </c>
      <c r="AV174" s="409">
        <v>0</v>
      </c>
      <c r="AW174" s="409">
        <v>0</v>
      </c>
      <c r="AX174" s="409">
        <v>0</v>
      </c>
      <c r="AY174" s="409">
        <v>0</v>
      </c>
      <c r="AZ174" s="409">
        <v>0</v>
      </c>
      <c r="BA174" s="409"/>
      <c r="BB174" s="409">
        <v>0</v>
      </c>
      <c r="BC174" s="409">
        <v>0</v>
      </c>
      <c r="BD174" s="409">
        <v>0</v>
      </c>
      <c r="BE174" s="409">
        <v>0</v>
      </c>
      <c r="BF174" s="409">
        <v>0</v>
      </c>
      <c r="BG174" s="409">
        <v>3.1634465647779101E-3</v>
      </c>
      <c r="BH174" s="409">
        <v>0</v>
      </c>
      <c r="BI174" s="409">
        <v>0</v>
      </c>
      <c r="BJ174" s="409">
        <v>0</v>
      </c>
      <c r="BK174" s="409">
        <v>0</v>
      </c>
      <c r="BL174" s="409">
        <v>0</v>
      </c>
      <c r="BM174" s="409"/>
      <c r="BN174" s="409"/>
      <c r="BO174" s="409"/>
      <c r="BP174" s="409"/>
      <c r="BQ174" s="409"/>
      <c r="BR174" s="409"/>
      <c r="BS174" s="409"/>
      <c r="BT174" s="409"/>
      <c r="BU174" s="409"/>
      <c r="BV174" s="409">
        <v>0.23857920989795992</v>
      </c>
      <c r="BW174" s="409"/>
      <c r="BX174" s="409"/>
      <c r="BY174" s="409"/>
      <c r="BZ174" s="409"/>
      <c r="CA174" s="409"/>
      <c r="CB174" s="409"/>
      <c r="CC174" s="409"/>
      <c r="CD174" s="409"/>
      <c r="CE174" s="409"/>
      <c r="CF174" s="409"/>
      <c r="CG174" s="409"/>
      <c r="CH174" s="409"/>
      <c r="CI174" s="409">
        <v>0</v>
      </c>
      <c r="CJ174" s="409">
        <v>-0.74734999999999996</v>
      </c>
      <c r="CK174" s="409"/>
      <c r="CL174" s="409"/>
      <c r="CM174" s="409"/>
      <c r="CN174" s="409"/>
      <c r="CO174" s="409">
        <v>-4.4889999999999985E-2</v>
      </c>
      <c r="CP174" s="409">
        <v>1.1180000000000008E-2</v>
      </c>
      <c r="CQ174" s="409">
        <v>31</v>
      </c>
      <c r="CR174" s="409">
        <v>1.2597562978850785E-2</v>
      </c>
      <c r="CS174" s="409">
        <v>0</v>
      </c>
      <c r="CT174" s="409">
        <v>0</v>
      </c>
      <c r="CU174" s="409">
        <v>0</v>
      </c>
      <c r="CV174" s="409">
        <v>0</v>
      </c>
      <c r="CW174" s="409">
        <v>0</v>
      </c>
      <c r="CX174" s="409">
        <v>0</v>
      </c>
      <c r="CY174" s="409">
        <v>0</v>
      </c>
      <c r="CZ174" s="409">
        <v>4.3397573360230146E-3</v>
      </c>
      <c r="DA174" s="409">
        <v>0</v>
      </c>
      <c r="DB174" s="409">
        <v>0</v>
      </c>
      <c r="DC174" s="409">
        <v>1.268178136450801E-2</v>
      </c>
      <c r="DD174" s="409">
        <v>0</v>
      </c>
      <c r="DE174" s="409">
        <v>0</v>
      </c>
      <c r="DF174" s="409">
        <v>0</v>
      </c>
      <c r="DG174" s="409">
        <v>1.7041398215988024E-4</v>
      </c>
      <c r="DH174" s="409">
        <v>0</v>
      </c>
      <c r="DI174" s="409">
        <v>-3.3095741351966967E-3</v>
      </c>
      <c r="DJ174" s="409"/>
      <c r="DK174" s="409">
        <v>0</v>
      </c>
      <c r="DL174" s="409">
        <v>0</v>
      </c>
      <c r="DM174" s="409">
        <v>0</v>
      </c>
      <c r="DN174" s="409">
        <v>0</v>
      </c>
      <c r="DO174" s="409">
        <v>-4.2099755408022983E-4</v>
      </c>
      <c r="DP174" s="409">
        <v>-6.0435735809976059E-5</v>
      </c>
      <c r="DQ174" s="409">
        <v>0</v>
      </c>
      <c r="DR174" s="409">
        <v>-8.0338227875326987E-4</v>
      </c>
      <c r="DS174" s="409"/>
      <c r="DT174" s="409"/>
      <c r="DU174" s="409"/>
      <c r="DV174" s="409">
        <v>0.291295184108746</v>
      </c>
      <c r="DW174" s="409">
        <v>0</v>
      </c>
      <c r="DX174" s="409">
        <v>0</v>
      </c>
      <c r="DY174" s="409">
        <v>-4.4889999999999985E-2</v>
      </c>
      <c r="DZ174" s="409">
        <v>1.1179999999999995E-2</v>
      </c>
      <c r="EA174" s="409">
        <v>0</v>
      </c>
      <c r="EB174" s="409">
        <v>0</v>
      </c>
      <c r="EC174" s="409">
        <v>-4.6302238074166002E-2</v>
      </c>
      <c r="ED174" s="409">
        <v>0</v>
      </c>
      <c r="EE174" s="409">
        <v>0</v>
      </c>
      <c r="EF174" s="409">
        <v>0</v>
      </c>
      <c r="EG174" s="409">
        <v>0</v>
      </c>
      <c r="EH174" s="409">
        <v>0</v>
      </c>
      <c r="EI174" s="409">
        <v>0</v>
      </c>
      <c r="EJ174" s="409">
        <v>0</v>
      </c>
      <c r="EK174" s="409">
        <v>0</v>
      </c>
      <c r="EL174" s="409">
        <v>0</v>
      </c>
      <c r="EM174" s="409">
        <v>0</v>
      </c>
      <c r="EN174" s="409">
        <v>0</v>
      </c>
      <c r="EO174" s="409">
        <v>0</v>
      </c>
      <c r="EP174" s="409">
        <v>0</v>
      </c>
      <c r="EQ174" s="409">
        <v>0</v>
      </c>
      <c r="ER174" s="409">
        <v>0</v>
      </c>
      <c r="ES174" s="409">
        <v>0</v>
      </c>
      <c r="ET174" s="409">
        <v>0</v>
      </c>
      <c r="EU174" s="409">
        <v>0</v>
      </c>
      <c r="EV174" s="409">
        <v>210</v>
      </c>
      <c r="EW174" s="409">
        <v>0</v>
      </c>
      <c r="EX174" s="409">
        <v>0</v>
      </c>
      <c r="EY174" s="409">
        <v>0</v>
      </c>
      <c r="EZ174" s="409"/>
      <c r="FA174" s="409">
        <v>0</v>
      </c>
      <c r="FB174" s="409"/>
      <c r="FC174" s="409"/>
      <c r="FD174" s="409"/>
      <c r="FE174" s="409"/>
      <c r="FF174" s="409">
        <v>0</v>
      </c>
      <c r="FG174" s="409">
        <v>0</v>
      </c>
      <c r="FH174" s="409">
        <v>0</v>
      </c>
      <c r="FI174" s="409">
        <v>0</v>
      </c>
    </row>
    <row r="175" spans="1:165">
      <c r="A175" s="409">
        <v>173</v>
      </c>
      <c r="B175" s="409" t="s">
        <v>1035</v>
      </c>
      <c r="C175" s="409" t="s">
        <v>2241</v>
      </c>
      <c r="D175" s="409" t="s">
        <v>1992</v>
      </c>
      <c r="E175" s="409" t="s">
        <v>2249</v>
      </c>
      <c r="F175" s="409" t="s">
        <v>1323</v>
      </c>
      <c r="G175" s="409" t="s">
        <v>1323</v>
      </c>
      <c r="H175" s="409" t="s">
        <v>1323</v>
      </c>
      <c r="I175" s="409" t="s">
        <v>1323</v>
      </c>
      <c r="J175" s="409" t="s">
        <v>2242</v>
      </c>
      <c r="K175" s="838">
        <v>44470</v>
      </c>
      <c r="L175" s="409">
        <v>0</v>
      </c>
      <c r="M175" s="409">
        <v>0</v>
      </c>
      <c r="N175" s="409">
        <v>14.28</v>
      </c>
      <c r="O175" s="409">
        <v>14.28</v>
      </c>
      <c r="P175" s="409">
        <v>14.28</v>
      </c>
      <c r="Q175" s="409">
        <v>14.28</v>
      </c>
      <c r="R175" s="409"/>
      <c r="S175" s="409">
        <v>358.62</v>
      </c>
      <c r="T175" s="409">
        <v>273.74</v>
      </c>
      <c r="U175" s="409"/>
      <c r="V175" s="409">
        <v>9030.1008000000002</v>
      </c>
      <c r="W175" s="409">
        <v>9030.1008000000002</v>
      </c>
      <c r="X175" s="409">
        <v>8755.6391999999996</v>
      </c>
      <c r="Y175" s="409">
        <v>0</v>
      </c>
      <c r="Z175" s="409">
        <v>862.14660606156463</v>
      </c>
      <c r="AA175" s="409">
        <v>0</v>
      </c>
      <c r="AB175" s="409">
        <v>0</v>
      </c>
      <c r="AC175" s="409">
        <v>0</v>
      </c>
      <c r="AD175" s="409">
        <v>1229.3440327359065</v>
      </c>
      <c r="AE175" s="409">
        <v>2828.5708623832934</v>
      </c>
      <c r="AF175" s="409">
        <v>3908.9966283695867</v>
      </c>
      <c r="AG175" s="409">
        <v>0</v>
      </c>
      <c r="AH175" s="409">
        <v>0</v>
      </c>
      <c r="AI175" s="409">
        <v>0</v>
      </c>
      <c r="AJ175" s="409">
        <v>0</v>
      </c>
      <c r="AK175" s="409">
        <v>0</v>
      </c>
      <c r="AL175" s="409">
        <v>133.32591745522785</v>
      </c>
      <c r="AM175" s="409"/>
      <c r="AN175" s="409">
        <v>15.209504780174795</v>
      </c>
      <c r="AO175" s="409">
        <v>0</v>
      </c>
      <c r="AP175" s="409">
        <v>0</v>
      </c>
      <c r="AQ175" s="409">
        <v>0</v>
      </c>
      <c r="AR175" s="409">
        <v>0</v>
      </c>
      <c r="AS175" s="409">
        <v>0</v>
      </c>
      <c r="AT175" s="409">
        <v>0</v>
      </c>
      <c r="AU175" s="409">
        <v>0</v>
      </c>
      <c r="AV175" s="409">
        <v>0</v>
      </c>
      <c r="AW175" s="409">
        <v>0</v>
      </c>
      <c r="AX175" s="409">
        <v>0</v>
      </c>
      <c r="AY175" s="409">
        <v>0</v>
      </c>
      <c r="AZ175" s="409">
        <v>0</v>
      </c>
      <c r="BA175" s="409"/>
      <c r="BB175" s="409">
        <v>0</v>
      </c>
      <c r="BC175" s="409">
        <v>0</v>
      </c>
      <c r="BD175" s="409">
        <v>0</v>
      </c>
      <c r="BE175" s="409">
        <v>0</v>
      </c>
      <c r="BF175" s="409">
        <v>0</v>
      </c>
      <c r="BG175" s="409">
        <v>52.527926680265637</v>
      </c>
      <c r="BH175" s="409">
        <v>0</v>
      </c>
      <c r="BI175" s="409">
        <v>11.97</v>
      </c>
      <c r="BJ175" s="409">
        <v>55.25</v>
      </c>
      <c r="BK175" s="409">
        <v>1972.29</v>
      </c>
      <c r="BL175" s="409">
        <v>15</v>
      </c>
      <c r="BM175" s="409"/>
      <c r="BN175" s="409"/>
      <c r="BO175" s="409"/>
      <c r="BP175" s="409"/>
      <c r="BQ175" s="409"/>
      <c r="BR175" s="409"/>
      <c r="BS175" s="409"/>
      <c r="BT175" s="409"/>
      <c r="BU175" s="409"/>
      <c r="BV175" s="409">
        <v>3961.5245550498521</v>
      </c>
      <c r="BW175" s="409"/>
      <c r="BX175" s="409"/>
      <c r="BY175" s="409"/>
      <c r="BZ175" s="409"/>
      <c r="CA175" s="409"/>
      <c r="CB175" s="409"/>
      <c r="CC175" s="409"/>
      <c r="CD175" s="409"/>
      <c r="CE175" s="409"/>
      <c r="CF175" s="409"/>
      <c r="CG175" s="409"/>
      <c r="CH175" s="409"/>
      <c r="CI175" s="409">
        <v>8755.6391999999996</v>
      </c>
      <c r="CJ175" s="409">
        <v>-274.4916000000012</v>
      </c>
      <c r="CK175" s="409"/>
      <c r="CL175" s="409"/>
      <c r="CM175" s="409"/>
      <c r="CN175" s="409"/>
      <c r="CO175" s="409">
        <v>-460.10160000000036</v>
      </c>
      <c r="CP175" s="409">
        <v>185.64</v>
      </c>
      <c r="CQ175" s="409">
        <v>31</v>
      </c>
      <c r="CR175" s="409">
        <v>175.09964973249134</v>
      </c>
      <c r="CS175" s="409">
        <v>0</v>
      </c>
      <c r="CT175" s="409">
        <v>0</v>
      </c>
      <c r="CU175" s="409">
        <v>0</v>
      </c>
      <c r="CV175" s="409">
        <v>0</v>
      </c>
      <c r="CW175" s="409">
        <v>0</v>
      </c>
      <c r="CX175" s="409">
        <v>0</v>
      </c>
      <c r="CY175" s="409">
        <v>0</v>
      </c>
      <c r="CZ175" s="409">
        <v>42.139998252091573</v>
      </c>
      <c r="DA175" s="409">
        <v>0</v>
      </c>
      <c r="DB175" s="409">
        <v>0</v>
      </c>
      <c r="DC175" s="409">
        <v>210.57655568042537</v>
      </c>
      <c r="DD175" s="409">
        <v>0</v>
      </c>
      <c r="DE175" s="409">
        <v>0</v>
      </c>
      <c r="DF175" s="409">
        <v>0</v>
      </c>
      <c r="DG175" s="409">
        <v>2.8296647270269446</v>
      </c>
      <c r="DH175" s="409">
        <v>0</v>
      </c>
      <c r="DI175" s="409">
        <v>-54.954324012337679</v>
      </c>
      <c r="DJ175" s="409"/>
      <c r="DK175" s="409">
        <v>0</v>
      </c>
      <c r="DL175" s="409">
        <v>0</v>
      </c>
      <c r="DM175" s="409">
        <v>0</v>
      </c>
      <c r="DN175" s="409">
        <v>0</v>
      </c>
      <c r="DO175" s="409">
        <v>-6.9905175258904251</v>
      </c>
      <c r="DP175" s="409">
        <v>-1.0035143108912603</v>
      </c>
      <c r="DQ175" s="409">
        <v>0</v>
      </c>
      <c r="DR175" s="409">
        <v>-17.498213077933471</v>
      </c>
      <c r="DS175" s="409"/>
      <c r="DT175" s="409"/>
      <c r="DU175" s="409"/>
      <c r="DV175" s="409">
        <v>2828.5708623832934</v>
      </c>
      <c r="DW175" s="409">
        <v>0</v>
      </c>
      <c r="DX175" s="409">
        <v>0</v>
      </c>
      <c r="DY175" s="409">
        <v>-460.10160000000087</v>
      </c>
      <c r="DZ175" s="409">
        <v>185.63999999999987</v>
      </c>
      <c r="EA175" s="409">
        <v>0</v>
      </c>
      <c r="EB175" s="409">
        <v>0</v>
      </c>
      <c r="EC175" s="409">
        <v>-449.6097725763625</v>
      </c>
      <c r="ED175" s="409">
        <v>0</v>
      </c>
      <c r="EE175" s="409">
        <v>0</v>
      </c>
      <c r="EF175" s="409">
        <v>0</v>
      </c>
      <c r="EG175" s="409">
        <v>0</v>
      </c>
      <c r="EH175" s="409">
        <v>0</v>
      </c>
      <c r="EI175" s="409">
        <v>0</v>
      </c>
      <c r="EJ175" s="409">
        <v>0</v>
      </c>
      <c r="EK175" s="409">
        <v>0</v>
      </c>
      <c r="EL175" s="409">
        <v>0</v>
      </c>
      <c r="EM175" s="409">
        <v>0</v>
      </c>
      <c r="EN175" s="409">
        <v>0</v>
      </c>
      <c r="EO175" s="409">
        <v>0</v>
      </c>
      <c r="EP175" s="409">
        <v>0</v>
      </c>
      <c r="EQ175" s="409">
        <v>0</v>
      </c>
      <c r="ER175" s="409">
        <v>0</v>
      </c>
      <c r="ES175" s="409">
        <v>0</v>
      </c>
      <c r="ET175" s="409">
        <v>0</v>
      </c>
      <c r="EU175" s="409">
        <v>0</v>
      </c>
      <c r="EV175" s="409">
        <v>210</v>
      </c>
      <c r="EW175" s="409">
        <v>0</v>
      </c>
      <c r="EX175" s="409">
        <v>0</v>
      </c>
      <c r="EY175" s="409">
        <v>0</v>
      </c>
      <c r="EZ175" s="409"/>
      <c r="FA175" s="409">
        <v>0</v>
      </c>
      <c r="FB175" s="409"/>
      <c r="FC175" s="409"/>
      <c r="FD175" s="409"/>
      <c r="FE175" s="409"/>
      <c r="FF175" s="409">
        <v>0</v>
      </c>
      <c r="FG175" s="409">
        <v>0</v>
      </c>
      <c r="FH175" s="409">
        <v>0</v>
      </c>
      <c r="FI175" s="409">
        <v>0</v>
      </c>
    </row>
    <row r="176" spans="1:165">
      <c r="A176" s="409">
        <v>174</v>
      </c>
      <c r="B176" s="409" t="s">
        <v>1035</v>
      </c>
      <c r="C176" s="409" t="s">
        <v>2241</v>
      </c>
      <c r="D176" s="409" t="s">
        <v>2250</v>
      </c>
      <c r="E176" s="409" t="s">
        <v>2251</v>
      </c>
      <c r="F176" s="409" t="s">
        <v>2252</v>
      </c>
      <c r="G176" s="409" t="s">
        <v>1323</v>
      </c>
      <c r="H176" s="409" t="s">
        <v>1323</v>
      </c>
      <c r="I176" s="409" t="s">
        <v>1323</v>
      </c>
      <c r="J176" s="409" t="s">
        <v>2242</v>
      </c>
      <c r="K176" s="838">
        <v>44470</v>
      </c>
      <c r="L176" s="409">
        <v>0</v>
      </c>
      <c r="M176" s="409">
        <v>0</v>
      </c>
      <c r="N176" s="409">
        <v>20.052</v>
      </c>
      <c r="O176" s="409">
        <v>20.052</v>
      </c>
      <c r="P176" s="409">
        <v>20.052</v>
      </c>
      <c r="Q176" s="409">
        <v>20.052</v>
      </c>
      <c r="R176" s="409"/>
      <c r="S176" s="409">
        <v>215.17</v>
      </c>
      <c r="T176" s="409">
        <v>164.24</v>
      </c>
      <c r="U176" s="409"/>
      <c r="V176" s="409">
        <v>7607.9293199999993</v>
      </c>
      <c r="W176" s="409">
        <v>7607.9293199999993</v>
      </c>
      <c r="X176" s="409">
        <v>7376.9302800000005</v>
      </c>
      <c r="Y176" s="409">
        <v>0</v>
      </c>
      <c r="Z176" s="409">
        <v>726.37662793052459</v>
      </c>
      <c r="AA176" s="409">
        <v>0</v>
      </c>
      <c r="AB176" s="409">
        <v>0</v>
      </c>
      <c r="AC176" s="409">
        <v>0</v>
      </c>
      <c r="AD176" s="409">
        <v>1035.748174135312</v>
      </c>
      <c r="AE176" s="409">
        <v>2383.1303753155416</v>
      </c>
      <c r="AF176" s="409">
        <v>3293.4117811792798</v>
      </c>
      <c r="AG176" s="409">
        <v>0</v>
      </c>
      <c r="AH176" s="409">
        <v>0</v>
      </c>
      <c r="AI176" s="409">
        <v>0</v>
      </c>
      <c r="AJ176" s="409">
        <v>0</v>
      </c>
      <c r="AK176" s="409">
        <v>0</v>
      </c>
      <c r="AL176" s="409">
        <v>112.32988642068175</v>
      </c>
      <c r="AM176" s="409"/>
      <c r="AN176" s="409">
        <v>12.814327304708593</v>
      </c>
      <c r="AO176" s="409">
        <v>0</v>
      </c>
      <c r="AP176" s="409">
        <v>0</v>
      </c>
      <c r="AQ176" s="409">
        <v>0</v>
      </c>
      <c r="AR176" s="409">
        <v>0</v>
      </c>
      <c r="AS176" s="409">
        <v>0</v>
      </c>
      <c r="AT176" s="409">
        <v>0</v>
      </c>
      <c r="AU176" s="409">
        <v>0</v>
      </c>
      <c r="AV176" s="409">
        <v>0</v>
      </c>
      <c r="AW176" s="409">
        <v>0</v>
      </c>
      <c r="AX176" s="409">
        <v>0</v>
      </c>
      <c r="AY176" s="409">
        <v>0</v>
      </c>
      <c r="AZ176" s="409">
        <v>0</v>
      </c>
      <c r="BA176" s="409"/>
      <c r="BB176" s="409">
        <v>0</v>
      </c>
      <c r="BC176" s="409">
        <v>0</v>
      </c>
      <c r="BD176" s="409">
        <v>0</v>
      </c>
      <c r="BE176" s="409">
        <v>0</v>
      </c>
      <c r="BF176" s="409">
        <v>0</v>
      </c>
      <c r="BG176" s="409">
        <v>44.255881755995354</v>
      </c>
      <c r="BH176" s="409">
        <v>0</v>
      </c>
      <c r="BI176" s="409">
        <v>0</v>
      </c>
      <c r="BJ176" s="409">
        <v>0</v>
      </c>
      <c r="BK176" s="409">
        <v>2230.2199999999998</v>
      </c>
      <c r="BL176" s="409">
        <v>6</v>
      </c>
      <c r="BM176" s="409"/>
      <c r="BN176" s="409"/>
      <c r="BO176" s="409"/>
      <c r="BP176" s="409"/>
      <c r="BQ176" s="409"/>
      <c r="BR176" s="409"/>
      <c r="BS176" s="409"/>
      <c r="BT176" s="409"/>
      <c r="BU176" s="409"/>
      <c r="BV176" s="409">
        <v>3337.6676629352751</v>
      </c>
      <c r="BW176" s="409"/>
      <c r="BX176" s="409"/>
      <c r="BY176" s="409"/>
      <c r="BZ176" s="409"/>
      <c r="CA176" s="409"/>
      <c r="CB176" s="409"/>
      <c r="CC176" s="409"/>
      <c r="CD176" s="409"/>
      <c r="CE176" s="409"/>
      <c r="CF176" s="409"/>
      <c r="CG176" s="409"/>
      <c r="CH176" s="409"/>
      <c r="CI176" s="409">
        <v>7376.1945000000005</v>
      </c>
      <c r="CJ176" s="409">
        <v>-231.76481999999942</v>
      </c>
      <c r="CK176" s="409"/>
      <c r="CL176" s="409"/>
      <c r="CM176" s="409"/>
      <c r="CN176" s="409"/>
      <c r="CO176" s="409">
        <v>-387.60515999999967</v>
      </c>
      <c r="CP176" s="409">
        <v>156.60612000000003</v>
      </c>
      <c r="CQ176" s="409">
        <v>31</v>
      </c>
      <c r="CR176" s="409">
        <v>147.52513346369142</v>
      </c>
      <c r="CS176" s="409">
        <v>0</v>
      </c>
      <c r="CT176" s="409">
        <v>0</v>
      </c>
      <c r="CU176" s="409">
        <v>0</v>
      </c>
      <c r="CV176" s="409">
        <v>0</v>
      </c>
      <c r="CW176" s="409">
        <v>0</v>
      </c>
      <c r="CX176" s="409">
        <v>0</v>
      </c>
      <c r="CY176" s="409">
        <v>0</v>
      </c>
      <c r="CZ176" s="409">
        <v>35.503833821466515</v>
      </c>
      <c r="DA176" s="409">
        <v>0</v>
      </c>
      <c r="DB176" s="409">
        <v>0</v>
      </c>
      <c r="DC176" s="409">
        <v>177.41517203797866</v>
      </c>
      <c r="DD176" s="409">
        <v>0</v>
      </c>
      <c r="DE176" s="409">
        <v>0</v>
      </c>
      <c r="DF176" s="409">
        <v>0</v>
      </c>
      <c r="DG176" s="409">
        <v>2.3840519792581176</v>
      </c>
      <c r="DH176" s="409">
        <v>0</v>
      </c>
      <c r="DI176" s="409">
        <v>-46.300172482999415</v>
      </c>
      <c r="DJ176" s="409"/>
      <c r="DK176" s="409">
        <v>0</v>
      </c>
      <c r="DL176" s="409">
        <v>0</v>
      </c>
      <c r="DM176" s="409">
        <v>0</v>
      </c>
      <c r="DN176" s="409">
        <v>0</v>
      </c>
      <c r="DO176" s="409">
        <v>-5.8896578751743789</v>
      </c>
      <c r="DP176" s="409">
        <v>-0.84548188915927547</v>
      </c>
      <c r="DQ176" s="409">
        <v>0</v>
      </c>
      <c r="DR176" s="409">
        <v>-14.742612127677354</v>
      </c>
      <c r="DS176" s="409"/>
      <c r="DT176" s="409"/>
      <c r="DU176" s="409"/>
      <c r="DV176" s="409">
        <v>2383.1303753155416</v>
      </c>
      <c r="DW176" s="409">
        <v>0</v>
      </c>
      <c r="DX176" s="409">
        <v>0</v>
      </c>
      <c r="DY176" s="409">
        <v>-387.60515999999961</v>
      </c>
      <c r="DZ176" s="409">
        <v>156.60611999999992</v>
      </c>
      <c r="EA176" s="409">
        <v>0</v>
      </c>
      <c r="EB176" s="409">
        <v>0</v>
      </c>
      <c r="EC176" s="409">
        <v>-378.80567897904029</v>
      </c>
      <c r="ED176" s="409">
        <v>0</v>
      </c>
      <c r="EE176" s="409">
        <v>0</v>
      </c>
      <c r="EF176" s="409">
        <v>0</v>
      </c>
      <c r="EG176" s="409">
        <v>0</v>
      </c>
      <c r="EH176" s="409">
        <v>0</v>
      </c>
      <c r="EI176" s="409">
        <v>0</v>
      </c>
      <c r="EJ176" s="409">
        <v>0</v>
      </c>
      <c r="EK176" s="409">
        <v>0</v>
      </c>
      <c r="EL176" s="409">
        <v>0</v>
      </c>
      <c r="EM176" s="409">
        <v>0</v>
      </c>
      <c r="EN176" s="409">
        <v>0</v>
      </c>
      <c r="EO176" s="409">
        <v>0</v>
      </c>
      <c r="EP176" s="409">
        <v>0</v>
      </c>
      <c r="EQ176" s="409">
        <v>0</v>
      </c>
      <c r="ER176" s="409">
        <v>0</v>
      </c>
      <c r="ES176" s="409">
        <v>0</v>
      </c>
      <c r="ET176" s="409">
        <v>0</v>
      </c>
      <c r="EU176" s="409">
        <v>0</v>
      </c>
      <c r="EV176" s="409">
        <v>210</v>
      </c>
      <c r="EW176" s="409">
        <v>0</v>
      </c>
      <c r="EX176" s="409">
        <v>0</v>
      </c>
      <c r="EY176" s="409">
        <v>0</v>
      </c>
      <c r="EZ176" s="409"/>
      <c r="FA176" s="409">
        <v>0</v>
      </c>
      <c r="FB176" s="409"/>
      <c r="FC176" s="409"/>
      <c r="FD176" s="409"/>
      <c r="FE176" s="409"/>
      <c r="FF176" s="409">
        <v>0</v>
      </c>
      <c r="FG176" s="409">
        <v>0</v>
      </c>
      <c r="FH176" s="409">
        <v>0</v>
      </c>
      <c r="FI176" s="409">
        <v>0</v>
      </c>
    </row>
    <row r="177" spans="1:165">
      <c r="A177" s="409">
        <v>175</v>
      </c>
      <c r="B177" s="409" t="s">
        <v>1035</v>
      </c>
      <c r="C177" s="409" t="s">
        <v>2241</v>
      </c>
      <c r="D177" s="409" t="s">
        <v>1992</v>
      </c>
      <c r="E177" s="409" t="s">
        <v>1000</v>
      </c>
      <c r="F177" s="409" t="s">
        <v>2253</v>
      </c>
      <c r="G177" s="409" t="s">
        <v>1323</v>
      </c>
      <c r="H177" s="409" t="s">
        <v>1323</v>
      </c>
      <c r="I177" s="409" t="s">
        <v>1323</v>
      </c>
      <c r="J177" s="409" t="s">
        <v>2242</v>
      </c>
      <c r="K177" s="838">
        <v>44470</v>
      </c>
      <c r="L177" s="409">
        <v>0</v>
      </c>
      <c r="M177" s="409">
        <v>0</v>
      </c>
      <c r="N177" s="409">
        <v>4.0979999999999999</v>
      </c>
      <c r="O177" s="409">
        <v>3.8521199999999998</v>
      </c>
      <c r="P177" s="409">
        <v>4.0979999999999999</v>
      </c>
      <c r="Q177" s="409">
        <v>3.8521199999999998</v>
      </c>
      <c r="R177" s="409"/>
      <c r="S177" s="409">
        <v>358.62</v>
      </c>
      <c r="T177" s="409">
        <v>273.74</v>
      </c>
      <c r="U177" s="409"/>
      <c r="V177" s="409">
        <v>2591.4112800000003</v>
      </c>
      <c r="W177" s="409">
        <v>2591.4112800000003</v>
      </c>
      <c r="X177" s="409">
        <v>2512.6477199999999</v>
      </c>
      <c r="Y177" s="409">
        <v>0</v>
      </c>
      <c r="Z177" s="409">
        <v>247.41434115128095</v>
      </c>
      <c r="AA177" s="409">
        <v>0</v>
      </c>
      <c r="AB177" s="409">
        <v>0</v>
      </c>
      <c r="AC177" s="409">
        <v>0</v>
      </c>
      <c r="AD177" s="409">
        <v>352.79074552883367</v>
      </c>
      <c r="AE177" s="409">
        <v>811.72852899486941</v>
      </c>
      <c r="AF177" s="409">
        <v>1121.7834862085831</v>
      </c>
      <c r="AG177" s="409">
        <v>0</v>
      </c>
      <c r="AH177" s="409">
        <v>0</v>
      </c>
      <c r="AI177" s="409">
        <v>0</v>
      </c>
      <c r="AJ177" s="409">
        <v>0</v>
      </c>
      <c r="AK177" s="409">
        <v>0</v>
      </c>
      <c r="AL177" s="409">
        <v>38.261177152067489</v>
      </c>
      <c r="AM177" s="409"/>
      <c r="AN177" s="409">
        <v>4.3647444390165484</v>
      </c>
      <c r="AO177" s="409">
        <v>0</v>
      </c>
      <c r="AP177" s="409">
        <v>0</v>
      </c>
      <c r="AQ177" s="409">
        <v>0</v>
      </c>
      <c r="AR177" s="409">
        <v>0</v>
      </c>
      <c r="AS177" s="409">
        <v>0</v>
      </c>
      <c r="AT177" s="409">
        <v>0</v>
      </c>
      <c r="AU177" s="409">
        <v>0</v>
      </c>
      <c r="AV177" s="409">
        <v>0</v>
      </c>
      <c r="AW177" s="409">
        <v>0</v>
      </c>
      <c r="AX177" s="409">
        <v>0</v>
      </c>
      <c r="AY177" s="409">
        <v>0</v>
      </c>
      <c r="AZ177" s="409">
        <v>0</v>
      </c>
      <c r="BA177" s="409"/>
      <c r="BB177" s="409">
        <v>0</v>
      </c>
      <c r="BC177" s="409">
        <v>0</v>
      </c>
      <c r="BD177" s="409">
        <v>0</v>
      </c>
      <c r="BE177" s="409">
        <v>0</v>
      </c>
      <c r="BF177" s="409">
        <v>0</v>
      </c>
      <c r="BG177" s="409">
        <v>15.074190723790517</v>
      </c>
      <c r="BH177" s="409">
        <v>0</v>
      </c>
      <c r="BI177" s="409">
        <v>0</v>
      </c>
      <c r="BJ177" s="409">
        <v>0</v>
      </c>
      <c r="BK177" s="409">
        <v>573.89</v>
      </c>
      <c r="BL177" s="409">
        <v>3</v>
      </c>
      <c r="BM177" s="409"/>
      <c r="BN177" s="409"/>
      <c r="BO177" s="409"/>
      <c r="BP177" s="409"/>
      <c r="BQ177" s="409">
        <v>150.75886320000006</v>
      </c>
      <c r="BR177" s="409"/>
      <c r="BS177" s="409"/>
      <c r="BT177" s="409"/>
      <c r="BU177" s="409"/>
      <c r="BV177" s="409">
        <v>1136.8576769323736</v>
      </c>
      <c r="BW177" s="409"/>
      <c r="BX177" s="409"/>
      <c r="BY177" s="409"/>
      <c r="BZ177" s="409"/>
      <c r="CA177" s="409"/>
      <c r="CB177" s="409"/>
      <c r="CC177" s="409"/>
      <c r="CD177" s="409"/>
      <c r="CE177" s="409"/>
      <c r="CF177" s="409"/>
      <c r="CG177" s="409"/>
      <c r="CH177" s="409"/>
      <c r="CI177" s="409">
        <v>2360.5889999999999</v>
      </c>
      <c r="CJ177" s="409">
        <v>-75.367603200000303</v>
      </c>
      <c r="CK177" s="409"/>
      <c r="CL177" s="409"/>
      <c r="CM177" s="409"/>
      <c r="CN177" s="409"/>
      <c r="CO177" s="409">
        <v>-132.0375600000001</v>
      </c>
      <c r="CP177" s="409">
        <v>53.274000000000001</v>
      </c>
      <c r="CQ177" s="409">
        <v>31</v>
      </c>
      <c r="CR177" s="409">
        <v>50.249185196341159</v>
      </c>
      <c r="CS177" s="409">
        <v>0</v>
      </c>
      <c r="CT177" s="409">
        <v>0</v>
      </c>
      <c r="CU177" s="409">
        <v>0</v>
      </c>
      <c r="CV177" s="409">
        <v>0</v>
      </c>
      <c r="CW177" s="409">
        <v>0</v>
      </c>
      <c r="CX177" s="409">
        <v>0</v>
      </c>
      <c r="CY177" s="409">
        <v>0</v>
      </c>
      <c r="CZ177" s="409">
        <v>12.093117145453164</v>
      </c>
      <c r="DA177" s="409">
        <v>0</v>
      </c>
      <c r="DB177" s="409">
        <v>0</v>
      </c>
      <c r="DC177" s="409">
        <v>60.430162827617778</v>
      </c>
      <c r="DD177" s="409">
        <v>0</v>
      </c>
      <c r="DE177" s="409">
        <v>0</v>
      </c>
      <c r="DF177" s="409">
        <v>0</v>
      </c>
      <c r="DG177" s="409">
        <v>0.81204244057117769</v>
      </c>
      <c r="DH177" s="409">
        <v>0</v>
      </c>
      <c r="DI177" s="409">
        <v>-15.770505588414551</v>
      </c>
      <c r="DJ177" s="409"/>
      <c r="DK177" s="409">
        <v>0</v>
      </c>
      <c r="DL177" s="409">
        <v>0</v>
      </c>
      <c r="DM177" s="409">
        <v>0</v>
      </c>
      <c r="DN177" s="409">
        <v>0</v>
      </c>
      <c r="DO177" s="409">
        <v>-2.0061022983962857</v>
      </c>
      <c r="DP177" s="409">
        <v>-0.28798330854568466</v>
      </c>
      <c r="DQ177" s="409">
        <v>0</v>
      </c>
      <c r="DR177" s="409">
        <v>-5.0215460219447738</v>
      </c>
      <c r="DS177" s="409"/>
      <c r="DT177" s="409"/>
      <c r="DU177" s="409"/>
      <c r="DV177" s="409">
        <v>811.72852899486941</v>
      </c>
      <c r="DW177" s="409">
        <v>0</v>
      </c>
      <c r="DX177" s="409">
        <v>0</v>
      </c>
      <c r="DY177" s="409">
        <v>-132.03755999999998</v>
      </c>
      <c r="DZ177" s="409">
        <v>53.273999999999887</v>
      </c>
      <c r="EA177" s="409">
        <v>0</v>
      </c>
      <c r="EB177" s="409">
        <v>0</v>
      </c>
      <c r="EC177" s="409">
        <v>-129.02667002926694</v>
      </c>
      <c r="ED177" s="409">
        <v>0</v>
      </c>
      <c r="EE177" s="409">
        <v>0</v>
      </c>
      <c r="EF177" s="409">
        <v>0</v>
      </c>
      <c r="EG177" s="409">
        <v>0</v>
      </c>
      <c r="EH177" s="409">
        <v>0</v>
      </c>
      <c r="EI177" s="409">
        <v>0</v>
      </c>
      <c r="EJ177" s="409">
        <v>0</v>
      </c>
      <c r="EK177" s="409">
        <v>0</v>
      </c>
      <c r="EL177" s="409">
        <v>0</v>
      </c>
      <c r="EM177" s="409">
        <v>0</v>
      </c>
      <c r="EN177" s="409">
        <v>0</v>
      </c>
      <c r="EO177" s="409">
        <v>0</v>
      </c>
      <c r="EP177" s="409">
        <v>0</v>
      </c>
      <c r="EQ177" s="409">
        <v>0</v>
      </c>
      <c r="ER177" s="409">
        <v>0</v>
      </c>
      <c r="ES177" s="409">
        <v>0</v>
      </c>
      <c r="ET177" s="409">
        <v>0</v>
      </c>
      <c r="EU177" s="409">
        <v>0</v>
      </c>
      <c r="EV177" s="409">
        <v>210</v>
      </c>
      <c r="EW177" s="409">
        <v>0</v>
      </c>
      <c r="EX177" s="409">
        <v>0</v>
      </c>
      <c r="EY177" s="409">
        <v>0</v>
      </c>
      <c r="EZ177" s="409"/>
      <c r="FA177" s="409">
        <v>0</v>
      </c>
      <c r="FB177" s="409"/>
      <c r="FC177" s="409"/>
      <c r="FD177" s="409"/>
      <c r="FE177" s="409"/>
      <c r="FF177" s="409">
        <v>0</v>
      </c>
      <c r="FG177" s="409">
        <v>0</v>
      </c>
      <c r="FH177" s="409">
        <v>0</v>
      </c>
      <c r="FI177" s="409">
        <v>0</v>
      </c>
    </row>
    <row r="178" spans="1:165">
      <c r="A178" s="409">
        <v>176</v>
      </c>
      <c r="B178" s="409" t="s">
        <v>1035</v>
      </c>
      <c r="C178" s="409" t="s">
        <v>2246</v>
      </c>
      <c r="D178" s="409" t="s">
        <v>595</v>
      </c>
      <c r="E178" s="409" t="s">
        <v>1000</v>
      </c>
      <c r="F178" s="409" t="s">
        <v>2253</v>
      </c>
      <c r="G178" s="409" t="s">
        <v>1323</v>
      </c>
      <c r="H178" s="409" t="s">
        <v>1323</v>
      </c>
      <c r="I178" s="409" t="s">
        <v>972</v>
      </c>
      <c r="J178" s="409" t="s">
        <v>2242</v>
      </c>
      <c r="K178" s="838">
        <v>44470</v>
      </c>
      <c r="L178" s="409">
        <v>0</v>
      </c>
      <c r="M178" s="409">
        <v>0</v>
      </c>
      <c r="N178" s="409">
        <v>8.016</v>
      </c>
      <c r="O178" s="409">
        <v>7.5350399999999995</v>
      </c>
      <c r="P178" s="409">
        <v>8.016</v>
      </c>
      <c r="Q178" s="409">
        <v>7.5350399999999995</v>
      </c>
      <c r="R178" s="409"/>
      <c r="S178" s="409">
        <v>1856.88</v>
      </c>
      <c r="T178" s="409">
        <v>273.74</v>
      </c>
      <c r="U178" s="409"/>
      <c r="V178" s="409">
        <v>17079.049920000001</v>
      </c>
      <c r="W178" s="409">
        <v>17079.049920000001</v>
      </c>
      <c r="X178" s="409">
        <v>15649.39632</v>
      </c>
      <c r="Y178" s="409">
        <v>0</v>
      </c>
      <c r="Z178" s="409">
        <v>421.04632065440222</v>
      </c>
      <c r="AA178" s="409">
        <v>0</v>
      </c>
      <c r="AB178" s="409">
        <v>0</v>
      </c>
      <c r="AC178" s="409">
        <v>0</v>
      </c>
      <c r="AD178" s="409">
        <v>3928.5764333295733</v>
      </c>
      <c r="AE178" s="409">
        <v>10439.890272019287</v>
      </c>
      <c r="AF178" s="409">
        <v>2194.2939056730115</v>
      </c>
      <c r="AG178" s="409">
        <v>0</v>
      </c>
      <c r="AH178" s="409">
        <v>0</v>
      </c>
      <c r="AI178" s="409">
        <v>0</v>
      </c>
      <c r="AJ178" s="409">
        <v>0</v>
      </c>
      <c r="AK178" s="409">
        <v>0</v>
      </c>
      <c r="AL178" s="409">
        <v>74.841775512682531</v>
      </c>
      <c r="AM178" s="409"/>
      <c r="AN178" s="409">
        <v>6.9585926879015574</v>
      </c>
      <c r="AO178" s="409">
        <v>0</v>
      </c>
      <c r="AP178" s="409">
        <v>0</v>
      </c>
      <c r="AQ178" s="409">
        <v>0</v>
      </c>
      <c r="AR178" s="409">
        <v>0</v>
      </c>
      <c r="AS178" s="409">
        <v>0</v>
      </c>
      <c r="AT178" s="409">
        <v>0</v>
      </c>
      <c r="AU178" s="409">
        <v>0</v>
      </c>
      <c r="AV178" s="409">
        <v>0</v>
      </c>
      <c r="AW178" s="409">
        <v>0</v>
      </c>
      <c r="AX178" s="409">
        <v>0</v>
      </c>
      <c r="AY178" s="409">
        <v>0</v>
      </c>
      <c r="AZ178" s="409">
        <v>0</v>
      </c>
      <c r="BA178" s="409"/>
      <c r="BB178" s="409">
        <v>0</v>
      </c>
      <c r="BC178" s="409">
        <v>0</v>
      </c>
      <c r="BD178" s="409">
        <v>0</v>
      </c>
      <c r="BE178" s="409">
        <v>0</v>
      </c>
      <c r="BF178" s="409">
        <v>0</v>
      </c>
      <c r="BG178" s="409">
        <v>13.413380198181146</v>
      </c>
      <c r="BH178" s="409">
        <v>0</v>
      </c>
      <c r="BI178" s="409">
        <v>0</v>
      </c>
      <c r="BJ178" s="409">
        <v>0</v>
      </c>
      <c r="BK178" s="409">
        <v>0</v>
      </c>
      <c r="BL178" s="409">
        <v>0</v>
      </c>
      <c r="BM178" s="409"/>
      <c r="BN178" s="409"/>
      <c r="BO178" s="409"/>
      <c r="BP178" s="409"/>
      <c r="BQ178" s="409">
        <v>938.96377920000089</v>
      </c>
      <c r="BR178" s="409"/>
      <c r="BS178" s="409"/>
      <c r="BT178" s="409"/>
      <c r="BU178" s="409"/>
      <c r="BV178" s="409">
        <v>2207.7072858711927</v>
      </c>
      <c r="BW178" s="409"/>
      <c r="BX178" s="409"/>
      <c r="BY178" s="409"/>
      <c r="BZ178" s="409"/>
      <c r="CA178" s="409"/>
      <c r="CB178" s="409"/>
      <c r="CC178" s="409"/>
      <c r="CD178" s="409"/>
      <c r="CE178" s="409"/>
      <c r="CF178" s="409"/>
      <c r="CG178" s="409"/>
      <c r="CH178" s="409"/>
      <c r="CI178" s="409">
        <v>14720.1158</v>
      </c>
      <c r="CJ178" s="409">
        <v>-1334.2211248000021</v>
      </c>
      <c r="CK178" s="409"/>
      <c r="CL178" s="409"/>
      <c r="CM178" s="409"/>
      <c r="CN178" s="409"/>
      <c r="CO178" s="409">
        <v>-1533.8616000000011</v>
      </c>
      <c r="CP178" s="409">
        <v>104.208</v>
      </c>
      <c r="CQ178" s="409">
        <v>31</v>
      </c>
      <c r="CR178" s="409">
        <v>229.88425392722093</v>
      </c>
      <c r="CS178" s="409">
        <v>0</v>
      </c>
      <c r="CT178" s="409">
        <v>0</v>
      </c>
      <c r="CU178" s="409">
        <v>0</v>
      </c>
      <c r="CV178" s="409">
        <v>0</v>
      </c>
      <c r="CW178" s="409">
        <v>0</v>
      </c>
      <c r="CX178" s="409">
        <v>0</v>
      </c>
      <c r="CY178" s="409">
        <v>0</v>
      </c>
      <c r="CZ178" s="409">
        <v>134.66547982120073</v>
      </c>
      <c r="DA178" s="409">
        <v>0</v>
      </c>
      <c r="DB178" s="409">
        <v>0</v>
      </c>
      <c r="DC178" s="409">
        <v>118.20599932313007</v>
      </c>
      <c r="DD178" s="409">
        <v>0</v>
      </c>
      <c r="DE178" s="409">
        <v>0</v>
      </c>
      <c r="DF178" s="409">
        <v>0</v>
      </c>
      <c r="DG178" s="409">
        <v>0.72257504180642584</v>
      </c>
      <c r="DH178" s="409">
        <v>0</v>
      </c>
      <c r="DI178" s="409">
        <v>-26.838029363873943</v>
      </c>
      <c r="DJ178" s="409"/>
      <c r="DK178" s="409">
        <v>0</v>
      </c>
      <c r="DL178" s="409">
        <v>0</v>
      </c>
      <c r="DM178" s="409">
        <v>0</v>
      </c>
      <c r="DN178" s="409">
        <v>0</v>
      </c>
      <c r="DO178" s="409">
        <v>-3.924088829659496</v>
      </c>
      <c r="DP178" s="409">
        <v>-0.45912391277029307</v>
      </c>
      <c r="DQ178" s="409">
        <v>0</v>
      </c>
      <c r="DR178" s="409">
        <v>7.5114418473875393</v>
      </c>
      <c r="DS178" s="409"/>
      <c r="DT178" s="409"/>
      <c r="DU178" s="409"/>
      <c r="DV178" s="409">
        <v>10439.890272019287</v>
      </c>
      <c r="DW178" s="409">
        <v>0</v>
      </c>
      <c r="DX178" s="409">
        <v>0</v>
      </c>
      <c r="DY178" s="409">
        <v>-1533.861600000002</v>
      </c>
      <c r="DZ178" s="409">
        <v>104.20800000000008</v>
      </c>
      <c r="EA178" s="409">
        <v>0</v>
      </c>
      <c r="EB178" s="409">
        <v>0</v>
      </c>
      <c r="EC178" s="409">
        <v>-1659.4516875456975</v>
      </c>
      <c r="ED178" s="409">
        <v>0</v>
      </c>
      <c r="EE178" s="409">
        <v>0</v>
      </c>
      <c r="EF178" s="409">
        <v>0</v>
      </c>
      <c r="EG178" s="409">
        <v>0</v>
      </c>
      <c r="EH178" s="409">
        <v>0</v>
      </c>
      <c r="EI178" s="409">
        <v>0</v>
      </c>
      <c r="EJ178" s="409">
        <v>0</v>
      </c>
      <c r="EK178" s="409">
        <v>0</v>
      </c>
      <c r="EL178" s="409">
        <v>0</v>
      </c>
      <c r="EM178" s="409">
        <v>0</v>
      </c>
      <c r="EN178" s="409">
        <v>0</v>
      </c>
      <c r="EO178" s="409">
        <v>0</v>
      </c>
      <c r="EP178" s="409">
        <v>0</v>
      </c>
      <c r="EQ178" s="409">
        <v>0</v>
      </c>
      <c r="ER178" s="409">
        <v>0</v>
      </c>
      <c r="ES178" s="409">
        <v>0</v>
      </c>
      <c r="ET178" s="409">
        <v>0</v>
      </c>
      <c r="EU178" s="409">
        <v>0</v>
      </c>
      <c r="EV178" s="409">
        <v>210</v>
      </c>
      <c r="EW178" s="409">
        <v>0</v>
      </c>
      <c r="EX178" s="409">
        <v>0</v>
      </c>
      <c r="EY178" s="409">
        <v>0</v>
      </c>
      <c r="EZ178" s="409"/>
      <c r="FA178" s="409">
        <v>0</v>
      </c>
      <c r="FB178" s="409"/>
      <c r="FC178" s="409"/>
      <c r="FD178" s="409"/>
      <c r="FE178" s="409"/>
      <c r="FF178" s="409">
        <v>0</v>
      </c>
      <c r="FG178" s="409">
        <v>0</v>
      </c>
      <c r="FH178" s="409">
        <v>0</v>
      </c>
      <c r="FI178" s="409">
        <v>0</v>
      </c>
    </row>
    <row r="179" spans="1:165">
      <c r="A179" s="409">
        <v>177</v>
      </c>
      <c r="B179" s="409" t="s">
        <v>1035</v>
      </c>
      <c r="C179" s="409" t="s">
        <v>2246</v>
      </c>
      <c r="D179" s="409" t="s">
        <v>595</v>
      </c>
      <c r="E179" s="409" t="s">
        <v>1000</v>
      </c>
      <c r="F179" s="409" t="s">
        <v>2253</v>
      </c>
      <c r="G179" s="409" t="s">
        <v>1323</v>
      </c>
      <c r="H179" s="409" t="s">
        <v>1323</v>
      </c>
      <c r="I179" s="409" t="s">
        <v>2234</v>
      </c>
      <c r="J179" s="409" t="s">
        <v>2242</v>
      </c>
      <c r="K179" s="838">
        <v>44470</v>
      </c>
      <c r="L179" s="409">
        <v>0</v>
      </c>
      <c r="M179" s="409">
        <v>0</v>
      </c>
      <c r="N179" s="409">
        <v>77.625</v>
      </c>
      <c r="O179" s="409">
        <v>72.967500000000001</v>
      </c>
      <c r="P179" s="409">
        <v>77.625</v>
      </c>
      <c r="Q179" s="409">
        <v>72.967500000000001</v>
      </c>
      <c r="R179" s="409"/>
      <c r="S179" s="409">
        <v>64.400000000000006</v>
      </c>
      <c r="T179" s="409">
        <v>273.74</v>
      </c>
      <c r="U179" s="409"/>
      <c r="V179" s="409">
        <v>26248.1175</v>
      </c>
      <c r="W179" s="409">
        <v>26248.1175</v>
      </c>
      <c r="X179" s="409">
        <v>26969.25375</v>
      </c>
      <c r="Y179" s="409">
        <v>0</v>
      </c>
      <c r="Z179" s="409">
        <v>4077.310459181384</v>
      </c>
      <c r="AA179" s="409">
        <v>0</v>
      </c>
      <c r="AB179" s="409">
        <v>0</v>
      </c>
      <c r="AC179" s="409">
        <v>0</v>
      </c>
      <c r="AD179" s="409">
        <v>0</v>
      </c>
      <c r="AE179" s="409">
        <v>0</v>
      </c>
      <c r="AF179" s="409">
        <v>21249.010033416609</v>
      </c>
      <c r="AG179" s="409">
        <v>0</v>
      </c>
      <c r="AH179" s="409">
        <v>0</v>
      </c>
      <c r="AI179" s="409">
        <v>0</v>
      </c>
      <c r="AJ179" s="409">
        <v>0</v>
      </c>
      <c r="AK179" s="409">
        <v>0</v>
      </c>
      <c r="AL179" s="409">
        <v>724.74960381386995</v>
      </c>
      <c r="AM179" s="409"/>
      <c r="AN179" s="409">
        <v>67.385324026741316</v>
      </c>
      <c r="AO179" s="409">
        <v>0</v>
      </c>
      <c r="AP179" s="409">
        <v>0</v>
      </c>
      <c r="AQ179" s="409">
        <v>0</v>
      </c>
      <c r="AR179" s="409">
        <v>0</v>
      </c>
      <c r="AS179" s="409">
        <v>0</v>
      </c>
      <c r="AT179" s="409">
        <v>0</v>
      </c>
      <c r="AU179" s="409">
        <v>0</v>
      </c>
      <c r="AV179" s="409">
        <v>0</v>
      </c>
      <c r="AW179" s="409">
        <v>0</v>
      </c>
      <c r="AX179" s="409">
        <v>0</v>
      </c>
      <c r="AY179" s="409">
        <v>0</v>
      </c>
      <c r="AZ179" s="409">
        <v>0</v>
      </c>
      <c r="BA179" s="409"/>
      <c r="BB179" s="409">
        <v>0</v>
      </c>
      <c r="BC179" s="409">
        <v>0</v>
      </c>
      <c r="BD179" s="409">
        <v>0</v>
      </c>
      <c r="BE179" s="409">
        <v>0</v>
      </c>
      <c r="BF179" s="409">
        <v>0</v>
      </c>
      <c r="BG179" s="409">
        <v>129.89192089368905</v>
      </c>
      <c r="BH179" s="409">
        <v>0</v>
      </c>
      <c r="BI179" s="409">
        <v>0</v>
      </c>
      <c r="BJ179" s="409">
        <v>0</v>
      </c>
      <c r="BK179" s="409">
        <v>0</v>
      </c>
      <c r="BL179" s="409">
        <v>0</v>
      </c>
      <c r="BM179" s="409"/>
      <c r="BN179" s="409"/>
      <c r="BO179" s="409"/>
      <c r="BP179" s="409"/>
      <c r="BQ179" s="409">
        <v>1618.1552249999995</v>
      </c>
      <c r="BR179" s="409"/>
      <c r="BS179" s="409"/>
      <c r="BT179" s="409"/>
      <c r="BU179" s="409"/>
      <c r="BV179" s="409">
        <v>21378.901954310299</v>
      </c>
      <c r="BW179" s="409"/>
      <c r="BX179" s="409"/>
      <c r="BY179" s="409"/>
      <c r="BZ179" s="409"/>
      <c r="CA179" s="409"/>
      <c r="CB179" s="409"/>
      <c r="CC179" s="409"/>
      <c r="CD179" s="409"/>
      <c r="CE179" s="409"/>
      <c r="CF179" s="409"/>
      <c r="CG179" s="409"/>
      <c r="CH179" s="409"/>
      <c r="CI179" s="409">
        <v>25351.967099999998</v>
      </c>
      <c r="CJ179" s="409">
        <v>678.70664999999644</v>
      </c>
      <c r="CK179" s="409"/>
      <c r="CL179" s="409"/>
      <c r="CM179" s="409"/>
      <c r="CN179" s="409"/>
      <c r="CO179" s="409">
        <v>-287.98875000000061</v>
      </c>
      <c r="CP179" s="409">
        <v>1009.125</v>
      </c>
      <c r="CQ179" s="409">
        <v>31</v>
      </c>
      <c r="CR179" s="409">
        <v>721.25461642907976</v>
      </c>
      <c r="CS179" s="409">
        <v>0</v>
      </c>
      <c r="CT179" s="409">
        <v>0</v>
      </c>
      <c r="CU179" s="409">
        <v>0</v>
      </c>
      <c r="CV179" s="409">
        <v>0</v>
      </c>
      <c r="CW179" s="409">
        <v>0</v>
      </c>
      <c r="CX179" s="409">
        <v>0</v>
      </c>
      <c r="CY179" s="409">
        <v>0</v>
      </c>
      <c r="CZ179" s="409">
        <v>0</v>
      </c>
      <c r="DA179" s="409">
        <v>0</v>
      </c>
      <c r="DB179" s="409">
        <v>0</v>
      </c>
      <c r="DC179" s="409">
        <v>1144.6782307208014</v>
      </c>
      <c r="DD179" s="409">
        <v>0</v>
      </c>
      <c r="DE179" s="409">
        <v>0</v>
      </c>
      <c r="DF179" s="409">
        <v>0</v>
      </c>
      <c r="DG179" s="409">
        <v>6.9972414695888006</v>
      </c>
      <c r="DH179" s="409">
        <v>0</v>
      </c>
      <c r="DI179" s="409">
        <v>-259.89296773586784</v>
      </c>
      <c r="DJ179" s="409"/>
      <c r="DK179" s="409">
        <v>0</v>
      </c>
      <c r="DL179" s="409">
        <v>0</v>
      </c>
      <c r="DM179" s="409">
        <v>0</v>
      </c>
      <c r="DN179" s="409">
        <v>0</v>
      </c>
      <c r="DO179" s="409">
        <v>-37.999924576137573</v>
      </c>
      <c r="DP179" s="409">
        <v>-4.4460446268455627</v>
      </c>
      <c r="DQ179" s="409">
        <v>0</v>
      </c>
      <c r="DR179" s="409">
        <v>-128.08191882245436</v>
      </c>
      <c r="DS179" s="409"/>
      <c r="DT179" s="409"/>
      <c r="DU179" s="409"/>
      <c r="DV179" s="409">
        <v>0</v>
      </c>
      <c r="DW179" s="409">
        <v>0</v>
      </c>
      <c r="DX179" s="409">
        <v>0</v>
      </c>
      <c r="DY179" s="409">
        <v>-287.98875000000044</v>
      </c>
      <c r="DZ179" s="409">
        <v>1009.125</v>
      </c>
      <c r="EA179" s="409">
        <v>0</v>
      </c>
      <c r="EB179" s="409">
        <v>0</v>
      </c>
      <c r="EC179" s="409">
        <v>0</v>
      </c>
      <c r="ED179" s="409">
        <v>0</v>
      </c>
      <c r="EE179" s="409">
        <v>0</v>
      </c>
      <c r="EF179" s="409">
        <v>0</v>
      </c>
      <c r="EG179" s="409">
        <v>0</v>
      </c>
      <c r="EH179" s="409">
        <v>0</v>
      </c>
      <c r="EI179" s="409">
        <v>0</v>
      </c>
      <c r="EJ179" s="409">
        <v>0</v>
      </c>
      <c r="EK179" s="409">
        <v>0</v>
      </c>
      <c r="EL179" s="409">
        <v>0</v>
      </c>
      <c r="EM179" s="409">
        <v>0</v>
      </c>
      <c r="EN179" s="409">
        <v>0</v>
      </c>
      <c r="EO179" s="409">
        <v>0</v>
      </c>
      <c r="EP179" s="409">
        <v>0</v>
      </c>
      <c r="EQ179" s="409">
        <v>0</v>
      </c>
      <c r="ER179" s="409">
        <v>0</v>
      </c>
      <c r="ES179" s="409">
        <v>0</v>
      </c>
      <c r="ET179" s="409">
        <v>0</v>
      </c>
      <c r="EU179" s="409">
        <v>0</v>
      </c>
      <c r="EV179" s="409">
        <v>210</v>
      </c>
      <c r="EW179" s="409">
        <v>0</v>
      </c>
      <c r="EX179" s="409">
        <v>0</v>
      </c>
      <c r="EY179" s="409">
        <v>0</v>
      </c>
      <c r="EZ179" s="409"/>
      <c r="FA179" s="409">
        <v>0</v>
      </c>
      <c r="FB179" s="409"/>
      <c r="FC179" s="409"/>
      <c r="FD179" s="409"/>
      <c r="FE179" s="409"/>
      <c r="FF179" s="409">
        <v>0</v>
      </c>
      <c r="FG179" s="409">
        <v>0</v>
      </c>
      <c r="FH179" s="409">
        <v>0</v>
      </c>
      <c r="FI179" s="409">
        <v>0</v>
      </c>
    </row>
    <row r="180" spans="1:165">
      <c r="A180" s="409">
        <v>178</v>
      </c>
      <c r="B180" s="409" t="s">
        <v>1035</v>
      </c>
      <c r="C180" s="409" t="s">
        <v>2246</v>
      </c>
      <c r="D180" s="409" t="s">
        <v>595</v>
      </c>
      <c r="E180" s="409" t="s">
        <v>1000</v>
      </c>
      <c r="F180" s="409" t="s">
        <v>2253</v>
      </c>
      <c r="G180" s="409" t="s">
        <v>1323</v>
      </c>
      <c r="H180" s="409" t="s">
        <v>1323</v>
      </c>
      <c r="I180" s="409" t="s">
        <v>1323</v>
      </c>
      <c r="J180" s="409" t="s">
        <v>2242</v>
      </c>
      <c r="K180" s="838">
        <v>44470</v>
      </c>
      <c r="L180" s="409">
        <v>140</v>
      </c>
      <c r="M180" s="409">
        <v>131.6</v>
      </c>
      <c r="N180" s="409">
        <v>0</v>
      </c>
      <c r="O180" s="409">
        <v>0</v>
      </c>
      <c r="P180" s="409">
        <v>0</v>
      </c>
      <c r="Q180" s="409">
        <v>0</v>
      </c>
      <c r="R180" s="409">
        <v>33.6</v>
      </c>
      <c r="S180" s="409"/>
      <c r="T180" s="409"/>
      <c r="U180" s="409">
        <v>4704</v>
      </c>
      <c r="V180" s="409"/>
      <c r="W180" s="409">
        <v>4704</v>
      </c>
      <c r="X180" s="409">
        <v>4446.4000000000005</v>
      </c>
      <c r="Y180" s="409">
        <v>0</v>
      </c>
      <c r="Z180" s="409">
        <v>0</v>
      </c>
      <c r="AA180" s="409">
        <v>0</v>
      </c>
      <c r="AB180" s="409">
        <v>0</v>
      </c>
      <c r="AC180" s="409">
        <v>0</v>
      </c>
      <c r="AD180" s="409">
        <v>2498.3720823538683</v>
      </c>
      <c r="AE180" s="409">
        <v>2205.721001824802</v>
      </c>
      <c r="AF180" s="409"/>
      <c r="AG180" s="409"/>
      <c r="AH180" s="409"/>
      <c r="AI180" s="409">
        <v>0</v>
      </c>
      <c r="AJ180" s="409">
        <v>0</v>
      </c>
      <c r="AK180" s="409">
        <v>0</v>
      </c>
      <c r="AL180" s="409">
        <v>0</v>
      </c>
      <c r="AM180" s="409"/>
      <c r="AN180" s="409">
        <v>0</v>
      </c>
      <c r="AO180" s="409">
        <v>0</v>
      </c>
      <c r="AP180" s="409">
        <v>0</v>
      </c>
      <c r="AQ180" s="409">
        <v>0</v>
      </c>
      <c r="AR180" s="409">
        <v>0</v>
      </c>
      <c r="AS180" s="409"/>
      <c r="AT180" s="409"/>
      <c r="AU180" s="409">
        <v>0</v>
      </c>
      <c r="AV180" s="409">
        <v>0</v>
      </c>
      <c r="AW180" s="409">
        <v>0</v>
      </c>
      <c r="AX180" s="409"/>
      <c r="AY180" s="409"/>
      <c r="AZ180" s="409">
        <v>0</v>
      </c>
      <c r="BA180" s="409"/>
      <c r="BB180" s="409">
        <v>0</v>
      </c>
      <c r="BC180" s="409">
        <v>0</v>
      </c>
      <c r="BD180" s="409">
        <v>0</v>
      </c>
      <c r="BE180" s="409">
        <v>0</v>
      </c>
      <c r="BF180" s="409"/>
      <c r="BG180" s="409">
        <v>0</v>
      </c>
      <c r="BH180" s="409">
        <v>0</v>
      </c>
      <c r="BI180" s="409">
        <v>0</v>
      </c>
      <c r="BJ180" s="409">
        <v>0</v>
      </c>
      <c r="BK180" s="409">
        <v>11397.87</v>
      </c>
      <c r="BL180" s="409">
        <v>1</v>
      </c>
      <c r="BM180" s="409"/>
      <c r="BN180" s="409"/>
      <c r="BO180" s="409"/>
      <c r="BP180" s="409"/>
      <c r="BQ180" s="409">
        <v>266.78400000000022</v>
      </c>
      <c r="BR180" s="409"/>
      <c r="BS180" s="409"/>
      <c r="BT180" s="409"/>
      <c r="BU180" s="409"/>
      <c r="BV180" s="409">
        <v>0</v>
      </c>
      <c r="BW180" s="409"/>
      <c r="BX180" s="409"/>
      <c r="BY180" s="409"/>
      <c r="BZ180" s="409"/>
      <c r="CA180" s="409"/>
      <c r="CB180" s="409"/>
      <c r="CC180" s="409"/>
      <c r="CD180" s="409"/>
      <c r="CE180" s="409"/>
      <c r="CF180" s="409"/>
      <c r="CG180" s="409"/>
      <c r="CH180" s="409"/>
      <c r="CI180" s="409">
        <v>4179.616</v>
      </c>
      <c r="CJ180" s="409">
        <v>-242.17400000000089</v>
      </c>
      <c r="CK180" s="409"/>
      <c r="CL180" s="409"/>
      <c r="CM180" s="409"/>
      <c r="CN180" s="409"/>
      <c r="CO180" s="409">
        <v>-257.59999999999997</v>
      </c>
      <c r="CP180" s="409">
        <v>0</v>
      </c>
      <c r="CQ180" s="409">
        <v>31</v>
      </c>
      <c r="CR180" s="409">
        <v>92.429688544023975</v>
      </c>
      <c r="CS180" s="409">
        <v>0</v>
      </c>
      <c r="CT180" s="409">
        <v>0</v>
      </c>
      <c r="CU180" s="409">
        <v>0</v>
      </c>
      <c r="CV180" s="409">
        <v>0</v>
      </c>
      <c r="CW180" s="409"/>
      <c r="CX180" s="409"/>
      <c r="CY180" s="409"/>
      <c r="CZ180" s="409">
        <v>85.640302779317608</v>
      </c>
      <c r="DA180" s="409">
        <v>0</v>
      </c>
      <c r="DB180" s="409">
        <v>0</v>
      </c>
      <c r="DC180" s="409"/>
      <c r="DD180" s="409"/>
      <c r="DE180" s="409">
        <v>0</v>
      </c>
      <c r="DF180" s="409">
        <v>0</v>
      </c>
      <c r="DG180" s="409">
        <v>0</v>
      </c>
      <c r="DH180" s="409">
        <v>0</v>
      </c>
      <c r="DI180" s="409">
        <v>0</v>
      </c>
      <c r="DJ180" s="409"/>
      <c r="DK180" s="409">
        <v>0</v>
      </c>
      <c r="DL180" s="409">
        <v>0</v>
      </c>
      <c r="DM180" s="409"/>
      <c r="DN180" s="409">
        <v>0</v>
      </c>
      <c r="DO180" s="409">
        <v>0</v>
      </c>
      <c r="DP180" s="409">
        <v>0</v>
      </c>
      <c r="DQ180" s="409">
        <v>0</v>
      </c>
      <c r="DR180" s="409">
        <v>6.7893857647062585</v>
      </c>
      <c r="DS180" s="409"/>
      <c r="DT180" s="409"/>
      <c r="DU180" s="409">
        <v>2205.721001824802</v>
      </c>
      <c r="DV180" s="409"/>
      <c r="DW180" s="409">
        <v>0</v>
      </c>
      <c r="DX180" s="409">
        <v>0</v>
      </c>
      <c r="DY180" s="409">
        <v>-257.59999999999945</v>
      </c>
      <c r="DZ180" s="409"/>
      <c r="EA180" s="409">
        <v>0</v>
      </c>
      <c r="EB180" s="409"/>
      <c r="EC180" s="409">
        <v>-350.60593007797002</v>
      </c>
      <c r="ED180" s="409"/>
      <c r="EE180" s="409">
        <v>0</v>
      </c>
      <c r="EF180" s="409">
        <v>0</v>
      </c>
      <c r="EG180" s="409"/>
      <c r="EH180" s="409">
        <v>0</v>
      </c>
      <c r="EI180" s="409">
        <v>0</v>
      </c>
      <c r="EJ180" s="409">
        <v>0</v>
      </c>
      <c r="EK180" s="409">
        <v>0</v>
      </c>
      <c r="EL180" s="409">
        <v>0</v>
      </c>
      <c r="EM180" s="409"/>
      <c r="EN180" s="409"/>
      <c r="EO180" s="409">
        <v>0</v>
      </c>
      <c r="EP180" s="409">
        <v>0</v>
      </c>
      <c r="EQ180" s="409"/>
      <c r="ER180" s="409">
        <v>0</v>
      </c>
      <c r="ES180" s="409"/>
      <c r="ET180" s="409">
        <v>0</v>
      </c>
      <c r="EU180" s="409"/>
      <c r="EV180" s="409">
        <v>210</v>
      </c>
      <c r="EW180" s="409"/>
      <c r="EX180" s="409"/>
      <c r="EY180" s="409"/>
      <c r="EZ180" s="409"/>
      <c r="FA180" s="409">
        <v>0</v>
      </c>
      <c r="FB180" s="409"/>
      <c r="FC180" s="409"/>
      <c r="FD180" s="409"/>
      <c r="FE180" s="409"/>
      <c r="FF180" s="409">
        <v>0</v>
      </c>
      <c r="FG180" s="409">
        <v>0</v>
      </c>
      <c r="FH180" s="409">
        <v>0</v>
      </c>
      <c r="FI180" s="409">
        <v>0</v>
      </c>
    </row>
    <row r="181" spans="1:165">
      <c r="A181" s="409">
        <v>179</v>
      </c>
      <c r="B181" s="409" t="s">
        <v>1035</v>
      </c>
      <c r="C181" s="409" t="s">
        <v>2241</v>
      </c>
      <c r="D181" s="409" t="s">
        <v>2247</v>
      </c>
      <c r="E181" s="409" t="s">
        <v>973</v>
      </c>
      <c r="F181" s="409" t="s">
        <v>2254</v>
      </c>
      <c r="G181" s="409" t="s">
        <v>2255</v>
      </c>
      <c r="H181" s="409" t="s">
        <v>1323</v>
      </c>
      <c r="I181" s="409" t="s">
        <v>1323</v>
      </c>
      <c r="J181" s="409" t="s">
        <v>2242</v>
      </c>
      <c r="K181" s="838">
        <v>44470</v>
      </c>
      <c r="L181" s="409">
        <v>0</v>
      </c>
      <c r="M181" s="409">
        <v>0</v>
      </c>
      <c r="N181" s="409">
        <v>0</v>
      </c>
      <c r="O181" s="409">
        <v>0</v>
      </c>
      <c r="P181" s="409">
        <v>0</v>
      </c>
      <c r="Q181" s="409">
        <v>0</v>
      </c>
      <c r="R181" s="409"/>
      <c r="S181" s="409"/>
      <c r="T181" s="409"/>
      <c r="U181" s="409"/>
      <c r="V181" s="409"/>
      <c r="W181" s="409"/>
      <c r="X181" s="409"/>
      <c r="Y181" s="409"/>
      <c r="Z181" s="409"/>
      <c r="AA181" s="409">
        <v>0</v>
      </c>
      <c r="AB181" s="409"/>
      <c r="AC181" s="409"/>
      <c r="AD181" s="409"/>
      <c r="AE181" s="409"/>
      <c r="AF181" s="409"/>
      <c r="AG181" s="409"/>
      <c r="AH181" s="409"/>
      <c r="AI181" s="409"/>
      <c r="AJ181" s="409"/>
      <c r="AK181" s="409"/>
      <c r="AL181" s="409"/>
      <c r="AM181" s="409"/>
      <c r="AN181" s="409"/>
      <c r="AO181" s="409"/>
      <c r="AP181" s="409"/>
      <c r="AQ181" s="409"/>
      <c r="AR181" s="409"/>
      <c r="AS181" s="409"/>
      <c r="AT181" s="409"/>
      <c r="AU181" s="409"/>
      <c r="AV181" s="409"/>
      <c r="AW181" s="409"/>
      <c r="AX181" s="409"/>
      <c r="AY181" s="409"/>
      <c r="AZ181" s="409">
        <v>0</v>
      </c>
      <c r="BA181" s="409"/>
      <c r="BB181" s="409"/>
      <c r="BC181" s="409"/>
      <c r="BD181" s="409"/>
      <c r="BE181" s="409"/>
      <c r="BF181" s="409"/>
      <c r="BG181" s="409"/>
      <c r="BH181" s="409"/>
      <c r="BI181" s="409">
        <v>163.26</v>
      </c>
      <c r="BJ181" s="409">
        <v>753.86</v>
      </c>
      <c r="BK181" s="409">
        <v>901.62</v>
      </c>
      <c r="BL181" s="409">
        <v>34</v>
      </c>
      <c r="BM181" s="409"/>
      <c r="BN181" s="409"/>
      <c r="BO181" s="409"/>
      <c r="BP181" s="409"/>
      <c r="BQ181" s="409"/>
      <c r="BR181" s="409"/>
      <c r="BS181" s="409"/>
      <c r="BT181" s="409"/>
      <c r="BU181" s="409"/>
      <c r="BV181" s="409"/>
      <c r="BW181" s="409"/>
      <c r="BX181" s="409"/>
      <c r="BY181" s="409"/>
      <c r="BZ181" s="409"/>
      <c r="CA181" s="409"/>
      <c r="CB181" s="409"/>
      <c r="CC181" s="409"/>
      <c r="CD181" s="409"/>
      <c r="CE181" s="409"/>
      <c r="CF181" s="409"/>
      <c r="CG181" s="409"/>
      <c r="CH181" s="409"/>
      <c r="CI181" s="409"/>
      <c r="CJ181" s="409">
        <v>-0.03</v>
      </c>
      <c r="CK181" s="409"/>
      <c r="CL181" s="409"/>
      <c r="CM181" s="409"/>
      <c r="CN181" s="409"/>
      <c r="CO181" s="409">
        <v>0</v>
      </c>
      <c r="CP181" s="409">
        <v>0</v>
      </c>
      <c r="CQ181" s="409">
        <v>31</v>
      </c>
      <c r="CR181" s="409"/>
      <c r="CS181" s="409"/>
      <c r="CT181" s="409"/>
      <c r="CU181" s="409"/>
      <c r="CV181" s="409"/>
      <c r="CW181" s="409"/>
      <c r="CX181" s="409"/>
      <c r="CY181" s="409"/>
      <c r="CZ181" s="409"/>
      <c r="DA181" s="409"/>
      <c r="DB181" s="409"/>
      <c r="DC181" s="409"/>
      <c r="DD181" s="409"/>
      <c r="DE181" s="409"/>
      <c r="DF181" s="409"/>
      <c r="DG181" s="409"/>
      <c r="DH181" s="409"/>
      <c r="DI181" s="409"/>
      <c r="DJ181" s="409"/>
      <c r="DK181" s="409">
        <v>0</v>
      </c>
      <c r="DL181" s="409"/>
      <c r="DM181" s="409"/>
      <c r="DN181" s="409"/>
      <c r="DO181" s="409"/>
      <c r="DP181" s="409"/>
      <c r="DQ181" s="409"/>
      <c r="DR181" s="409"/>
      <c r="DS181" s="409"/>
      <c r="DT181" s="409"/>
      <c r="DU181" s="409"/>
      <c r="DV181" s="409"/>
      <c r="DW181" s="409"/>
      <c r="DX181" s="409"/>
      <c r="DY181" s="409"/>
      <c r="DZ181" s="409"/>
      <c r="EA181" s="409"/>
      <c r="EB181" s="409"/>
      <c r="EC181" s="409"/>
      <c r="ED181" s="409"/>
      <c r="EE181" s="409"/>
      <c r="EF181" s="409"/>
      <c r="EG181" s="409"/>
      <c r="EH181" s="409"/>
      <c r="EI181" s="409"/>
      <c r="EJ181" s="409"/>
      <c r="EK181" s="409"/>
      <c r="EL181" s="409"/>
      <c r="EM181" s="409"/>
      <c r="EN181" s="409"/>
      <c r="EO181" s="409"/>
      <c r="EP181" s="409"/>
      <c r="EQ181" s="409"/>
      <c r="ER181" s="409"/>
      <c r="ES181" s="409"/>
      <c r="ET181" s="409"/>
      <c r="EU181" s="409"/>
      <c r="EV181" s="409">
        <v>210</v>
      </c>
      <c r="EW181" s="409"/>
      <c r="EX181" s="409"/>
      <c r="EY181" s="409"/>
      <c r="EZ181" s="409"/>
      <c r="FA181" s="409">
        <v>0</v>
      </c>
      <c r="FB181" s="409"/>
      <c r="FC181" s="409"/>
      <c r="FD181" s="409"/>
      <c r="FE181" s="409"/>
      <c r="FF181" s="409">
        <v>0</v>
      </c>
      <c r="FG181" s="409">
        <v>0</v>
      </c>
      <c r="FH181" s="409">
        <v>0</v>
      </c>
      <c r="FI181" s="409">
        <v>0</v>
      </c>
    </row>
    <row r="182" spans="1:165">
      <c r="A182" s="409">
        <v>180</v>
      </c>
      <c r="B182" s="409" t="s">
        <v>1035</v>
      </c>
      <c r="C182" s="409" t="s">
        <v>2241</v>
      </c>
      <c r="D182" s="409" t="s">
        <v>2247</v>
      </c>
      <c r="E182" s="409" t="s">
        <v>973</v>
      </c>
      <c r="F182" s="409" t="s">
        <v>2254</v>
      </c>
      <c r="G182" s="409" t="s">
        <v>2255</v>
      </c>
      <c r="H182" s="409" t="s">
        <v>1323</v>
      </c>
      <c r="I182" s="409" t="s">
        <v>1323</v>
      </c>
      <c r="J182" s="409" t="s">
        <v>2242</v>
      </c>
      <c r="K182" s="838">
        <v>44470</v>
      </c>
      <c r="L182" s="409">
        <v>0</v>
      </c>
      <c r="M182" s="409">
        <v>0</v>
      </c>
      <c r="N182" s="409">
        <v>35.234000000000002</v>
      </c>
      <c r="O182" s="409">
        <v>35.234000000000002</v>
      </c>
      <c r="P182" s="409">
        <v>35.234000000000002</v>
      </c>
      <c r="Q182" s="409">
        <v>35.234000000000002</v>
      </c>
      <c r="R182" s="409"/>
      <c r="S182" s="409">
        <v>358.62</v>
      </c>
      <c r="T182" s="409">
        <v>273.74</v>
      </c>
      <c r="U182" s="409"/>
      <c r="V182" s="409">
        <v>22280.572240000001</v>
      </c>
      <c r="W182" s="409">
        <v>22280.572240000001</v>
      </c>
      <c r="X182" s="409">
        <v>21603.374759999999</v>
      </c>
      <c r="Y182" s="409">
        <v>0</v>
      </c>
      <c r="Z182" s="409">
        <v>2127.2320390737514</v>
      </c>
      <c r="AA182" s="409">
        <v>0</v>
      </c>
      <c r="AB182" s="409">
        <v>0</v>
      </c>
      <c r="AC182" s="409">
        <v>0</v>
      </c>
      <c r="AD182" s="409">
        <v>3033.2428325922224</v>
      </c>
      <c r="AE182" s="409">
        <v>6979.1222524658933</v>
      </c>
      <c r="AF182" s="409">
        <v>9644.9290759085452</v>
      </c>
      <c r="AG182" s="409">
        <v>0</v>
      </c>
      <c r="AH182" s="409">
        <v>0</v>
      </c>
      <c r="AI182" s="409">
        <v>0</v>
      </c>
      <c r="AJ182" s="409">
        <v>0</v>
      </c>
      <c r="AK182" s="409">
        <v>0</v>
      </c>
      <c r="AL182" s="409">
        <v>328.96396187797609</v>
      </c>
      <c r="AM182" s="409"/>
      <c r="AN182" s="409">
        <v>37.527429371476103</v>
      </c>
      <c r="AO182" s="409">
        <v>0</v>
      </c>
      <c r="AP182" s="409">
        <v>0</v>
      </c>
      <c r="AQ182" s="409">
        <v>0</v>
      </c>
      <c r="AR182" s="409">
        <v>0</v>
      </c>
      <c r="AS182" s="409">
        <v>0</v>
      </c>
      <c r="AT182" s="409">
        <v>0</v>
      </c>
      <c r="AU182" s="409">
        <v>0</v>
      </c>
      <c r="AV182" s="409">
        <v>0</v>
      </c>
      <c r="AW182" s="409">
        <v>0</v>
      </c>
      <c r="AX182" s="409">
        <v>0</v>
      </c>
      <c r="AY182" s="409">
        <v>0</v>
      </c>
      <c r="AZ182" s="409">
        <v>0</v>
      </c>
      <c r="BA182" s="409"/>
      <c r="BB182" s="409">
        <v>0</v>
      </c>
      <c r="BC182" s="409">
        <v>0</v>
      </c>
      <c r="BD182" s="409">
        <v>0</v>
      </c>
      <c r="BE182" s="409">
        <v>0</v>
      </c>
      <c r="BF182" s="409">
        <v>0</v>
      </c>
      <c r="BG182" s="409">
        <v>129.60567007370304</v>
      </c>
      <c r="BH182" s="409">
        <v>0</v>
      </c>
      <c r="BI182" s="409">
        <v>0</v>
      </c>
      <c r="BJ182" s="409">
        <v>0</v>
      </c>
      <c r="BK182" s="409">
        <v>0</v>
      </c>
      <c r="BL182" s="409">
        <v>0</v>
      </c>
      <c r="BM182" s="409"/>
      <c r="BN182" s="409"/>
      <c r="BO182" s="409"/>
      <c r="BP182" s="409"/>
      <c r="BQ182" s="409"/>
      <c r="BR182" s="409">
        <v>3024.4865600000003</v>
      </c>
      <c r="BS182" s="409"/>
      <c r="BT182" s="409"/>
      <c r="BU182" s="409"/>
      <c r="BV182" s="409">
        <v>9774.5347459822478</v>
      </c>
      <c r="BW182" s="409"/>
      <c r="BX182" s="409"/>
      <c r="BY182" s="409"/>
      <c r="BZ182" s="409"/>
      <c r="CA182" s="409"/>
      <c r="CB182" s="409"/>
      <c r="CC182" s="409"/>
      <c r="CD182" s="409"/>
      <c r="CE182" s="409"/>
      <c r="CF182" s="409"/>
      <c r="CG182" s="409"/>
      <c r="CH182" s="409"/>
      <c r="CI182" s="409">
        <v>18576.778999999995</v>
      </c>
      <c r="CJ182" s="409">
        <v>-584.90956000000369</v>
      </c>
      <c r="CK182" s="409"/>
      <c r="CL182" s="409"/>
      <c r="CM182" s="409"/>
      <c r="CN182" s="409"/>
      <c r="CO182" s="409">
        <v>-1135.2394800000011</v>
      </c>
      <c r="CP182" s="409">
        <v>458.04200000000003</v>
      </c>
      <c r="CQ182" s="409">
        <v>31</v>
      </c>
      <c r="CR182" s="409">
        <v>432.03508814248016</v>
      </c>
      <c r="CS182" s="409">
        <v>0</v>
      </c>
      <c r="CT182" s="409">
        <v>0</v>
      </c>
      <c r="CU182" s="409">
        <v>0</v>
      </c>
      <c r="CV182" s="409">
        <v>0</v>
      </c>
      <c r="CW182" s="409">
        <v>0</v>
      </c>
      <c r="CX182" s="409">
        <v>0</v>
      </c>
      <c r="CY182" s="409">
        <v>0</v>
      </c>
      <c r="CZ182" s="409">
        <v>103.97483882452343</v>
      </c>
      <c r="DA182" s="409">
        <v>0</v>
      </c>
      <c r="DB182" s="409">
        <v>0</v>
      </c>
      <c r="DC182" s="409">
        <v>519.56963325238939</v>
      </c>
      <c r="DD182" s="409">
        <v>0</v>
      </c>
      <c r="DE182" s="409">
        <v>0</v>
      </c>
      <c r="DF182" s="409">
        <v>0</v>
      </c>
      <c r="DG182" s="409">
        <v>6.9818212179318948</v>
      </c>
      <c r="DH182" s="409">
        <v>0</v>
      </c>
      <c r="DI182" s="409">
        <v>-135.59248265060955</v>
      </c>
      <c r="DJ182" s="409"/>
      <c r="DK182" s="409">
        <v>0</v>
      </c>
      <c r="DL182" s="409">
        <v>0</v>
      </c>
      <c r="DM182" s="409">
        <v>0</v>
      </c>
      <c r="DN182" s="409">
        <v>0</v>
      </c>
      <c r="DO182" s="409">
        <v>-17.248171884259307</v>
      </c>
      <c r="DP182" s="409">
        <v>-2.4760380413125063</v>
      </c>
      <c r="DQ182" s="409">
        <v>0</v>
      </c>
      <c r="DR182" s="409">
        <v>-43.174512576184028</v>
      </c>
      <c r="DS182" s="409"/>
      <c r="DT182" s="409"/>
      <c r="DU182" s="409"/>
      <c r="DV182" s="409">
        <v>6979.1222524658933</v>
      </c>
      <c r="DW182" s="409">
        <v>0</v>
      </c>
      <c r="DX182" s="409">
        <v>0</v>
      </c>
      <c r="DY182" s="409">
        <v>-1135.2394800000002</v>
      </c>
      <c r="DZ182" s="409">
        <v>458.04199999999946</v>
      </c>
      <c r="EA182" s="409">
        <v>0</v>
      </c>
      <c r="EB182" s="409">
        <v>0</v>
      </c>
      <c r="EC182" s="409">
        <v>-1109.3522918036097</v>
      </c>
      <c r="ED182" s="409">
        <v>0</v>
      </c>
      <c r="EE182" s="409">
        <v>0</v>
      </c>
      <c r="EF182" s="409">
        <v>0</v>
      </c>
      <c r="EG182" s="409">
        <v>0</v>
      </c>
      <c r="EH182" s="409">
        <v>0</v>
      </c>
      <c r="EI182" s="409">
        <v>0</v>
      </c>
      <c r="EJ182" s="409">
        <v>0</v>
      </c>
      <c r="EK182" s="409">
        <v>0</v>
      </c>
      <c r="EL182" s="409">
        <v>0</v>
      </c>
      <c r="EM182" s="409">
        <v>0</v>
      </c>
      <c r="EN182" s="409">
        <v>0</v>
      </c>
      <c r="EO182" s="409">
        <v>0</v>
      </c>
      <c r="EP182" s="409">
        <v>0</v>
      </c>
      <c r="EQ182" s="409">
        <v>0</v>
      </c>
      <c r="ER182" s="409">
        <v>0</v>
      </c>
      <c r="ES182" s="409">
        <v>0</v>
      </c>
      <c r="ET182" s="409">
        <v>0</v>
      </c>
      <c r="EU182" s="409">
        <v>0</v>
      </c>
      <c r="EV182" s="409">
        <v>210</v>
      </c>
      <c r="EW182" s="409">
        <v>0</v>
      </c>
      <c r="EX182" s="409">
        <v>0</v>
      </c>
      <c r="EY182" s="409">
        <v>0</v>
      </c>
      <c r="EZ182" s="409"/>
      <c r="FA182" s="409">
        <v>0</v>
      </c>
      <c r="FB182" s="409"/>
      <c r="FC182" s="409"/>
      <c r="FD182" s="409"/>
      <c r="FE182" s="409"/>
      <c r="FF182" s="409">
        <v>0</v>
      </c>
      <c r="FG182" s="409">
        <v>0</v>
      </c>
      <c r="FH182" s="409">
        <v>0</v>
      </c>
      <c r="FI182" s="409">
        <v>0</v>
      </c>
    </row>
    <row r="183" spans="1:165">
      <c r="A183" s="409">
        <v>181</v>
      </c>
      <c r="B183" s="409" t="s">
        <v>1035</v>
      </c>
      <c r="C183" s="409" t="s">
        <v>2241</v>
      </c>
      <c r="D183" s="409" t="s">
        <v>2247</v>
      </c>
      <c r="E183" s="409" t="s">
        <v>973</v>
      </c>
      <c r="F183" s="409" t="s">
        <v>2254</v>
      </c>
      <c r="G183" s="409" t="s">
        <v>2256</v>
      </c>
      <c r="H183" s="409" t="s">
        <v>1323</v>
      </c>
      <c r="I183" s="409" t="s">
        <v>1323</v>
      </c>
      <c r="J183" s="409" t="s">
        <v>2242</v>
      </c>
      <c r="K183" s="838">
        <v>44470</v>
      </c>
      <c r="L183" s="409">
        <v>0</v>
      </c>
      <c r="M183" s="409">
        <v>0</v>
      </c>
      <c r="N183" s="409">
        <v>39.454000000000001</v>
      </c>
      <c r="O183" s="409">
        <v>15.781599999999999</v>
      </c>
      <c r="P183" s="409">
        <v>39.454000000000001</v>
      </c>
      <c r="Q183" s="409">
        <v>15.781599999999999</v>
      </c>
      <c r="R183" s="409"/>
      <c r="S183" s="409">
        <v>358.62</v>
      </c>
      <c r="T183" s="409">
        <v>273.74</v>
      </c>
      <c r="U183" s="409"/>
      <c r="V183" s="409">
        <v>24949.131440000001</v>
      </c>
      <c r="W183" s="409">
        <v>24949.131440000001</v>
      </c>
      <c r="X183" s="409">
        <v>24190.825559999997</v>
      </c>
      <c r="Y183" s="409">
        <v>0</v>
      </c>
      <c r="Z183" s="409">
        <v>2382.0120585121131</v>
      </c>
      <c r="AA183" s="409">
        <v>0</v>
      </c>
      <c r="AB183" s="409">
        <v>0</v>
      </c>
      <c r="AC183" s="409">
        <v>0</v>
      </c>
      <c r="AD183" s="409">
        <v>3396.5363772802843</v>
      </c>
      <c r="AE183" s="409">
        <v>7815.016442890088</v>
      </c>
      <c r="AF183" s="409">
        <v>10800.108751799276</v>
      </c>
      <c r="AG183" s="409">
        <v>0</v>
      </c>
      <c r="AH183" s="409">
        <v>0</v>
      </c>
      <c r="AI183" s="409">
        <v>0</v>
      </c>
      <c r="AJ183" s="409">
        <v>0</v>
      </c>
      <c r="AK183" s="409">
        <v>0</v>
      </c>
      <c r="AL183" s="409">
        <v>368.36419798869468</v>
      </c>
      <c r="AM183" s="409"/>
      <c r="AN183" s="409">
        <v>42.022114957774257</v>
      </c>
      <c r="AO183" s="409">
        <v>0</v>
      </c>
      <c r="AP183" s="409">
        <v>0</v>
      </c>
      <c r="AQ183" s="409">
        <v>0</v>
      </c>
      <c r="AR183" s="409">
        <v>0</v>
      </c>
      <c r="AS183" s="409">
        <v>0</v>
      </c>
      <c r="AT183" s="409">
        <v>0</v>
      </c>
      <c r="AU183" s="409">
        <v>0</v>
      </c>
      <c r="AV183" s="409">
        <v>0</v>
      </c>
      <c r="AW183" s="409">
        <v>0</v>
      </c>
      <c r="AX183" s="409">
        <v>0</v>
      </c>
      <c r="AY183" s="409">
        <v>0</v>
      </c>
      <c r="AZ183" s="409">
        <v>0</v>
      </c>
      <c r="BA183" s="409"/>
      <c r="BB183" s="409">
        <v>0</v>
      </c>
      <c r="BC183" s="409">
        <v>0</v>
      </c>
      <c r="BD183" s="409">
        <v>0</v>
      </c>
      <c r="BE183" s="409">
        <v>0</v>
      </c>
      <c r="BF183" s="409">
        <v>0</v>
      </c>
      <c r="BG183" s="409">
        <v>145.12862879854345</v>
      </c>
      <c r="BH183" s="409">
        <v>0</v>
      </c>
      <c r="BI183" s="409">
        <v>0</v>
      </c>
      <c r="BJ183" s="409">
        <v>0</v>
      </c>
      <c r="BK183" s="409">
        <v>0</v>
      </c>
      <c r="BL183" s="409">
        <v>0</v>
      </c>
      <c r="BM183" s="409"/>
      <c r="BN183" s="409"/>
      <c r="BO183" s="409"/>
      <c r="BP183" s="409"/>
      <c r="BQ183" s="409"/>
      <c r="BR183" s="409"/>
      <c r="BS183" s="409">
        <v>15869.187880000003</v>
      </c>
      <c r="BT183" s="409"/>
      <c r="BU183" s="409"/>
      <c r="BV183" s="409">
        <v>10945.23738059782</v>
      </c>
      <c r="BW183" s="409"/>
      <c r="BX183" s="409"/>
      <c r="BY183" s="409"/>
      <c r="BZ183" s="409"/>
      <c r="CA183" s="409"/>
      <c r="CB183" s="409"/>
      <c r="CC183" s="409"/>
      <c r="CD183" s="409"/>
      <c r="CE183" s="409"/>
      <c r="CF183" s="409"/>
      <c r="CG183" s="409"/>
      <c r="CH183" s="409"/>
      <c r="CI183" s="409">
        <v>8320.7939999999999</v>
      </c>
      <c r="CJ183" s="409">
        <v>-261.90134399999988</v>
      </c>
      <c r="CK183" s="409"/>
      <c r="CL183" s="409"/>
      <c r="CM183" s="409"/>
      <c r="CN183" s="409"/>
      <c r="CO183" s="409">
        <v>-1271.2078800000011</v>
      </c>
      <c r="CP183" s="409">
        <v>512.90200000000004</v>
      </c>
      <c r="CQ183" s="409">
        <v>31</v>
      </c>
      <c r="CR183" s="409">
        <v>483.7802227272914</v>
      </c>
      <c r="CS183" s="409">
        <v>0</v>
      </c>
      <c r="CT183" s="409">
        <v>0</v>
      </c>
      <c r="CU183" s="409">
        <v>0</v>
      </c>
      <c r="CV183" s="409">
        <v>0</v>
      </c>
      <c r="CW183" s="409">
        <v>0</v>
      </c>
      <c r="CX183" s="409">
        <v>0</v>
      </c>
      <c r="CY183" s="409">
        <v>0</v>
      </c>
      <c r="CZ183" s="409">
        <v>116.42797556288633</v>
      </c>
      <c r="DA183" s="409">
        <v>0</v>
      </c>
      <c r="DB183" s="409">
        <v>0</v>
      </c>
      <c r="DC183" s="409">
        <v>581.79883948287898</v>
      </c>
      <c r="DD183" s="409">
        <v>0</v>
      </c>
      <c r="DE183" s="409">
        <v>0</v>
      </c>
      <c r="DF183" s="409">
        <v>0</v>
      </c>
      <c r="DG183" s="409">
        <v>7.8180386652745995</v>
      </c>
      <c r="DH183" s="409">
        <v>0</v>
      </c>
      <c r="DI183" s="409">
        <v>-151.83248596518024</v>
      </c>
      <c r="DJ183" s="409"/>
      <c r="DK183" s="409">
        <v>0</v>
      </c>
      <c r="DL183" s="409">
        <v>0</v>
      </c>
      <c r="DM183" s="409">
        <v>0</v>
      </c>
      <c r="DN183" s="409">
        <v>0</v>
      </c>
      <c r="DO183" s="409">
        <v>-19.313997091490251</v>
      </c>
      <c r="DP183" s="409">
        <v>-2.7725947914498406</v>
      </c>
      <c r="DQ183" s="409">
        <v>0</v>
      </c>
      <c r="DR183" s="409">
        <v>-48.345553135629345</v>
      </c>
      <c r="DS183" s="409"/>
      <c r="DT183" s="409"/>
      <c r="DU183" s="409"/>
      <c r="DV183" s="409">
        <v>7815.016442890088</v>
      </c>
      <c r="DW183" s="409">
        <v>0</v>
      </c>
      <c r="DX183" s="409">
        <v>0</v>
      </c>
      <c r="DY183" s="409">
        <v>-1271.2078800000018</v>
      </c>
      <c r="DZ183" s="409">
        <v>512.90200000000004</v>
      </c>
      <c r="EA183" s="409">
        <v>0</v>
      </c>
      <c r="EB183" s="409">
        <v>0</v>
      </c>
      <c r="EC183" s="409">
        <v>-1242.2201657722544</v>
      </c>
      <c r="ED183" s="409">
        <v>0</v>
      </c>
      <c r="EE183" s="409">
        <v>0</v>
      </c>
      <c r="EF183" s="409">
        <v>0</v>
      </c>
      <c r="EG183" s="409">
        <v>0</v>
      </c>
      <c r="EH183" s="409">
        <v>0</v>
      </c>
      <c r="EI183" s="409">
        <v>0</v>
      </c>
      <c r="EJ183" s="409">
        <v>0</v>
      </c>
      <c r="EK183" s="409">
        <v>0</v>
      </c>
      <c r="EL183" s="409">
        <v>0</v>
      </c>
      <c r="EM183" s="409">
        <v>0</v>
      </c>
      <c r="EN183" s="409">
        <v>0</v>
      </c>
      <c r="EO183" s="409">
        <v>0</v>
      </c>
      <c r="EP183" s="409">
        <v>0</v>
      </c>
      <c r="EQ183" s="409">
        <v>0</v>
      </c>
      <c r="ER183" s="409">
        <v>0</v>
      </c>
      <c r="ES183" s="409">
        <v>0</v>
      </c>
      <c r="ET183" s="409">
        <v>0</v>
      </c>
      <c r="EU183" s="409">
        <v>0</v>
      </c>
      <c r="EV183" s="409">
        <v>210</v>
      </c>
      <c r="EW183" s="409">
        <v>0</v>
      </c>
      <c r="EX183" s="409">
        <v>0</v>
      </c>
      <c r="EY183" s="409">
        <v>0</v>
      </c>
      <c r="EZ183" s="409"/>
      <c r="FA183" s="409">
        <v>0</v>
      </c>
      <c r="FB183" s="409"/>
      <c r="FC183" s="409"/>
      <c r="FD183" s="409"/>
      <c r="FE183" s="409"/>
      <c r="FF183" s="409">
        <v>0</v>
      </c>
      <c r="FG183" s="409">
        <v>0</v>
      </c>
      <c r="FH183" s="409">
        <v>0</v>
      </c>
      <c r="FI183" s="409">
        <v>0</v>
      </c>
    </row>
    <row r="184" spans="1:165">
      <c r="A184" s="409">
        <v>182</v>
      </c>
      <c r="B184" s="409" t="s">
        <v>1035</v>
      </c>
      <c r="C184" s="409" t="s">
        <v>2241</v>
      </c>
      <c r="D184" s="409" t="s">
        <v>1989</v>
      </c>
      <c r="E184" s="409" t="s">
        <v>968</v>
      </c>
      <c r="F184" s="409" t="s">
        <v>968</v>
      </c>
      <c r="G184" s="409" t="s">
        <v>1323</v>
      </c>
      <c r="H184" s="409" t="s">
        <v>1323</v>
      </c>
      <c r="I184" s="409" t="s">
        <v>1323</v>
      </c>
      <c r="J184" s="409" t="s">
        <v>2242</v>
      </c>
      <c r="K184" s="838">
        <v>44501</v>
      </c>
      <c r="L184" s="409">
        <v>0</v>
      </c>
      <c r="M184" s="409">
        <v>0</v>
      </c>
      <c r="N184" s="409">
        <v>85.16</v>
      </c>
      <c r="O184" s="409">
        <v>85.16</v>
      </c>
      <c r="P184" s="409">
        <v>85.16</v>
      </c>
      <c r="Q184" s="409">
        <v>85.16</v>
      </c>
      <c r="R184" s="409"/>
      <c r="S184" s="409">
        <v>358.62</v>
      </c>
      <c r="T184" s="409">
        <v>273.74</v>
      </c>
      <c r="U184" s="409"/>
      <c r="V184" s="409">
        <v>53851.777600000001</v>
      </c>
      <c r="W184" s="409">
        <v>53851.777600000001</v>
      </c>
      <c r="X184" s="409">
        <v>52215.002399999998</v>
      </c>
      <c r="Y184" s="409">
        <v>0</v>
      </c>
      <c r="Z184" s="409">
        <v>5141.4849420310111</v>
      </c>
      <c r="AA184" s="409">
        <v>0</v>
      </c>
      <c r="AB184" s="409">
        <v>0</v>
      </c>
      <c r="AC184" s="409">
        <v>0</v>
      </c>
      <c r="AD184" s="409">
        <v>7331.2981672121705</v>
      </c>
      <c r="AE184" s="409">
        <v>16868.423994437064</v>
      </c>
      <c r="AF184" s="409">
        <v>23311.635355178852</v>
      </c>
      <c r="AG184" s="409">
        <v>0</v>
      </c>
      <c r="AH184" s="409">
        <v>0</v>
      </c>
      <c r="AI184" s="409">
        <v>0</v>
      </c>
      <c r="AJ184" s="409">
        <v>0</v>
      </c>
      <c r="AK184" s="409">
        <v>0</v>
      </c>
      <c r="AL184" s="409">
        <v>795.10049933383777</v>
      </c>
      <c r="AM184" s="409"/>
      <c r="AN184" s="409">
        <v>90.703181168045205</v>
      </c>
      <c r="AO184" s="409">
        <v>0</v>
      </c>
      <c r="AP184" s="409">
        <v>0</v>
      </c>
      <c r="AQ184" s="409">
        <v>0</v>
      </c>
      <c r="AR184" s="409">
        <v>0</v>
      </c>
      <c r="AS184" s="409">
        <v>0</v>
      </c>
      <c r="AT184" s="409">
        <v>0</v>
      </c>
      <c r="AU184" s="409">
        <v>0</v>
      </c>
      <c r="AV184" s="409">
        <v>0</v>
      </c>
      <c r="AW184" s="409">
        <v>0</v>
      </c>
      <c r="AX184" s="409">
        <v>0</v>
      </c>
      <c r="AY184" s="409">
        <v>0</v>
      </c>
      <c r="AZ184" s="409">
        <v>0</v>
      </c>
      <c r="BA184" s="409"/>
      <c r="BB184" s="409">
        <v>0</v>
      </c>
      <c r="BC184" s="409">
        <v>0</v>
      </c>
      <c r="BD184" s="409">
        <v>0</v>
      </c>
      <c r="BE184" s="409">
        <v>0</v>
      </c>
      <c r="BF184" s="409">
        <v>0</v>
      </c>
      <c r="BG184" s="409">
        <v>313.25477843777463</v>
      </c>
      <c r="BH184" s="409">
        <v>0</v>
      </c>
      <c r="BI184" s="409">
        <v>500.02</v>
      </c>
      <c r="BJ184" s="409">
        <v>2321.89</v>
      </c>
      <c r="BK184" s="409">
        <v>11574.62</v>
      </c>
      <c r="BL184" s="409">
        <v>731</v>
      </c>
      <c r="BM184" s="409"/>
      <c r="BN184" s="409"/>
      <c r="BO184" s="409"/>
      <c r="BP184" s="409"/>
      <c r="BQ184" s="409"/>
      <c r="BR184" s="409"/>
      <c r="BS184" s="409"/>
      <c r="BT184" s="409"/>
      <c r="BU184" s="409"/>
      <c r="BV184" s="409">
        <v>23624.890133616627</v>
      </c>
      <c r="BW184" s="409"/>
      <c r="BX184" s="409"/>
      <c r="BY184" s="409"/>
      <c r="BZ184" s="409"/>
      <c r="CA184" s="409"/>
      <c r="CB184" s="409"/>
      <c r="CC184" s="409"/>
      <c r="CD184" s="409"/>
      <c r="CE184" s="409"/>
      <c r="CF184" s="409"/>
      <c r="CG184" s="409"/>
      <c r="CH184" s="409"/>
      <c r="CI184" s="409">
        <v>52215.002399999998</v>
      </c>
      <c r="CJ184" s="409">
        <v>-1636.8052000000025</v>
      </c>
      <c r="CK184" s="409"/>
      <c r="CL184" s="409"/>
      <c r="CM184" s="409"/>
      <c r="CN184" s="409"/>
      <c r="CO184" s="409">
        <v>-2743.8552000000022</v>
      </c>
      <c r="CP184" s="409">
        <v>1107.08</v>
      </c>
      <c r="CQ184" s="409">
        <v>30</v>
      </c>
      <c r="CR184" s="409">
        <v>1044.2217206736022</v>
      </c>
      <c r="CS184" s="409">
        <v>0</v>
      </c>
      <c r="CT184" s="409">
        <v>0</v>
      </c>
      <c r="CU184" s="409">
        <v>0</v>
      </c>
      <c r="CV184" s="409">
        <v>0</v>
      </c>
      <c r="CW184" s="409">
        <v>0</v>
      </c>
      <c r="CX184" s="409">
        <v>0</v>
      </c>
      <c r="CY184" s="409">
        <v>0</v>
      </c>
      <c r="CZ184" s="409">
        <v>251.30547977227707</v>
      </c>
      <c r="DA184" s="409">
        <v>0</v>
      </c>
      <c r="DB184" s="409">
        <v>0</v>
      </c>
      <c r="DC184" s="409">
        <v>1255.7912802342471</v>
      </c>
      <c r="DD184" s="409">
        <v>0</v>
      </c>
      <c r="DE184" s="409">
        <v>0</v>
      </c>
      <c r="DF184" s="409">
        <v>0</v>
      </c>
      <c r="DG184" s="409">
        <v>16.874947349692889</v>
      </c>
      <c r="DH184" s="409">
        <v>0</v>
      </c>
      <c r="DI184" s="409">
        <v>-327.72480622483636</v>
      </c>
      <c r="DJ184" s="409"/>
      <c r="DK184" s="409">
        <v>0</v>
      </c>
      <c r="DL184" s="409">
        <v>0</v>
      </c>
      <c r="DM184" s="409">
        <v>0</v>
      </c>
      <c r="DN184" s="409">
        <v>0</v>
      </c>
      <c r="DO184" s="409">
        <v>-41.688548494735869</v>
      </c>
      <c r="DP184" s="409">
        <v>-5.984543327415949</v>
      </c>
      <c r="DQ184" s="409">
        <v>0</v>
      </c>
      <c r="DR184" s="409">
        <v>-104.35208863563126</v>
      </c>
      <c r="DS184" s="409"/>
      <c r="DT184" s="409"/>
      <c r="DU184" s="409"/>
      <c r="DV184" s="409">
        <v>16868.423994437064</v>
      </c>
      <c r="DW184" s="409">
        <v>0</v>
      </c>
      <c r="DX184" s="409">
        <v>0</v>
      </c>
      <c r="DY184" s="409">
        <v>-2743.8552000000018</v>
      </c>
      <c r="DZ184" s="409">
        <v>1107.0799999999981</v>
      </c>
      <c r="EA184" s="409">
        <v>0</v>
      </c>
      <c r="EB184" s="409">
        <v>0</v>
      </c>
      <c r="EC184" s="409">
        <v>-2681.2862907985309</v>
      </c>
      <c r="ED184" s="409">
        <v>0</v>
      </c>
      <c r="EE184" s="409">
        <v>0</v>
      </c>
      <c r="EF184" s="409">
        <v>0</v>
      </c>
      <c r="EG184" s="409">
        <v>0</v>
      </c>
      <c r="EH184" s="409">
        <v>0</v>
      </c>
      <c r="EI184" s="409">
        <v>0</v>
      </c>
      <c r="EJ184" s="409">
        <v>0</v>
      </c>
      <c r="EK184" s="409">
        <v>0</v>
      </c>
      <c r="EL184" s="409">
        <v>0</v>
      </c>
      <c r="EM184" s="409">
        <v>0</v>
      </c>
      <c r="EN184" s="409">
        <v>0</v>
      </c>
      <c r="EO184" s="409">
        <v>0</v>
      </c>
      <c r="EP184" s="409">
        <v>0</v>
      </c>
      <c r="EQ184" s="409">
        <v>0</v>
      </c>
      <c r="ER184" s="409">
        <v>0</v>
      </c>
      <c r="ES184" s="409">
        <v>0</v>
      </c>
      <c r="ET184" s="409">
        <v>0</v>
      </c>
      <c r="EU184" s="409">
        <v>0</v>
      </c>
      <c r="EV184" s="409">
        <v>210</v>
      </c>
      <c r="EW184" s="409">
        <v>0</v>
      </c>
      <c r="EX184" s="409">
        <v>0</v>
      </c>
      <c r="EY184" s="409">
        <v>0</v>
      </c>
      <c r="EZ184" s="409"/>
      <c r="FA184" s="409">
        <v>0</v>
      </c>
      <c r="FB184" s="409"/>
      <c r="FC184" s="409"/>
      <c r="FD184" s="409"/>
      <c r="FE184" s="409"/>
      <c r="FF184" s="409">
        <v>0</v>
      </c>
      <c r="FG184" s="409">
        <v>0</v>
      </c>
      <c r="FH184" s="409">
        <v>0</v>
      </c>
      <c r="FI184" s="409">
        <v>0</v>
      </c>
    </row>
    <row r="185" spans="1:165">
      <c r="A185" s="409">
        <v>183</v>
      </c>
      <c r="B185" s="409" t="s">
        <v>2257</v>
      </c>
      <c r="C185" s="409" t="s">
        <v>2241</v>
      </c>
      <c r="D185" s="409" t="s">
        <v>1989</v>
      </c>
      <c r="E185" s="409" t="s">
        <v>968</v>
      </c>
      <c r="F185" s="409" t="s">
        <v>968</v>
      </c>
      <c r="G185" s="409" t="s">
        <v>1323</v>
      </c>
      <c r="H185" s="409" t="s">
        <v>1323</v>
      </c>
      <c r="I185" s="409" t="s">
        <v>1323</v>
      </c>
      <c r="J185" s="409" t="s">
        <v>2242</v>
      </c>
      <c r="K185" s="838">
        <v>44501</v>
      </c>
      <c r="L185" s="409">
        <v>0</v>
      </c>
      <c r="M185" s="409">
        <v>0</v>
      </c>
      <c r="N185" s="409">
        <v>-6.4000000000000001E-2</v>
      </c>
      <c r="O185" s="409">
        <v>-6.4000000000000001E-2</v>
      </c>
      <c r="P185" s="409">
        <v>-6.4000000000000001E-2</v>
      </c>
      <c r="Q185" s="409">
        <v>-6.4000000000000001E-2</v>
      </c>
      <c r="R185" s="409"/>
      <c r="S185" s="409">
        <v>358.62</v>
      </c>
      <c r="T185" s="409">
        <v>273.74</v>
      </c>
      <c r="U185" s="409"/>
      <c r="V185" s="409">
        <v>-40.471040000000002</v>
      </c>
      <c r="W185" s="409">
        <v>-40.471040000000002</v>
      </c>
      <c r="X185" s="409">
        <v>-39.240960000000001</v>
      </c>
      <c r="Y185" s="409">
        <v>0</v>
      </c>
      <c r="Z185" s="409">
        <v>-3.8639623801078531</v>
      </c>
      <c r="AA185" s="409">
        <v>0</v>
      </c>
      <c r="AB185" s="409">
        <v>0</v>
      </c>
      <c r="AC185" s="409">
        <v>0</v>
      </c>
      <c r="AD185" s="409">
        <v>-5.5096651327099453</v>
      </c>
      <c r="AE185" s="409">
        <v>-12.677068290793471</v>
      </c>
      <c r="AF185" s="409">
        <v>-17.519312620143808</v>
      </c>
      <c r="AG185" s="409">
        <v>0</v>
      </c>
      <c r="AH185" s="409">
        <v>0</v>
      </c>
      <c r="AI185" s="409">
        <v>0</v>
      </c>
      <c r="AJ185" s="409">
        <v>0</v>
      </c>
      <c r="AK185" s="409">
        <v>0</v>
      </c>
      <c r="AL185" s="409">
        <v>-0.59753912584976066</v>
      </c>
      <c r="AM185" s="409"/>
      <c r="AN185" s="409">
        <v>-6.8165847754284803E-2</v>
      </c>
      <c r="AO185" s="409">
        <v>0</v>
      </c>
      <c r="AP185" s="409">
        <v>0</v>
      </c>
      <c r="AQ185" s="409">
        <v>0</v>
      </c>
      <c r="AR185" s="409">
        <v>0</v>
      </c>
      <c r="AS185" s="409">
        <v>0</v>
      </c>
      <c r="AT185" s="409">
        <v>0</v>
      </c>
      <c r="AU185" s="409">
        <v>0</v>
      </c>
      <c r="AV185" s="409">
        <v>0</v>
      </c>
      <c r="AW185" s="409">
        <v>0</v>
      </c>
      <c r="AX185" s="409">
        <v>0</v>
      </c>
      <c r="AY185" s="409">
        <v>0</v>
      </c>
      <c r="AZ185" s="409">
        <v>0</v>
      </c>
      <c r="BA185" s="409"/>
      <c r="BB185" s="409">
        <v>0</v>
      </c>
      <c r="BC185" s="409">
        <v>0</v>
      </c>
      <c r="BD185" s="409">
        <v>0</v>
      </c>
      <c r="BE185" s="409">
        <v>0</v>
      </c>
      <c r="BF185" s="409">
        <v>0</v>
      </c>
      <c r="BG185" s="409">
        <v>-0.23541927923928577</v>
      </c>
      <c r="BH185" s="409">
        <v>0</v>
      </c>
      <c r="BI185" s="409">
        <v>-0.4</v>
      </c>
      <c r="BJ185" s="409">
        <v>-1.88</v>
      </c>
      <c r="BK185" s="409">
        <v>-12.16</v>
      </c>
      <c r="BL185" s="409">
        <v>0</v>
      </c>
      <c r="BM185" s="409"/>
      <c r="BN185" s="409"/>
      <c r="BO185" s="409"/>
      <c r="BP185" s="409"/>
      <c r="BQ185" s="409"/>
      <c r="BR185" s="409"/>
      <c r="BS185" s="409"/>
      <c r="BT185" s="409"/>
      <c r="BU185" s="409"/>
      <c r="BV185" s="409">
        <v>-17.754731899383092</v>
      </c>
      <c r="BW185" s="409"/>
      <c r="BX185" s="409"/>
      <c r="BY185" s="409"/>
      <c r="BZ185" s="409"/>
      <c r="CA185" s="409"/>
      <c r="CB185" s="409"/>
      <c r="CC185" s="409"/>
      <c r="CD185" s="409"/>
      <c r="CE185" s="409"/>
      <c r="CF185" s="409"/>
      <c r="CG185" s="409"/>
      <c r="CH185" s="409"/>
      <c r="CI185" s="409">
        <v>-36.788399999999996</v>
      </c>
      <c r="CJ185" s="409">
        <v>3.6526400000000052</v>
      </c>
      <c r="CK185" s="409"/>
      <c r="CL185" s="409"/>
      <c r="CM185" s="409"/>
      <c r="CN185" s="409"/>
      <c r="CO185" s="409">
        <v>2.0620800000000017</v>
      </c>
      <c r="CP185" s="409">
        <v>-0.83200000000000007</v>
      </c>
      <c r="CQ185" s="409">
        <v>30</v>
      </c>
      <c r="CR185" s="409">
        <v>-0.78476033493554098</v>
      </c>
      <c r="CS185" s="409">
        <v>0</v>
      </c>
      <c r="CT185" s="409">
        <v>0</v>
      </c>
      <c r="CU185" s="409">
        <v>0</v>
      </c>
      <c r="CV185" s="409">
        <v>0</v>
      </c>
      <c r="CW185" s="409">
        <v>0</v>
      </c>
      <c r="CX185" s="409">
        <v>0</v>
      </c>
      <c r="CY185" s="409">
        <v>0</v>
      </c>
      <c r="CZ185" s="409">
        <v>-0.18886273726427572</v>
      </c>
      <c r="DA185" s="409">
        <v>0</v>
      </c>
      <c r="DB185" s="409">
        <v>0</v>
      </c>
      <c r="DC185" s="409">
        <v>-0.94376047363775939</v>
      </c>
      <c r="DD185" s="409">
        <v>0</v>
      </c>
      <c r="DE185" s="409">
        <v>0</v>
      </c>
      <c r="DF185" s="409">
        <v>0</v>
      </c>
      <c r="DG185" s="409">
        <v>-1.268197076538688E-2</v>
      </c>
      <c r="DH185" s="409">
        <v>0</v>
      </c>
      <c r="DI185" s="409">
        <v>0.24629388913092498</v>
      </c>
      <c r="DJ185" s="409"/>
      <c r="DK185" s="409">
        <v>0</v>
      </c>
      <c r="DL185" s="409">
        <v>0</v>
      </c>
      <c r="DM185" s="409">
        <v>0</v>
      </c>
      <c r="DN185" s="409">
        <v>0</v>
      </c>
      <c r="DO185" s="409">
        <v>3.1330050536203524E-2</v>
      </c>
      <c r="DP185" s="409">
        <v>4.4975431300448704E-3</v>
      </c>
      <c r="DQ185" s="409">
        <v>0</v>
      </c>
      <c r="DR185" s="409">
        <v>7.8423363934715828E-2</v>
      </c>
      <c r="DS185" s="409"/>
      <c r="DT185" s="409"/>
      <c r="DU185" s="409"/>
      <c r="DV185" s="409">
        <v>-12.677068290793471</v>
      </c>
      <c r="DW185" s="409">
        <v>0</v>
      </c>
      <c r="DX185" s="409">
        <v>0</v>
      </c>
      <c r="DY185" s="409">
        <v>2.0620800000000017</v>
      </c>
      <c r="DZ185" s="409">
        <v>-0.83199999999999719</v>
      </c>
      <c r="EA185" s="409">
        <v>0</v>
      </c>
      <c r="EB185" s="409">
        <v>0</v>
      </c>
      <c r="EC185" s="409">
        <v>2.0150578042638081</v>
      </c>
      <c r="ED185" s="409">
        <v>0</v>
      </c>
      <c r="EE185" s="409">
        <v>0</v>
      </c>
      <c r="EF185" s="409">
        <v>0</v>
      </c>
      <c r="EG185" s="409">
        <v>0</v>
      </c>
      <c r="EH185" s="409">
        <v>0</v>
      </c>
      <c r="EI185" s="409">
        <v>0</v>
      </c>
      <c r="EJ185" s="409">
        <v>0</v>
      </c>
      <c r="EK185" s="409">
        <v>0</v>
      </c>
      <c r="EL185" s="409">
        <v>0</v>
      </c>
      <c r="EM185" s="409">
        <v>0</v>
      </c>
      <c r="EN185" s="409">
        <v>0</v>
      </c>
      <c r="EO185" s="409">
        <v>0</v>
      </c>
      <c r="EP185" s="409">
        <v>0</v>
      </c>
      <c r="EQ185" s="409">
        <v>0</v>
      </c>
      <c r="ER185" s="409">
        <v>0</v>
      </c>
      <c r="ES185" s="409">
        <v>0</v>
      </c>
      <c r="ET185" s="409">
        <v>0</v>
      </c>
      <c r="EU185" s="409">
        <v>0</v>
      </c>
      <c r="EV185" s="409">
        <v>210</v>
      </c>
      <c r="EW185" s="409">
        <v>0</v>
      </c>
      <c r="EX185" s="409">
        <v>0</v>
      </c>
      <c r="EY185" s="409">
        <v>0</v>
      </c>
      <c r="EZ185" s="409"/>
      <c r="FA185" s="409">
        <v>0</v>
      </c>
      <c r="FB185" s="409"/>
      <c r="FC185" s="409"/>
      <c r="FD185" s="409"/>
      <c r="FE185" s="409"/>
      <c r="FF185" s="409">
        <v>0</v>
      </c>
      <c r="FG185" s="409">
        <v>0</v>
      </c>
      <c r="FH185" s="409">
        <v>0</v>
      </c>
      <c r="FI185" s="409">
        <v>0</v>
      </c>
    </row>
    <row r="186" spans="1:165">
      <c r="A186" s="409">
        <v>184</v>
      </c>
      <c r="B186" s="409" t="s">
        <v>2240</v>
      </c>
      <c r="C186" s="409" t="s">
        <v>2241</v>
      </c>
      <c r="D186" s="409" t="s">
        <v>1989</v>
      </c>
      <c r="E186" s="409" t="s">
        <v>968</v>
      </c>
      <c r="F186" s="409" t="s">
        <v>968</v>
      </c>
      <c r="G186" s="409" t="s">
        <v>1323</v>
      </c>
      <c r="H186" s="409" t="s">
        <v>1323</v>
      </c>
      <c r="I186" s="409" t="s">
        <v>1323</v>
      </c>
      <c r="J186" s="409" t="s">
        <v>2242</v>
      </c>
      <c r="K186" s="838">
        <v>44501</v>
      </c>
      <c r="L186" s="409">
        <v>0</v>
      </c>
      <c r="M186" s="409">
        <v>0</v>
      </c>
      <c r="N186" s="409">
        <v>0.3</v>
      </c>
      <c r="O186" s="409">
        <v>0.3</v>
      </c>
      <c r="P186" s="409">
        <v>0.3</v>
      </c>
      <c r="Q186" s="409">
        <v>0.3</v>
      </c>
      <c r="R186" s="409"/>
      <c r="S186" s="409">
        <v>358.62</v>
      </c>
      <c r="T186" s="409">
        <v>273.74</v>
      </c>
      <c r="U186" s="409"/>
      <c r="V186" s="409">
        <v>189.708</v>
      </c>
      <c r="W186" s="409">
        <v>189.708</v>
      </c>
      <c r="X186" s="409">
        <v>183.94200000000001</v>
      </c>
      <c r="Y186" s="409">
        <v>0</v>
      </c>
      <c r="Z186" s="409">
        <v>18.11232365675556</v>
      </c>
      <c r="AA186" s="409">
        <v>0</v>
      </c>
      <c r="AB186" s="409">
        <v>0</v>
      </c>
      <c r="AC186" s="409">
        <v>0</v>
      </c>
      <c r="AD186" s="409">
        <v>25.826555309577866</v>
      </c>
      <c r="AE186" s="409">
        <v>59.423757613094395</v>
      </c>
      <c r="AF186" s="409">
        <v>82.121777906924095</v>
      </c>
      <c r="AG186" s="409">
        <v>0</v>
      </c>
      <c r="AH186" s="409">
        <v>0</v>
      </c>
      <c r="AI186" s="409">
        <v>0</v>
      </c>
      <c r="AJ186" s="409">
        <v>0</v>
      </c>
      <c r="AK186" s="409">
        <v>0</v>
      </c>
      <c r="AL186" s="409">
        <v>2.800964652420753</v>
      </c>
      <c r="AM186" s="409"/>
      <c r="AN186" s="409">
        <v>0.31952741134821</v>
      </c>
      <c r="AO186" s="409">
        <v>0</v>
      </c>
      <c r="AP186" s="409">
        <v>0</v>
      </c>
      <c r="AQ186" s="409">
        <v>0</v>
      </c>
      <c r="AR186" s="409">
        <v>0</v>
      </c>
      <c r="AS186" s="409">
        <v>0</v>
      </c>
      <c r="AT186" s="409">
        <v>0</v>
      </c>
      <c r="AU186" s="409">
        <v>0</v>
      </c>
      <c r="AV186" s="409">
        <v>0</v>
      </c>
      <c r="AW186" s="409">
        <v>0</v>
      </c>
      <c r="AX186" s="409">
        <v>0</v>
      </c>
      <c r="AY186" s="409">
        <v>0</v>
      </c>
      <c r="AZ186" s="409">
        <v>0</v>
      </c>
      <c r="BA186" s="409"/>
      <c r="BB186" s="409">
        <v>0</v>
      </c>
      <c r="BC186" s="409">
        <v>0</v>
      </c>
      <c r="BD186" s="409">
        <v>0</v>
      </c>
      <c r="BE186" s="409">
        <v>0</v>
      </c>
      <c r="BF186" s="409">
        <v>0</v>
      </c>
      <c r="BG186" s="409">
        <v>1.1035278714341521</v>
      </c>
      <c r="BH186" s="409">
        <v>0</v>
      </c>
      <c r="BI186" s="409">
        <v>1.89</v>
      </c>
      <c r="BJ186" s="409">
        <v>8.7899999999999991</v>
      </c>
      <c r="BK186" s="409">
        <v>160.87</v>
      </c>
      <c r="BL186" s="409">
        <v>4</v>
      </c>
      <c r="BM186" s="409"/>
      <c r="BN186" s="409"/>
      <c r="BO186" s="409"/>
      <c r="BP186" s="409"/>
      <c r="BQ186" s="409"/>
      <c r="BR186" s="409"/>
      <c r="BS186" s="409"/>
      <c r="BT186" s="409"/>
      <c r="BU186" s="409"/>
      <c r="BV186" s="409">
        <v>83.225305778358248</v>
      </c>
      <c r="BW186" s="409"/>
      <c r="BX186" s="409"/>
      <c r="BY186" s="409"/>
      <c r="BZ186" s="409"/>
      <c r="CA186" s="409"/>
      <c r="CB186" s="409"/>
      <c r="CC186" s="409"/>
      <c r="CD186" s="409"/>
      <c r="CE186" s="409"/>
      <c r="CF186" s="409"/>
      <c r="CG186" s="409"/>
      <c r="CH186" s="409"/>
      <c r="CI186" s="409">
        <v>183.94200000000001</v>
      </c>
      <c r="CJ186" s="409">
        <v>-5.7959999999999923</v>
      </c>
      <c r="CK186" s="409"/>
      <c r="CL186" s="409"/>
      <c r="CM186" s="409"/>
      <c r="CN186" s="409"/>
      <c r="CO186" s="409">
        <v>-9.6660000000000075</v>
      </c>
      <c r="CP186" s="409">
        <v>3.9</v>
      </c>
      <c r="CQ186" s="409">
        <v>30</v>
      </c>
      <c r="CR186" s="409">
        <v>3.6785640700102817</v>
      </c>
      <c r="CS186" s="409">
        <v>0</v>
      </c>
      <c r="CT186" s="409">
        <v>0</v>
      </c>
      <c r="CU186" s="409">
        <v>0</v>
      </c>
      <c r="CV186" s="409">
        <v>0</v>
      </c>
      <c r="CW186" s="409">
        <v>0</v>
      </c>
      <c r="CX186" s="409">
        <v>0</v>
      </c>
      <c r="CY186" s="409">
        <v>0</v>
      </c>
      <c r="CZ186" s="409">
        <v>0.88529408092629325</v>
      </c>
      <c r="DA186" s="409">
        <v>0</v>
      </c>
      <c r="DB186" s="409">
        <v>0</v>
      </c>
      <c r="DC186" s="409">
        <v>4.4238772201770047</v>
      </c>
      <c r="DD186" s="409">
        <v>0</v>
      </c>
      <c r="DE186" s="409">
        <v>0</v>
      </c>
      <c r="DF186" s="409">
        <v>0</v>
      </c>
      <c r="DG186" s="409">
        <v>5.9446737962750795E-2</v>
      </c>
      <c r="DH186" s="409">
        <v>0</v>
      </c>
      <c r="DI186" s="409">
        <v>-1.1545026053012108</v>
      </c>
      <c r="DJ186" s="409"/>
      <c r="DK186" s="409">
        <v>0</v>
      </c>
      <c r="DL186" s="409">
        <v>0</v>
      </c>
      <c r="DM186" s="409">
        <v>0</v>
      </c>
      <c r="DN186" s="409">
        <v>0</v>
      </c>
      <c r="DO186" s="409">
        <v>-0.14685961188845376</v>
      </c>
      <c r="DP186" s="409">
        <v>-2.1082233422085317E-2</v>
      </c>
      <c r="DQ186" s="409">
        <v>0</v>
      </c>
      <c r="DR186" s="409">
        <v>-0.36760951844398049</v>
      </c>
      <c r="DS186" s="409"/>
      <c r="DT186" s="409"/>
      <c r="DU186" s="409"/>
      <c r="DV186" s="409">
        <v>59.423757613094395</v>
      </c>
      <c r="DW186" s="409">
        <v>0</v>
      </c>
      <c r="DX186" s="409">
        <v>0</v>
      </c>
      <c r="DY186" s="409">
        <v>-9.666000000000011</v>
      </c>
      <c r="DZ186" s="409">
        <v>3.9000000000000057</v>
      </c>
      <c r="EA186" s="409">
        <v>0</v>
      </c>
      <c r="EB186" s="409">
        <v>0</v>
      </c>
      <c r="EC186" s="409">
        <v>-9.4455834574865989</v>
      </c>
      <c r="ED186" s="409">
        <v>0</v>
      </c>
      <c r="EE186" s="409">
        <v>0</v>
      </c>
      <c r="EF186" s="409">
        <v>0</v>
      </c>
      <c r="EG186" s="409">
        <v>0</v>
      </c>
      <c r="EH186" s="409">
        <v>0</v>
      </c>
      <c r="EI186" s="409">
        <v>0</v>
      </c>
      <c r="EJ186" s="409">
        <v>0</v>
      </c>
      <c r="EK186" s="409">
        <v>0</v>
      </c>
      <c r="EL186" s="409">
        <v>0</v>
      </c>
      <c r="EM186" s="409">
        <v>0</v>
      </c>
      <c r="EN186" s="409">
        <v>0</v>
      </c>
      <c r="EO186" s="409">
        <v>0</v>
      </c>
      <c r="EP186" s="409">
        <v>0</v>
      </c>
      <c r="EQ186" s="409">
        <v>0</v>
      </c>
      <c r="ER186" s="409">
        <v>0</v>
      </c>
      <c r="ES186" s="409">
        <v>0</v>
      </c>
      <c r="ET186" s="409">
        <v>0</v>
      </c>
      <c r="EU186" s="409">
        <v>0</v>
      </c>
      <c r="EV186" s="409">
        <v>210</v>
      </c>
      <c r="EW186" s="409">
        <v>0</v>
      </c>
      <c r="EX186" s="409">
        <v>0</v>
      </c>
      <c r="EY186" s="409">
        <v>0</v>
      </c>
      <c r="EZ186" s="409"/>
      <c r="FA186" s="409">
        <v>0</v>
      </c>
      <c r="FB186" s="409"/>
      <c r="FC186" s="409"/>
      <c r="FD186" s="409"/>
      <c r="FE186" s="409"/>
      <c r="FF186" s="409">
        <v>0</v>
      </c>
      <c r="FG186" s="409">
        <v>0</v>
      </c>
      <c r="FH186" s="409">
        <v>0</v>
      </c>
      <c r="FI186" s="409">
        <v>0</v>
      </c>
    </row>
    <row r="187" spans="1:165">
      <c r="A187" s="409">
        <v>185</v>
      </c>
      <c r="B187" s="409" t="s">
        <v>1035</v>
      </c>
      <c r="C187" s="409" t="s">
        <v>2241</v>
      </c>
      <c r="D187" s="409" t="s">
        <v>1989</v>
      </c>
      <c r="E187" s="409" t="s">
        <v>968</v>
      </c>
      <c r="F187" s="409" t="s">
        <v>2243</v>
      </c>
      <c r="G187" s="409" t="s">
        <v>1323</v>
      </c>
      <c r="H187" s="409" t="s">
        <v>1323</v>
      </c>
      <c r="I187" s="409" t="s">
        <v>1323</v>
      </c>
      <c r="J187" s="409" t="s">
        <v>2242</v>
      </c>
      <c r="K187" s="838">
        <v>44501</v>
      </c>
      <c r="L187" s="409">
        <v>0</v>
      </c>
      <c r="M187" s="409">
        <v>0</v>
      </c>
      <c r="N187" s="409">
        <v>0.3</v>
      </c>
      <c r="O187" s="409">
        <v>0.3</v>
      </c>
      <c r="P187" s="409">
        <v>0.3</v>
      </c>
      <c r="Q187" s="409">
        <v>0.3</v>
      </c>
      <c r="R187" s="409"/>
      <c r="S187" s="409">
        <v>288.91000000000003</v>
      </c>
      <c r="T187" s="409">
        <v>273.74</v>
      </c>
      <c r="U187" s="409"/>
      <c r="V187" s="409">
        <v>168.79500000000002</v>
      </c>
      <c r="W187" s="409">
        <v>168.79500000000002</v>
      </c>
      <c r="X187" s="409">
        <v>164.298</v>
      </c>
      <c r="Y187" s="409">
        <v>0</v>
      </c>
      <c r="Z187" s="409">
        <v>0</v>
      </c>
      <c r="AA187" s="409">
        <v>0</v>
      </c>
      <c r="AB187" s="409">
        <v>0</v>
      </c>
      <c r="AC187" s="409">
        <v>0</v>
      </c>
      <c r="AD187" s="409">
        <v>25.826555309577866</v>
      </c>
      <c r="AE187" s="409">
        <v>59.423757613094395</v>
      </c>
      <c r="AF187" s="409">
        <v>82.121777906924095</v>
      </c>
      <c r="AG187" s="409">
        <v>0</v>
      </c>
      <c r="AH187" s="409">
        <v>0</v>
      </c>
      <c r="AI187" s="409">
        <v>0</v>
      </c>
      <c r="AJ187" s="409">
        <v>0</v>
      </c>
      <c r="AK187" s="409">
        <v>0</v>
      </c>
      <c r="AL187" s="409">
        <v>0</v>
      </c>
      <c r="AM187" s="409"/>
      <c r="AN187" s="409">
        <v>0.31952741134821</v>
      </c>
      <c r="AO187" s="409">
        <v>0</v>
      </c>
      <c r="AP187" s="409">
        <v>0</v>
      </c>
      <c r="AQ187" s="409">
        <v>0</v>
      </c>
      <c r="AR187" s="409">
        <v>0</v>
      </c>
      <c r="AS187" s="409">
        <v>0</v>
      </c>
      <c r="AT187" s="409">
        <v>0</v>
      </c>
      <c r="AU187" s="409">
        <v>0</v>
      </c>
      <c r="AV187" s="409">
        <v>0</v>
      </c>
      <c r="AW187" s="409">
        <v>0</v>
      </c>
      <c r="AX187" s="409">
        <v>0</v>
      </c>
      <c r="AY187" s="409">
        <v>0</v>
      </c>
      <c r="AZ187" s="409">
        <v>0</v>
      </c>
      <c r="BA187" s="409"/>
      <c r="BB187" s="409">
        <v>0</v>
      </c>
      <c r="BC187" s="409">
        <v>0</v>
      </c>
      <c r="BD187" s="409">
        <v>0</v>
      </c>
      <c r="BE187" s="409">
        <v>0</v>
      </c>
      <c r="BF187" s="409">
        <v>0</v>
      </c>
      <c r="BG187" s="409">
        <v>1.1035278714341521</v>
      </c>
      <c r="BH187" s="409">
        <v>0</v>
      </c>
      <c r="BI187" s="409">
        <v>0.41</v>
      </c>
      <c r="BJ187" s="409">
        <v>2.0099999999999998</v>
      </c>
      <c r="BK187" s="409">
        <v>8.49</v>
      </c>
      <c r="BL187" s="409">
        <v>0</v>
      </c>
      <c r="BM187" s="409"/>
      <c r="BN187" s="409"/>
      <c r="BO187" s="409"/>
      <c r="BP187" s="409"/>
      <c r="BQ187" s="409"/>
      <c r="BR187" s="409"/>
      <c r="BS187" s="409"/>
      <c r="BT187" s="409">
        <v>106.794</v>
      </c>
      <c r="BU187" s="409"/>
      <c r="BV187" s="409">
        <v>83.225305778358248</v>
      </c>
      <c r="BW187" s="409"/>
      <c r="BX187" s="409"/>
      <c r="BY187" s="409"/>
      <c r="BZ187" s="409"/>
      <c r="CA187" s="409"/>
      <c r="CB187" s="409"/>
      <c r="CC187" s="409"/>
      <c r="CD187" s="409"/>
      <c r="CE187" s="409"/>
      <c r="CF187" s="409"/>
      <c r="CG187" s="409"/>
      <c r="CH187" s="409"/>
      <c r="CI187" s="409">
        <v>57.503999999999991</v>
      </c>
      <c r="CJ187" s="409">
        <v>-1.6050000000000111</v>
      </c>
      <c r="CK187" s="409"/>
      <c r="CL187" s="409"/>
      <c r="CM187" s="409"/>
      <c r="CN187" s="409"/>
      <c r="CO187" s="409">
        <v>-8.397000000000002</v>
      </c>
      <c r="CP187" s="409">
        <v>3.9</v>
      </c>
      <c r="CQ187" s="409">
        <v>30</v>
      </c>
      <c r="CR187" s="409">
        <v>4.9497422794861308</v>
      </c>
      <c r="CS187" s="409">
        <v>0</v>
      </c>
      <c r="CT187" s="409">
        <v>0</v>
      </c>
      <c r="CU187" s="409">
        <v>0</v>
      </c>
      <c r="CV187" s="409">
        <v>0</v>
      </c>
      <c r="CW187" s="409">
        <v>0</v>
      </c>
      <c r="CX187" s="409">
        <v>0</v>
      </c>
      <c r="CY187" s="409">
        <v>0</v>
      </c>
      <c r="CZ187" s="409">
        <v>0.88529408092629325</v>
      </c>
      <c r="DA187" s="409">
        <v>0</v>
      </c>
      <c r="DB187" s="409">
        <v>0</v>
      </c>
      <c r="DC187" s="409">
        <v>4.4238772201770047</v>
      </c>
      <c r="DD187" s="409">
        <v>0</v>
      </c>
      <c r="DE187" s="409">
        <v>0</v>
      </c>
      <c r="DF187" s="409">
        <v>0</v>
      </c>
      <c r="DG187" s="409">
        <v>5.9446737962750795E-2</v>
      </c>
      <c r="DH187" s="409">
        <v>0</v>
      </c>
      <c r="DI187" s="409">
        <v>0</v>
      </c>
      <c r="DJ187" s="409"/>
      <c r="DK187" s="409">
        <v>0</v>
      </c>
      <c r="DL187" s="409">
        <v>0</v>
      </c>
      <c r="DM187" s="409">
        <v>0</v>
      </c>
      <c r="DN187" s="409">
        <v>0</v>
      </c>
      <c r="DO187" s="409">
        <v>0</v>
      </c>
      <c r="DP187" s="409">
        <v>-2.1082233422085317E-2</v>
      </c>
      <c r="DQ187" s="409">
        <v>0</v>
      </c>
      <c r="DR187" s="409">
        <v>-0.39779352615783092</v>
      </c>
      <c r="DS187" s="409"/>
      <c r="DT187" s="409"/>
      <c r="DU187" s="409"/>
      <c r="DV187" s="409">
        <v>59.423757613094395</v>
      </c>
      <c r="DW187" s="409">
        <v>0</v>
      </c>
      <c r="DX187" s="409">
        <v>0</v>
      </c>
      <c r="DY187" s="409">
        <v>-8.3970000000000056</v>
      </c>
      <c r="DZ187" s="409">
        <v>3.9000000000000057</v>
      </c>
      <c r="EA187" s="409">
        <v>0</v>
      </c>
      <c r="EB187" s="409">
        <v>0</v>
      </c>
      <c r="EC187" s="409">
        <v>-9.4455834574865989</v>
      </c>
      <c r="ED187" s="409">
        <v>0</v>
      </c>
      <c r="EE187" s="409">
        <v>0</v>
      </c>
      <c r="EF187" s="409">
        <v>0</v>
      </c>
      <c r="EG187" s="409">
        <v>0</v>
      </c>
      <c r="EH187" s="409">
        <v>0</v>
      </c>
      <c r="EI187" s="409">
        <v>0</v>
      </c>
      <c r="EJ187" s="409">
        <v>0</v>
      </c>
      <c r="EK187" s="409">
        <v>0</v>
      </c>
      <c r="EL187" s="409">
        <v>0</v>
      </c>
      <c r="EM187" s="409">
        <v>0</v>
      </c>
      <c r="EN187" s="409">
        <v>0</v>
      </c>
      <c r="EO187" s="409">
        <v>0</v>
      </c>
      <c r="EP187" s="409">
        <v>0</v>
      </c>
      <c r="EQ187" s="409">
        <v>0</v>
      </c>
      <c r="ER187" s="409">
        <v>0</v>
      </c>
      <c r="ES187" s="409">
        <v>0</v>
      </c>
      <c r="ET187" s="409">
        <v>0</v>
      </c>
      <c r="EU187" s="409">
        <v>0</v>
      </c>
      <c r="EV187" s="409">
        <v>210</v>
      </c>
      <c r="EW187" s="409">
        <v>0</v>
      </c>
      <c r="EX187" s="409">
        <v>0</v>
      </c>
      <c r="EY187" s="409">
        <v>0</v>
      </c>
      <c r="EZ187" s="409"/>
      <c r="FA187" s="409">
        <v>0</v>
      </c>
      <c r="FB187" s="409"/>
      <c r="FC187" s="409"/>
      <c r="FD187" s="409"/>
      <c r="FE187" s="409"/>
      <c r="FF187" s="409">
        <v>0</v>
      </c>
      <c r="FG187" s="409">
        <v>0</v>
      </c>
      <c r="FH187" s="409">
        <v>0</v>
      </c>
      <c r="FI187" s="409">
        <v>0</v>
      </c>
    </row>
    <row r="188" spans="1:165">
      <c r="A188" s="409">
        <v>186</v>
      </c>
      <c r="B188" s="409" t="s">
        <v>1035</v>
      </c>
      <c r="C188" s="409" t="s">
        <v>2241</v>
      </c>
      <c r="D188" s="409" t="s">
        <v>1989</v>
      </c>
      <c r="E188" s="409" t="s">
        <v>968</v>
      </c>
      <c r="F188" s="409" t="s">
        <v>2244</v>
      </c>
      <c r="G188" s="409" t="s">
        <v>1323</v>
      </c>
      <c r="H188" s="409" t="s">
        <v>1323</v>
      </c>
      <c r="I188" s="409" t="s">
        <v>1323</v>
      </c>
      <c r="J188" s="409" t="s">
        <v>2242</v>
      </c>
      <c r="K188" s="838">
        <v>44501</v>
      </c>
      <c r="L188" s="409">
        <v>0</v>
      </c>
      <c r="M188" s="409">
        <v>0</v>
      </c>
      <c r="N188" s="409">
        <v>0.65700000000000003</v>
      </c>
      <c r="O188" s="409">
        <v>0.65700000000000003</v>
      </c>
      <c r="P188" s="409">
        <v>0.65700000000000003</v>
      </c>
      <c r="Q188" s="409">
        <v>0.65700000000000003</v>
      </c>
      <c r="R188" s="409"/>
      <c r="S188" s="409">
        <v>288.91000000000003</v>
      </c>
      <c r="T188" s="409">
        <v>273.74</v>
      </c>
      <c r="U188" s="409"/>
      <c r="V188" s="409">
        <v>369.66105000000005</v>
      </c>
      <c r="W188" s="409">
        <v>369.66105000000005</v>
      </c>
      <c r="X188" s="409">
        <v>359.81262000000004</v>
      </c>
      <c r="Y188" s="409">
        <v>0</v>
      </c>
      <c r="Z188" s="409">
        <v>0</v>
      </c>
      <c r="AA188" s="409">
        <v>0</v>
      </c>
      <c r="AB188" s="409">
        <v>0</v>
      </c>
      <c r="AC188" s="409">
        <v>0</v>
      </c>
      <c r="AD188" s="409">
        <v>56.560156127975532</v>
      </c>
      <c r="AE188" s="409">
        <v>130.13802917267674</v>
      </c>
      <c r="AF188" s="409">
        <v>179.84669361616378</v>
      </c>
      <c r="AG188" s="409">
        <v>0</v>
      </c>
      <c r="AH188" s="409">
        <v>0</v>
      </c>
      <c r="AI188" s="409">
        <v>0</v>
      </c>
      <c r="AJ188" s="409">
        <v>0</v>
      </c>
      <c r="AK188" s="409">
        <v>0</v>
      </c>
      <c r="AL188" s="409">
        <v>0</v>
      </c>
      <c r="AM188" s="409"/>
      <c r="AN188" s="409">
        <v>0.69976503085257991</v>
      </c>
      <c r="AO188" s="409">
        <v>0</v>
      </c>
      <c r="AP188" s="409">
        <v>0</v>
      </c>
      <c r="AQ188" s="409">
        <v>0</v>
      </c>
      <c r="AR188" s="409">
        <v>0</v>
      </c>
      <c r="AS188" s="409">
        <v>0</v>
      </c>
      <c r="AT188" s="409">
        <v>0</v>
      </c>
      <c r="AU188" s="409">
        <v>0</v>
      </c>
      <c r="AV188" s="409">
        <v>0</v>
      </c>
      <c r="AW188" s="409">
        <v>0</v>
      </c>
      <c r="AX188" s="409">
        <v>0</v>
      </c>
      <c r="AY188" s="409">
        <v>0</v>
      </c>
      <c r="AZ188" s="409">
        <v>0</v>
      </c>
      <c r="BA188" s="409"/>
      <c r="BB188" s="409">
        <v>0</v>
      </c>
      <c r="BC188" s="409">
        <v>0</v>
      </c>
      <c r="BD188" s="409">
        <v>0</v>
      </c>
      <c r="BE188" s="409">
        <v>0</v>
      </c>
      <c r="BF188" s="409">
        <v>0</v>
      </c>
      <c r="BG188" s="409">
        <v>2.4167260384407929</v>
      </c>
      <c r="BH188" s="409">
        <v>0</v>
      </c>
      <c r="BI188" s="409">
        <v>1.72</v>
      </c>
      <c r="BJ188" s="409">
        <v>7.89</v>
      </c>
      <c r="BK188" s="409">
        <v>34.22</v>
      </c>
      <c r="BL188" s="409">
        <v>1</v>
      </c>
      <c r="BM188" s="409"/>
      <c r="BN188" s="409"/>
      <c r="BO188" s="409"/>
      <c r="BP188" s="409"/>
      <c r="BQ188" s="409"/>
      <c r="BR188" s="409"/>
      <c r="BS188" s="409"/>
      <c r="BT188" s="409">
        <v>143.92242000000002</v>
      </c>
      <c r="BU188" s="409"/>
      <c r="BV188" s="409">
        <v>182.26341965460458</v>
      </c>
      <c r="BW188" s="409"/>
      <c r="BX188" s="409"/>
      <c r="BY188" s="409"/>
      <c r="BZ188" s="409"/>
      <c r="CA188" s="409"/>
      <c r="CB188" s="409"/>
      <c r="CC188" s="409"/>
      <c r="CD188" s="409"/>
      <c r="CE188" s="409"/>
      <c r="CF188" s="409"/>
      <c r="CG188" s="409"/>
      <c r="CH188" s="409"/>
      <c r="CI188" s="409">
        <v>216.87600000000003</v>
      </c>
      <c r="CJ188" s="409">
        <v>-4.9506299999999896</v>
      </c>
      <c r="CK188" s="409"/>
      <c r="CL188" s="409"/>
      <c r="CM188" s="409"/>
      <c r="CN188" s="409"/>
      <c r="CO188" s="409">
        <v>-18.389430000000008</v>
      </c>
      <c r="CP188" s="409">
        <v>8.5410000000000004</v>
      </c>
      <c r="CQ188" s="409">
        <v>30</v>
      </c>
      <c r="CR188" s="409">
        <v>10.839935592074596</v>
      </c>
      <c r="CS188" s="409">
        <v>0</v>
      </c>
      <c r="CT188" s="409">
        <v>0</v>
      </c>
      <c r="CU188" s="409">
        <v>0</v>
      </c>
      <c r="CV188" s="409">
        <v>0</v>
      </c>
      <c r="CW188" s="409">
        <v>0</v>
      </c>
      <c r="CX188" s="409">
        <v>0</v>
      </c>
      <c r="CY188" s="409">
        <v>0</v>
      </c>
      <c r="CZ188" s="409">
        <v>1.9387940372285826</v>
      </c>
      <c r="DA188" s="409">
        <v>0</v>
      </c>
      <c r="DB188" s="409">
        <v>0</v>
      </c>
      <c r="DC188" s="409">
        <v>9.6882911121876418</v>
      </c>
      <c r="DD188" s="409">
        <v>0</v>
      </c>
      <c r="DE188" s="409">
        <v>0</v>
      </c>
      <c r="DF188" s="409">
        <v>0</v>
      </c>
      <c r="DG188" s="409">
        <v>0.1301883561384245</v>
      </c>
      <c r="DH188" s="409">
        <v>0</v>
      </c>
      <c r="DI188" s="409">
        <v>0</v>
      </c>
      <c r="DJ188" s="409"/>
      <c r="DK188" s="409">
        <v>0</v>
      </c>
      <c r="DL188" s="409">
        <v>0</v>
      </c>
      <c r="DM188" s="409">
        <v>0</v>
      </c>
      <c r="DN188" s="409">
        <v>0</v>
      </c>
      <c r="DO188" s="409">
        <v>0</v>
      </c>
      <c r="DP188" s="409">
        <v>-4.6170091194366769E-2</v>
      </c>
      <c r="DQ188" s="409">
        <v>0</v>
      </c>
      <c r="DR188" s="409">
        <v>-0.8711678222856496</v>
      </c>
      <c r="DS188" s="409"/>
      <c r="DT188" s="409"/>
      <c r="DU188" s="409"/>
      <c r="DV188" s="409">
        <v>130.13802917267674</v>
      </c>
      <c r="DW188" s="409">
        <v>0</v>
      </c>
      <c r="DX188" s="409">
        <v>0</v>
      </c>
      <c r="DY188" s="409">
        <v>-18.389430000000033</v>
      </c>
      <c r="DZ188" s="409">
        <v>8.5409999999999968</v>
      </c>
      <c r="EA188" s="409">
        <v>0</v>
      </c>
      <c r="EB188" s="409">
        <v>0</v>
      </c>
      <c r="EC188" s="409">
        <v>-20.68582777189566</v>
      </c>
      <c r="ED188" s="409">
        <v>0</v>
      </c>
      <c r="EE188" s="409">
        <v>0</v>
      </c>
      <c r="EF188" s="409">
        <v>0</v>
      </c>
      <c r="EG188" s="409">
        <v>0</v>
      </c>
      <c r="EH188" s="409">
        <v>0</v>
      </c>
      <c r="EI188" s="409">
        <v>0</v>
      </c>
      <c r="EJ188" s="409">
        <v>0</v>
      </c>
      <c r="EK188" s="409">
        <v>0</v>
      </c>
      <c r="EL188" s="409">
        <v>0</v>
      </c>
      <c r="EM188" s="409">
        <v>0</v>
      </c>
      <c r="EN188" s="409">
        <v>0</v>
      </c>
      <c r="EO188" s="409">
        <v>0</v>
      </c>
      <c r="EP188" s="409">
        <v>0</v>
      </c>
      <c r="EQ188" s="409">
        <v>0</v>
      </c>
      <c r="ER188" s="409">
        <v>0</v>
      </c>
      <c r="ES188" s="409">
        <v>0</v>
      </c>
      <c r="ET188" s="409">
        <v>0</v>
      </c>
      <c r="EU188" s="409">
        <v>0</v>
      </c>
      <c r="EV188" s="409">
        <v>210</v>
      </c>
      <c r="EW188" s="409">
        <v>0</v>
      </c>
      <c r="EX188" s="409">
        <v>0</v>
      </c>
      <c r="EY188" s="409">
        <v>0</v>
      </c>
      <c r="EZ188" s="409"/>
      <c r="FA188" s="409">
        <v>0</v>
      </c>
      <c r="FB188" s="409"/>
      <c r="FC188" s="409"/>
      <c r="FD188" s="409"/>
      <c r="FE188" s="409"/>
      <c r="FF188" s="409">
        <v>0</v>
      </c>
      <c r="FG188" s="409">
        <v>0</v>
      </c>
      <c r="FH188" s="409">
        <v>0</v>
      </c>
      <c r="FI188" s="409">
        <v>0</v>
      </c>
    </row>
    <row r="189" spans="1:165">
      <c r="A189" s="409">
        <v>187</v>
      </c>
      <c r="B189" s="409" t="s">
        <v>1035</v>
      </c>
      <c r="C189" s="409" t="s">
        <v>2241</v>
      </c>
      <c r="D189" s="409" t="s">
        <v>1989</v>
      </c>
      <c r="E189" s="409" t="s">
        <v>968</v>
      </c>
      <c r="F189" s="409" t="s">
        <v>2245</v>
      </c>
      <c r="G189" s="409" t="s">
        <v>1323</v>
      </c>
      <c r="H189" s="409" t="s">
        <v>1323</v>
      </c>
      <c r="I189" s="409" t="s">
        <v>1323</v>
      </c>
      <c r="J189" s="409" t="s">
        <v>2242</v>
      </c>
      <c r="K189" s="838">
        <v>44501</v>
      </c>
      <c r="L189" s="409">
        <v>0</v>
      </c>
      <c r="M189" s="409">
        <v>0</v>
      </c>
      <c r="N189" s="409">
        <v>0.53200000000000003</v>
      </c>
      <c r="O189" s="409">
        <v>0.53200000000000003</v>
      </c>
      <c r="P189" s="409">
        <v>0.53200000000000003</v>
      </c>
      <c r="Q189" s="409">
        <v>0.53200000000000003</v>
      </c>
      <c r="R189" s="409"/>
      <c r="S189" s="409">
        <v>288.91000000000003</v>
      </c>
      <c r="T189" s="409">
        <v>273.74</v>
      </c>
      <c r="U189" s="409"/>
      <c r="V189" s="409">
        <v>299.32980000000003</v>
      </c>
      <c r="W189" s="409">
        <v>299.32980000000003</v>
      </c>
      <c r="X189" s="409">
        <v>291.35512000000006</v>
      </c>
      <c r="Y189" s="409">
        <v>0</v>
      </c>
      <c r="Z189" s="409">
        <v>0</v>
      </c>
      <c r="AA189" s="409">
        <v>0</v>
      </c>
      <c r="AB189" s="409">
        <v>0</v>
      </c>
      <c r="AC189" s="409">
        <v>0</v>
      </c>
      <c r="AD189" s="409">
        <v>45.799091415651425</v>
      </c>
      <c r="AE189" s="409">
        <v>105.37813016722073</v>
      </c>
      <c r="AF189" s="409">
        <v>145.62928615494539</v>
      </c>
      <c r="AG189" s="409">
        <v>0</v>
      </c>
      <c r="AH189" s="409">
        <v>0</v>
      </c>
      <c r="AI189" s="409">
        <v>0</v>
      </c>
      <c r="AJ189" s="409">
        <v>0</v>
      </c>
      <c r="AK189" s="409">
        <v>0</v>
      </c>
      <c r="AL189" s="409">
        <v>0</v>
      </c>
      <c r="AM189" s="409"/>
      <c r="AN189" s="409">
        <v>0.56662860945749238</v>
      </c>
      <c r="AO189" s="409">
        <v>0</v>
      </c>
      <c r="AP189" s="409">
        <v>0</v>
      </c>
      <c r="AQ189" s="409">
        <v>0</v>
      </c>
      <c r="AR189" s="409">
        <v>0</v>
      </c>
      <c r="AS189" s="409">
        <v>0</v>
      </c>
      <c r="AT189" s="409">
        <v>0</v>
      </c>
      <c r="AU189" s="409">
        <v>0</v>
      </c>
      <c r="AV189" s="409">
        <v>0</v>
      </c>
      <c r="AW189" s="409">
        <v>0</v>
      </c>
      <c r="AX189" s="409">
        <v>0</v>
      </c>
      <c r="AY189" s="409">
        <v>0</v>
      </c>
      <c r="AZ189" s="409">
        <v>0</v>
      </c>
      <c r="BA189" s="409"/>
      <c r="BB189" s="409">
        <v>0</v>
      </c>
      <c r="BC189" s="409">
        <v>0</v>
      </c>
      <c r="BD189" s="409">
        <v>0</v>
      </c>
      <c r="BE189" s="409">
        <v>0</v>
      </c>
      <c r="BF189" s="409">
        <v>0</v>
      </c>
      <c r="BG189" s="409">
        <v>1.9569227586765632</v>
      </c>
      <c r="BH189" s="409">
        <v>0</v>
      </c>
      <c r="BI189" s="409">
        <v>2.64</v>
      </c>
      <c r="BJ189" s="409">
        <v>12.38</v>
      </c>
      <c r="BK189" s="409">
        <v>60.26</v>
      </c>
      <c r="BL189" s="409">
        <v>8</v>
      </c>
      <c r="BM189" s="409"/>
      <c r="BN189" s="409"/>
      <c r="BO189" s="409"/>
      <c r="BP189" s="409"/>
      <c r="BQ189" s="409"/>
      <c r="BR189" s="409"/>
      <c r="BS189" s="409"/>
      <c r="BT189" s="409">
        <v>29.132320000000011</v>
      </c>
      <c r="BU189" s="409"/>
      <c r="BV189" s="409">
        <v>147.58620891362196</v>
      </c>
      <c r="BW189" s="409"/>
      <c r="BX189" s="409"/>
      <c r="BY189" s="409"/>
      <c r="BZ189" s="409"/>
      <c r="CA189" s="409"/>
      <c r="CB189" s="409"/>
      <c r="CC189" s="409"/>
      <c r="CD189" s="409"/>
      <c r="CE189" s="409"/>
      <c r="CF189" s="409"/>
      <c r="CG189" s="409"/>
      <c r="CH189" s="409"/>
      <c r="CI189" s="409">
        <v>261.23700000000002</v>
      </c>
      <c r="CJ189" s="409">
        <v>-8.1924799999999891</v>
      </c>
      <c r="CK189" s="409"/>
      <c r="CL189" s="409"/>
      <c r="CM189" s="409"/>
      <c r="CN189" s="409"/>
      <c r="CO189" s="409">
        <v>-14.890680000000005</v>
      </c>
      <c r="CP189" s="409">
        <v>6.9160000000000004</v>
      </c>
      <c r="CQ189" s="409">
        <v>30</v>
      </c>
      <c r="CR189" s="409">
        <v>8.7775429756220831</v>
      </c>
      <c r="CS189" s="409">
        <v>0</v>
      </c>
      <c r="CT189" s="409">
        <v>0</v>
      </c>
      <c r="CU189" s="409">
        <v>0</v>
      </c>
      <c r="CV189" s="409">
        <v>0</v>
      </c>
      <c r="CW189" s="409">
        <v>0</v>
      </c>
      <c r="CX189" s="409">
        <v>0</v>
      </c>
      <c r="CY189" s="409">
        <v>0</v>
      </c>
      <c r="CZ189" s="409">
        <v>1.5699215035092919</v>
      </c>
      <c r="DA189" s="409">
        <v>0</v>
      </c>
      <c r="DB189" s="409">
        <v>0</v>
      </c>
      <c r="DC189" s="409">
        <v>7.8450089371139029</v>
      </c>
      <c r="DD189" s="409">
        <v>0</v>
      </c>
      <c r="DE189" s="409">
        <v>0</v>
      </c>
      <c r="DF189" s="409">
        <v>0</v>
      </c>
      <c r="DG189" s="409">
        <v>0.10541888198727833</v>
      </c>
      <c r="DH189" s="409">
        <v>0</v>
      </c>
      <c r="DI189" s="409">
        <v>0</v>
      </c>
      <c r="DJ189" s="409"/>
      <c r="DK189" s="409">
        <v>0</v>
      </c>
      <c r="DL189" s="409">
        <v>0</v>
      </c>
      <c r="DM189" s="409">
        <v>0</v>
      </c>
      <c r="DN189" s="409">
        <v>0</v>
      </c>
      <c r="DO189" s="409">
        <v>0</v>
      </c>
      <c r="DP189" s="409">
        <v>-3.7385827268497929E-2</v>
      </c>
      <c r="DQ189" s="409">
        <v>0</v>
      </c>
      <c r="DR189" s="409">
        <v>-0.70542051971988684</v>
      </c>
      <c r="DS189" s="409"/>
      <c r="DT189" s="409"/>
      <c r="DU189" s="409"/>
      <c r="DV189" s="409">
        <v>105.37813016722073</v>
      </c>
      <c r="DW189" s="409">
        <v>0</v>
      </c>
      <c r="DX189" s="409">
        <v>0</v>
      </c>
      <c r="DY189" s="409">
        <v>-14.890680000000003</v>
      </c>
      <c r="DZ189" s="409">
        <v>6.9159999999999968</v>
      </c>
      <c r="EA189" s="409">
        <v>0</v>
      </c>
      <c r="EB189" s="409">
        <v>0</v>
      </c>
      <c r="EC189" s="409">
        <v>-16.750167997942896</v>
      </c>
      <c r="ED189" s="409">
        <v>0</v>
      </c>
      <c r="EE189" s="409">
        <v>0</v>
      </c>
      <c r="EF189" s="409">
        <v>0</v>
      </c>
      <c r="EG189" s="409">
        <v>0</v>
      </c>
      <c r="EH189" s="409">
        <v>0</v>
      </c>
      <c r="EI189" s="409">
        <v>0</v>
      </c>
      <c r="EJ189" s="409">
        <v>0</v>
      </c>
      <c r="EK189" s="409">
        <v>0</v>
      </c>
      <c r="EL189" s="409">
        <v>0</v>
      </c>
      <c r="EM189" s="409">
        <v>0</v>
      </c>
      <c r="EN189" s="409">
        <v>0</v>
      </c>
      <c r="EO189" s="409">
        <v>0</v>
      </c>
      <c r="EP189" s="409">
        <v>0</v>
      </c>
      <c r="EQ189" s="409">
        <v>0</v>
      </c>
      <c r="ER189" s="409">
        <v>0</v>
      </c>
      <c r="ES189" s="409">
        <v>0</v>
      </c>
      <c r="ET189" s="409">
        <v>0</v>
      </c>
      <c r="EU189" s="409">
        <v>0</v>
      </c>
      <c r="EV189" s="409">
        <v>210</v>
      </c>
      <c r="EW189" s="409">
        <v>0</v>
      </c>
      <c r="EX189" s="409">
        <v>0</v>
      </c>
      <c r="EY189" s="409">
        <v>0</v>
      </c>
      <c r="EZ189" s="409"/>
      <c r="FA189" s="409">
        <v>0</v>
      </c>
      <c r="FB189" s="409"/>
      <c r="FC189" s="409"/>
      <c r="FD189" s="409"/>
      <c r="FE189" s="409"/>
      <c r="FF189" s="409">
        <v>0</v>
      </c>
      <c r="FG189" s="409">
        <v>0</v>
      </c>
      <c r="FH189" s="409">
        <v>0</v>
      </c>
      <c r="FI189" s="409">
        <v>0</v>
      </c>
    </row>
    <row r="190" spans="1:165">
      <c r="A190" s="409">
        <v>188</v>
      </c>
      <c r="B190" s="409" t="s">
        <v>1035</v>
      </c>
      <c r="C190" s="409" t="s">
        <v>2241</v>
      </c>
      <c r="D190" s="409" t="s">
        <v>1989</v>
      </c>
      <c r="E190" s="409" t="s">
        <v>968</v>
      </c>
      <c r="F190" s="409" t="s">
        <v>2258</v>
      </c>
      <c r="G190" s="409" t="s">
        <v>1323</v>
      </c>
      <c r="H190" s="409" t="s">
        <v>1323</v>
      </c>
      <c r="I190" s="409" t="s">
        <v>1323</v>
      </c>
      <c r="J190" s="409" t="s">
        <v>2242</v>
      </c>
      <c r="K190" s="838">
        <v>44501</v>
      </c>
      <c r="L190" s="409">
        <v>0</v>
      </c>
      <c r="M190" s="409">
        <v>0</v>
      </c>
      <c r="N190" s="409">
        <v>2.1999999999999999E-2</v>
      </c>
      <c r="O190" s="409">
        <v>2.1999999999999999E-2</v>
      </c>
      <c r="P190" s="409">
        <v>2.1999999999999999E-2</v>
      </c>
      <c r="Q190" s="409">
        <v>2.1999999999999999E-2</v>
      </c>
      <c r="R190" s="409"/>
      <c r="S190" s="409">
        <v>288.91000000000003</v>
      </c>
      <c r="T190" s="409">
        <v>273.74</v>
      </c>
      <c r="U190" s="409"/>
      <c r="V190" s="409">
        <v>12.378299999999999</v>
      </c>
      <c r="W190" s="409">
        <v>12.378299999999999</v>
      </c>
      <c r="X190" s="409">
        <v>12.04852</v>
      </c>
      <c r="Y190" s="409">
        <v>0</v>
      </c>
      <c r="Z190" s="409">
        <v>0</v>
      </c>
      <c r="AA190" s="409">
        <v>0</v>
      </c>
      <c r="AB190" s="409">
        <v>0</v>
      </c>
      <c r="AC190" s="409">
        <v>0</v>
      </c>
      <c r="AD190" s="409">
        <v>1.8939473893690435</v>
      </c>
      <c r="AE190" s="409">
        <v>4.3577422249602558</v>
      </c>
      <c r="AF190" s="409">
        <v>6.022263713174433</v>
      </c>
      <c r="AG190" s="409">
        <v>0</v>
      </c>
      <c r="AH190" s="409">
        <v>0</v>
      </c>
      <c r="AI190" s="409">
        <v>0</v>
      </c>
      <c r="AJ190" s="409">
        <v>0</v>
      </c>
      <c r="AK190" s="409">
        <v>0</v>
      </c>
      <c r="AL190" s="409">
        <v>0</v>
      </c>
      <c r="AM190" s="409"/>
      <c r="AN190" s="409">
        <v>2.3432010165535398E-2</v>
      </c>
      <c r="AO190" s="409">
        <v>0</v>
      </c>
      <c r="AP190" s="409">
        <v>0</v>
      </c>
      <c r="AQ190" s="409">
        <v>0</v>
      </c>
      <c r="AR190" s="409">
        <v>0</v>
      </c>
      <c r="AS190" s="409">
        <v>0</v>
      </c>
      <c r="AT190" s="409">
        <v>0</v>
      </c>
      <c r="AU190" s="409">
        <v>0</v>
      </c>
      <c r="AV190" s="409">
        <v>0</v>
      </c>
      <c r="AW190" s="409">
        <v>0</v>
      </c>
      <c r="AX190" s="409">
        <v>0</v>
      </c>
      <c r="AY190" s="409">
        <v>0</v>
      </c>
      <c r="AZ190" s="409">
        <v>0</v>
      </c>
      <c r="BA190" s="409"/>
      <c r="BB190" s="409">
        <v>0</v>
      </c>
      <c r="BC190" s="409">
        <v>0</v>
      </c>
      <c r="BD190" s="409">
        <v>0</v>
      </c>
      <c r="BE190" s="409">
        <v>0</v>
      </c>
      <c r="BF190" s="409">
        <v>0</v>
      </c>
      <c r="BG190" s="409">
        <v>8.0925377238504473E-2</v>
      </c>
      <c r="BH190" s="409">
        <v>0</v>
      </c>
      <c r="BI190" s="409">
        <v>0.27</v>
      </c>
      <c r="BJ190" s="409">
        <v>1.23</v>
      </c>
      <c r="BK190" s="409">
        <v>10.27</v>
      </c>
      <c r="BL190" s="409">
        <v>1</v>
      </c>
      <c r="BM190" s="409"/>
      <c r="BN190" s="409"/>
      <c r="BO190" s="409"/>
      <c r="BP190" s="409"/>
      <c r="BQ190" s="409"/>
      <c r="BR190" s="409"/>
      <c r="BS190" s="409"/>
      <c r="BT190" s="409"/>
      <c r="BU190" s="409"/>
      <c r="BV190" s="409">
        <v>6.1031890904129371</v>
      </c>
      <c r="BW190" s="409"/>
      <c r="BX190" s="409"/>
      <c r="BY190" s="409"/>
      <c r="BZ190" s="409"/>
      <c r="CA190" s="409"/>
      <c r="CB190" s="409"/>
      <c r="CC190" s="409"/>
      <c r="CD190" s="409"/>
      <c r="CE190" s="409"/>
      <c r="CF190" s="409"/>
      <c r="CG190" s="409"/>
      <c r="CH190" s="409"/>
      <c r="CI190" s="409">
        <v>10.953200000000001</v>
      </c>
      <c r="CJ190" s="409">
        <v>-1.4550999999999981</v>
      </c>
      <c r="CK190" s="409"/>
      <c r="CL190" s="409"/>
      <c r="CM190" s="409"/>
      <c r="CN190" s="409"/>
      <c r="CO190" s="409">
        <v>-0.61578000000000022</v>
      </c>
      <c r="CP190" s="409">
        <v>0.28599999999999998</v>
      </c>
      <c r="CQ190" s="409">
        <v>30</v>
      </c>
      <c r="CR190" s="409">
        <v>0.36298110049565047</v>
      </c>
      <c r="CS190" s="409">
        <v>0</v>
      </c>
      <c r="CT190" s="409">
        <v>0</v>
      </c>
      <c r="CU190" s="409">
        <v>0</v>
      </c>
      <c r="CV190" s="409">
        <v>0</v>
      </c>
      <c r="CW190" s="409">
        <v>0</v>
      </c>
      <c r="CX190" s="409">
        <v>0</v>
      </c>
      <c r="CY190" s="409">
        <v>0</v>
      </c>
      <c r="CZ190" s="409">
        <v>6.4921565934594971E-2</v>
      </c>
      <c r="DA190" s="409">
        <v>0</v>
      </c>
      <c r="DB190" s="409">
        <v>0</v>
      </c>
      <c r="DC190" s="409">
        <v>0.3244176628129809</v>
      </c>
      <c r="DD190" s="409">
        <v>0</v>
      </c>
      <c r="DE190" s="409">
        <v>0</v>
      </c>
      <c r="DF190" s="409">
        <v>0</v>
      </c>
      <c r="DG190" s="409">
        <v>4.3594274506017355E-3</v>
      </c>
      <c r="DH190" s="409">
        <v>0</v>
      </c>
      <c r="DI190" s="409">
        <v>0</v>
      </c>
      <c r="DJ190" s="409"/>
      <c r="DK190" s="409">
        <v>0</v>
      </c>
      <c r="DL190" s="409">
        <v>0</v>
      </c>
      <c r="DM190" s="409">
        <v>0</v>
      </c>
      <c r="DN190" s="409">
        <v>0</v>
      </c>
      <c r="DO190" s="409">
        <v>0</v>
      </c>
      <c r="DP190" s="409">
        <v>-1.5460304509529212E-3</v>
      </c>
      <c r="DQ190" s="409">
        <v>0</v>
      </c>
      <c r="DR190" s="409">
        <v>-2.9171525251574258E-2</v>
      </c>
      <c r="DS190" s="409"/>
      <c r="DT190" s="409"/>
      <c r="DU190" s="409"/>
      <c r="DV190" s="409">
        <v>4.3577422249602558</v>
      </c>
      <c r="DW190" s="409">
        <v>0</v>
      </c>
      <c r="DX190" s="409">
        <v>0</v>
      </c>
      <c r="DY190" s="409">
        <v>-0.61577999999999999</v>
      </c>
      <c r="DZ190" s="409">
        <v>0.28600000000000048</v>
      </c>
      <c r="EA190" s="409">
        <v>0</v>
      </c>
      <c r="EB190" s="409">
        <v>0</v>
      </c>
      <c r="EC190" s="409">
        <v>-0.69267612021568414</v>
      </c>
      <c r="ED190" s="409">
        <v>0</v>
      </c>
      <c r="EE190" s="409">
        <v>0</v>
      </c>
      <c r="EF190" s="409">
        <v>0</v>
      </c>
      <c r="EG190" s="409">
        <v>0</v>
      </c>
      <c r="EH190" s="409">
        <v>0</v>
      </c>
      <c r="EI190" s="409">
        <v>0</v>
      </c>
      <c r="EJ190" s="409">
        <v>0</v>
      </c>
      <c r="EK190" s="409">
        <v>0</v>
      </c>
      <c r="EL190" s="409">
        <v>0</v>
      </c>
      <c r="EM190" s="409">
        <v>0</v>
      </c>
      <c r="EN190" s="409">
        <v>0</v>
      </c>
      <c r="EO190" s="409">
        <v>0</v>
      </c>
      <c r="EP190" s="409">
        <v>0</v>
      </c>
      <c r="EQ190" s="409">
        <v>0</v>
      </c>
      <c r="ER190" s="409">
        <v>0</v>
      </c>
      <c r="ES190" s="409">
        <v>0</v>
      </c>
      <c r="ET190" s="409">
        <v>0</v>
      </c>
      <c r="EU190" s="409">
        <v>0</v>
      </c>
      <c r="EV190" s="409">
        <v>210</v>
      </c>
      <c r="EW190" s="409">
        <v>0</v>
      </c>
      <c r="EX190" s="409">
        <v>0</v>
      </c>
      <c r="EY190" s="409">
        <v>0</v>
      </c>
      <c r="EZ190" s="409"/>
      <c r="FA190" s="409">
        <v>0</v>
      </c>
      <c r="FB190" s="409"/>
      <c r="FC190" s="409"/>
      <c r="FD190" s="409"/>
      <c r="FE190" s="409"/>
      <c r="FF190" s="409">
        <v>0</v>
      </c>
      <c r="FG190" s="409">
        <v>0</v>
      </c>
      <c r="FH190" s="409">
        <v>0</v>
      </c>
      <c r="FI190" s="409">
        <v>0</v>
      </c>
    </row>
    <row r="191" spans="1:165">
      <c r="A191" s="409">
        <v>189</v>
      </c>
      <c r="B191" s="409" t="s">
        <v>1035</v>
      </c>
      <c r="C191" s="409" t="s">
        <v>2241</v>
      </c>
      <c r="D191" s="409" t="s">
        <v>1992</v>
      </c>
      <c r="E191" s="409" t="s">
        <v>969</v>
      </c>
      <c r="F191" s="409" t="s">
        <v>1323</v>
      </c>
      <c r="G191" s="409" t="s">
        <v>1323</v>
      </c>
      <c r="H191" s="409" t="s">
        <v>1323</v>
      </c>
      <c r="I191" s="409" t="s">
        <v>1323</v>
      </c>
      <c r="J191" s="409" t="s">
        <v>2242</v>
      </c>
      <c r="K191" s="838">
        <v>44501</v>
      </c>
      <c r="L191" s="409">
        <v>0</v>
      </c>
      <c r="M191" s="409">
        <v>0</v>
      </c>
      <c r="N191" s="409">
        <v>27.494</v>
      </c>
      <c r="O191" s="409">
        <v>27.494</v>
      </c>
      <c r="P191" s="409">
        <v>27.494</v>
      </c>
      <c r="Q191" s="409">
        <v>27.494</v>
      </c>
      <c r="R191" s="409"/>
      <c r="S191" s="409">
        <v>358.62</v>
      </c>
      <c r="T191" s="409">
        <v>273.74</v>
      </c>
      <c r="U191" s="409"/>
      <c r="V191" s="409">
        <v>17386.10584</v>
      </c>
      <c r="W191" s="409">
        <v>17386.10584</v>
      </c>
      <c r="X191" s="409">
        <v>16857.671159999998</v>
      </c>
      <c r="Y191" s="409">
        <v>0</v>
      </c>
      <c r="Z191" s="409">
        <v>1659.9340887294579</v>
      </c>
      <c r="AA191" s="409">
        <v>0</v>
      </c>
      <c r="AB191" s="409">
        <v>0</v>
      </c>
      <c r="AC191" s="409">
        <v>0</v>
      </c>
      <c r="AD191" s="409">
        <v>2366.917705605113</v>
      </c>
      <c r="AE191" s="409">
        <v>5445.9893060480581</v>
      </c>
      <c r="AF191" s="409">
        <v>7526.1872059099032</v>
      </c>
      <c r="AG191" s="409">
        <v>0</v>
      </c>
      <c r="AH191" s="409">
        <v>0</v>
      </c>
      <c r="AI191" s="409">
        <v>0</v>
      </c>
      <c r="AJ191" s="409">
        <v>0</v>
      </c>
      <c r="AK191" s="409">
        <v>0</v>
      </c>
      <c r="AL191" s="409">
        <v>256.69907384552062</v>
      </c>
      <c r="AM191" s="409"/>
      <c r="AN191" s="409">
        <v>29.283622158692285</v>
      </c>
      <c r="AO191" s="409">
        <v>0</v>
      </c>
      <c r="AP191" s="409">
        <v>0</v>
      </c>
      <c r="AQ191" s="409">
        <v>0</v>
      </c>
      <c r="AR191" s="409">
        <v>0</v>
      </c>
      <c r="AS191" s="409">
        <v>0</v>
      </c>
      <c r="AT191" s="409">
        <v>0</v>
      </c>
      <c r="AU191" s="409">
        <v>0</v>
      </c>
      <c r="AV191" s="409">
        <v>0</v>
      </c>
      <c r="AW191" s="409">
        <v>0</v>
      </c>
      <c r="AX191" s="409">
        <v>0</v>
      </c>
      <c r="AY191" s="409">
        <v>0</v>
      </c>
      <c r="AZ191" s="409">
        <v>0</v>
      </c>
      <c r="BA191" s="409"/>
      <c r="BB191" s="409">
        <v>0</v>
      </c>
      <c r="BC191" s="409">
        <v>0</v>
      </c>
      <c r="BD191" s="409">
        <v>0</v>
      </c>
      <c r="BE191" s="409">
        <v>0</v>
      </c>
      <c r="BF191" s="409">
        <v>0</v>
      </c>
      <c r="BG191" s="409">
        <v>101.13465099070191</v>
      </c>
      <c r="BH191" s="409">
        <v>0</v>
      </c>
      <c r="BI191" s="409">
        <v>172.2</v>
      </c>
      <c r="BJ191" s="409">
        <v>794.93</v>
      </c>
      <c r="BK191" s="409">
        <v>4769.68</v>
      </c>
      <c r="BL191" s="409">
        <v>12</v>
      </c>
      <c r="BM191" s="409"/>
      <c r="BN191" s="409"/>
      <c r="BO191" s="409"/>
      <c r="BP191" s="409"/>
      <c r="BQ191" s="409"/>
      <c r="BR191" s="409"/>
      <c r="BS191" s="409"/>
      <c r="BT191" s="409"/>
      <c r="BU191" s="409"/>
      <c r="BV191" s="409">
        <v>7627.3218569006049</v>
      </c>
      <c r="BW191" s="409"/>
      <c r="BX191" s="409"/>
      <c r="BY191" s="409"/>
      <c r="BZ191" s="409"/>
      <c r="CA191" s="409"/>
      <c r="CB191" s="409"/>
      <c r="CC191" s="409"/>
      <c r="CD191" s="409"/>
      <c r="CE191" s="409"/>
      <c r="CF191" s="409"/>
      <c r="CG191" s="409"/>
      <c r="CH191" s="409"/>
      <c r="CI191" s="409">
        <v>16855.2186</v>
      </c>
      <c r="CJ191" s="409">
        <v>-530.91723999999886</v>
      </c>
      <c r="CK191" s="409"/>
      <c r="CL191" s="409"/>
      <c r="CM191" s="409"/>
      <c r="CN191" s="409"/>
      <c r="CO191" s="409">
        <v>-885.85668000000078</v>
      </c>
      <c r="CP191" s="409">
        <v>357.42200000000003</v>
      </c>
      <c r="CQ191" s="409">
        <v>30</v>
      </c>
      <c r="CR191" s="409">
        <v>337.1281351362104</v>
      </c>
      <c r="CS191" s="409">
        <v>0</v>
      </c>
      <c r="CT191" s="409">
        <v>0</v>
      </c>
      <c r="CU191" s="409">
        <v>0</v>
      </c>
      <c r="CV191" s="409">
        <v>0</v>
      </c>
      <c r="CW191" s="409">
        <v>0</v>
      </c>
      <c r="CX191" s="409">
        <v>0</v>
      </c>
      <c r="CY191" s="409">
        <v>0</v>
      </c>
      <c r="CZ191" s="409">
        <v>81.134251536625015</v>
      </c>
      <c r="DA191" s="409">
        <v>0</v>
      </c>
      <c r="DB191" s="409">
        <v>0</v>
      </c>
      <c r="DC191" s="409">
        <v>405.43360097182176</v>
      </c>
      <c r="DD191" s="409">
        <v>0</v>
      </c>
      <c r="DE191" s="409">
        <v>0</v>
      </c>
      <c r="DF191" s="409">
        <v>0</v>
      </c>
      <c r="DG191" s="409">
        <v>5.4480953784929227</v>
      </c>
      <c r="DH191" s="409">
        <v>0</v>
      </c>
      <c r="DI191" s="409">
        <v>-105.80631543383834</v>
      </c>
      <c r="DJ191" s="409"/>
      <c r="DK191" s="409">
        <v>0</v>
      </c>
      <c r="DL191" s="409">
        <v>0</v>
      </c>
      <c r="DM191" s="409">
        <v>0</v>
      </c>
      <c r="DN191" s="409">
        <v>0</v>
      </c>
      <c r="DO191" s="409">
        <v>-13.459193897537176</v>
      </c>
      <c r="DP191" s="409">
        <v>-1.9321164190227087</v>
      </c>
      <c r="DQ191" s="409">
        <v>0</v>
      </c>
      <c r="DR191" s="409">
        <v>-33.690187000329331</v>
      </c>
      <c r="DS191" s="409"/>
      <c r="DT191" s="409"/>
      <c r="DU191" s="409"/>
      <c r="DV191" s="409">
        <v>5445.9893060480581</v>
      </c>
      <c r="DW191" s="409">
        <v>0</v>
      </c>
      <c r="DX191" s="409">
        <v>0</v>
      </c>
      <c r="DY191" s="409">
        <v>-885.85668000000078</v>
      </c>
      <c r="DZ191" s="409">
        <v>357.42200000000048</v>
      </c>
      <c r="EA191" s="409">
        <v>0</v>
      </c>
      <c r="EB191" s="409">
        <v>0</v>
      </c>
      <c r="EC191" s="409">
        <v>-865.65623860045525</v>
      </c>
      <c r="ED191" s="409">
        <v>0</v>
      </c>
      <c r="EE191" s="409">
        <v>0</v>
      </c>
      <c r="EF191" s="409">
        <v>0</v>
      </c>
      <c r="EG191" s="409">
        <v>0</v>
      </c>
      <c r="EH191" s="409">
        <v>0</v>
      </c>
      <c r="EI191" s="409">
        <v>0</v>
      </c>
      <c r="EJ191" s="409">
        <v>0</v>
      </c>
      <c r="EK191" s="409">
        <v>0</v>
      </c>
      <c r="EL191" s="409">
        <v>0</v>
      </c>
      <c r="EM191" s="409">
        <v>0</v>
      </c>
      <c r="EN191" s="409">
        <v>0</v>
      </c>
      <c r="EO191" s="409">
        <v>0</v>
      </c>
      <c r="EP191" s="409">
        <v>0</v>
      </c>
      <c r="EQ191" s="409">
        <v>0</v>
      </c>
      <c r="ER191" s="409">
        <v>0</v>
      </c>
      <c r="ES191" s="409">
        <v>0</v>
      </c>
      <c r="ET191" s="409">
        <v>0</v>
      </c>
      <c r="EU191" s="409">
        <v>0</v>
      </c>
      <c r="EV191" s="409">
        <v>210</v>
      </c>
      <c r="EW191" s="409">
        <v>0</v>
      </c>
      <c r="EX191" s="409">
        <v>0</v>
      </c>
      <c r="EY191" s="409">
        <v>0</v>
      </c>
      <c r="EZ191" s="409"/>
      <c r="FA191" s="409">
        <v>0</v>
      </c>
      <c r="FB191" s="409"/>
      <c r="FC191" s="409"/>
      <c r="FD191" s="409"/>
      <c r="FE191" s="409"/>
      <c r="FF191" s="409">
        <v>0</v>
      </c>
      <c r="FG191" s="409">
        <v>0</v>
      </c>
      <c r="FH191" s="409">
        <v>0</v>
      </c>
      <c r="FI191" s="409">
        <v>0</v>
      </c>
    </row>
    <row r="192" spans="1:165">
      <c r="A192" s="409">
        <v>190</v>
      </c>
      <c r="B192" s="409" t="s">
        <v>2240</v>
      </c>
      <c r="C192" s="409" t="s">
        <v>2241</v>
      </c>
      <c r="D192" s="409" t="s">
        <v>1992</v>
      </c>
      <c r="E192" s="409" t="s">
        <v>969</v>
      </c>
      <c r="F192" s="409" t="s">
        <v>1323</v>
      </c>
      <c r="G192" s="409" t="s">
        <v>1323</v>
      </c>
      <c r="H192" s="409" t="s">
        <v>1323</v>
      </c>
      <c r="I192" s="409" t="s">
        <v>1323</v>
      </c>
      <c r="J192" s="409" t="s">
        <v>2242</v>
      </c>
      <c r="K192" s="838">
        <v>44501</v>
      </c>
      <c r="L192" s="409">
        <v>0</v>
      </c>
      <c r="M192" s="409">
        <v>0</v>
      </c>
      <c r="N192" s="409">
        <v>0.1</v>
      </c>
      <c r="O192" s="409">
        <v>0.1</v>
      </c>
      <c r="P192" s="409">
        <v>0.1</v>
      </c>
      <c r="Q192" s="409">
        <v>0.1</v>
      </c>
      <c r="R192" s="409"/>
      <c r="S192" s="409">
        <v>358.62</v>
      </c>
      <c r="T192" s="409">
        <v>273.74</v>
      </c>
      <c r="U192" s="409"/>
      <c r="V192" s="409">
        <v>63.236000000000004</v>
      </c>
      <c r="W192" s="409">
        <v>63.236000000000004</v>
      </c>
      <c r="X192" s="409">
        <v>61.314000000000007</v>
      </c>
      <c r="Y192" s="409">
        <v>0</v>
      </c>
      <c r="Z192" s="409">
        <v>6.03744121891852</v>
      </c>
      <c r="AA192" s="409">
        <v>0</v>
      </c>
      <c r="AB192" s="409">
        <v>0</v>
      </c>
      <c r="AC192" s="409">
        <v>0</v>
      </c>
      <c r="AD192" s="409">
        <v>8.6088517698592906</v>
      </c>
      <c r="AE192" s="409">
        <v>19.807919204364801</v>
      </c>
      <c r="AF192" s="409">
        <v>27.373925968974699</v>
      </c>
      <c r="AG192" s="409">
        <v>0</v>
      </c>
      <c r="AH192" s="409">
        <v>0</v>
      </c>
      <c r="AI192" s="409">
        <v>0</v>
      </c>
      <c r="AJ192" s="409">
        <v>0</v>
      </c>
      <c r="AK192" s="409">
        <v>0</v>
      </c>
      <c r="AL192" s="409">
        <v>0.93365488414025111</v>
      </c>
      <c r="AM192" s="409"/>
      <c r="AN192" s="409">
        <v>0.10650913711607</v>
      </c>
      <c r="AO192" s="409">
        <v>0</v>
      </c>
      <c r="AP192" s="409">
        <v>0</v>
      </c>
      <c r="AQ192" s="409">
        <v>0</v>
      </c>
      <c r="AR192" s="409">
        <v>0</v>
      </c>
      <c r="AS192" s="409">
        <v>0</v>
      </c>
      <c r="AT192" s="409">
        <v>0</v>
      </c>
      <c r="AU192" s="409">
        <v>0</v>
      </c>
      <c r="AV192" s="409">
        <v>0</v>
      </c>
      <c r="AW192" s="409">
        <v>0</v>
      </c>
      <c r="AX192" s="409">
        <v>0</v>
      </c>
      <c r="AY192" s="409">
        <v>0</v>
      </c>
      <c r="AZ192" s="409">
        <v>0</v>
      </c>
      <c r="BA192" s="409"/>
      <c r="BB192" s="409">
        <v>0</v>
      </c>
      <c r="BC192" s="409">
        <v>0</v>
      </c>
      <c r="BD192" s="409">
        <v>0</v>
      </c>
      <c r="BE192" s="409">
        <v>0</v>
      </c>
      <c r="BF192" s="409">
        <v>0</v>
      </c>
      <c r="BG192" s="409">
        <v>0.36784262381138405</v>
      </c>
      <c r="BH192" s="409">
        <v>0</v>
      </c>
      <c r="BI192" s="409">
        <v>0.62</v>
      </c>
      <c r="BJ192" s="409">
        <v>2.89</v>
      </c>
      <c r="BK192" s="409">
        <v>182.28</v>
      </c>
      <c r="BL192" s="409">
        <v>1</v>
      </c>
      <c r="BM192" s="409"/>
      <c r="BN192" s="409"/>
      <c r="BO192" s="409"/>
      <c r="BP192" s="409"/>
      <c r="BQ192" s="409"/>
      <c r="BR192" s="409"/>
      <c r="BS192" s="409"/>
      <c r="BT192" s="409"/>
      <c r="BU192" s="409"/>
      <c r="BV192" s="409">
        <v>27.741768592786084</v>
      </c>
      <c r="BW192" s="409"/>
      <c r="BX192" s="409"/>
      <c r="BY192" s="409"/>
      <c r="BZ192" s="409"/>
      <c r="CA192" s="409"/>
      <c r="CB192" s="409"/>
      <c r="CC192" s="409"/>
      <c r="CD192" s="409"/>
      <c r="CE192" s="409"/>
      <c r="CF192" s="409"/>
      <c r="CG192" s="409"/>
      <c r="CH192" s="409"/>
      <c r="CI192" s="409">
        <v>61.314000000000007</v>
      </c>
      <c r="CJ192" s="409">
        <v>-1.9519999999999911</v>
      </c>
      <c r="CK192" s="409"/>
      <c r="CL192" s="409"/>
      <c r="CM192" s="409"/>
      <c r="CN192" s="409"/>
      <c r="CO192" s="409">
        <v>-3.2220000000000031</v>
      </c>
      <c r="CP192" s="409">
        <v>1.3</v>
      </c>
      <c r="CQ192" s="409">
        <v>30</v>
      </c>
      <c r="CR192" s="409">
        <v>1.2261880233367748</v>
      </c>
      <c r="CS192" s="409">
        <v>0</v>
      </c>
      <c r="CT192" s="409">
        <v>0</v>
      </c>
      <c r="CU192" s="409">
        <v>0</v>
      </c>
      <c r="CV192" s="409">
        <v>0</v>
      </c>
      <c r="CW192" s="409">
        <v>0</v>
      </c>
      <c r="CX192" s="409">
        <v>0</v>
      </c>
      <c r="CY192" s="409">
        <v>0</v>
      </c>
      <c r="CZ192" s="409">
        <v>0.29509802697543108</v>
      </c>
      <c r="DA192" s="409">
        <v>0</v>
      </c>
      <c r="DB192" s="409">
        <v>0</v>
      </c>
      <c r="DC192" s="409">
        <v>1.4746257400590004</v>
      </c>
      <c r="DD192" s="409">
        <v>0</v>
      </c>
      <c r="DE192" s="409">
        <v>0</v>
      </c>
      <c r="DF192" s="409">
        <v>0</v>
      </c>
      <c r="DG192" s="409">
        <v>1.9815579320916987E-2</v>
      </c>
      <c r="DH192" s="409">
        <v>0</v>
      </c>
      <c r="DI192" s="409">
        <v>-0.38483420176707028</v>
      </c>
      <c r="DJ192" s="409"/>
      <c r="DK192" s="409">
        <v>0</v>
      </c>
      <c r="DL192" s="409">
        <v>0</v>
      </c>
      <c r="DM192" s="409">
        <v>0</v>
      </c>
      <c r="DN192" s="409">
        <v>0</v>
      </c>
      <c r="DO192" s="409">
        <v>-4.8953203962817993E-2</v>
      </c>
      <c r="DP192" s="409">
        <v>-7.0274111406950918E-3</v>
      </c>
      <c r="DQ192" s="409">
        <v>0</v>
      </c>
      <c r="DR192" s="409">
        <v>-0.12253650614799351</v>
      </c>
      <c r="DS192" s="409"/>
      <c r="DT192" s="409"/>
      <c r="DU192" s="409"/>
      <c r="DV192" s="409">
        <v>19.807919204364801</v>
      </c>
      <c r="DW192" s="409">
        <v>0</v>
      </c>
      <c r="DX192" s="409">
        <v>0</v>
      </c>
      <c r="DY192" s="409">
        <v>-3.2220000000000013</v>
      </c>
      <c r="DZ192" s="409">
        <v>1.3000000000000007</v>
      </c>
      <c r="EA192" s="409">
        <v>0</v>
      </c>
      <c r="EB192" s="409">
        <v>0</v>
      </c>
      <c r="EC192" s="409">
        <v>-3.1485278191622008</v>
      </c>
      <c r="ED192" s="409">
        <v>0</v>
      </c>
      <c r="EE192" s="409">
        <v>0</v>
      </c>
      <c r="EF192" s="409">
        <v>0</v>
      </c>
      <c r="EG192" s="409">
        <v>0</v>
      </c>
      <c r="EH192" s="409">
        <v>0</v>
      </c>
      <c r="EI192" s="409">
        <v>0</v>
      </c>
      <c r="EJ192" s="409">
        <v>0</v>
      </c>
      <c r="EK192" s="409">
        <v>0</v>
      </c>
      <c r="EL192" s="409">
        <v>0</v>
      </c>
      <c r="EM192" s="409">
        <v>0</v>
      </c>
      <c r="EN192" s="409">
        <v>0</v>
      </c>
      <c r="EO192" s="409">
        <v>0</v>
      </c>
      <c r="EP192" s="409">
        <v>0</v>
      </c>
      <c r="EQ192" s="409">
        <v>0</v>
      </c>
      <c r="ER192" s="409">
        <v>0</v>
      </c>
      <c r="ES192" s="409">
        <v>0</v>
      </c>
      <c r="ET192" s="409">
        <v>0</v>
      </c>
      <c r="EU192" s="409">
        <v>0</v>
      </c>
      <c r="EV192" s="409">
        <v>210</v>
      </c>
      <c r="EW192" s="409">
        <v>0</v>
      </c>
      <c r="EX192" s="409">
        <v>0</v>
      </c>
      <c r="EY192" s="409">
        <v>0</v>
      </c>
      <c r="EZ192" s="409"/>
      <c r="FA192" s="409">
        <v>0</v>
      </c>
      <c r="FB192" s="409"/>
      <c r="FC192" s="409"/>
      <c r="FD192" s="409"/>
      <c r="FE192" s="409"/>
      <c r="FF192" s="409">
        <v>0</v>
      </c>
      <c r="FG192" s="409">
        <v>0</v>
      </c>
      <c r="FH192" s="409">
        <v>0</v>
      </c>
      <c r="FI192" s="409">
        <v>0</v>
      </c>
    </row>
    <row r="193" spans="1:165">
      <c r="A193" s="409">
        <v>191</v>
      </c>
      <c r="B193" s="409" t="s">
        <v>1035</v>
      </c>
      <c r="C193" s="409" t="s">
        <v>2246</v>
      </c>
      <c r="D193" s="409" t="s">
        <v>595</v>
      </c>
      <c r="E193" s="409" t="s">
        <v>969</v>
      </c>
      <c r="F193" s="409" t="s">
        <v>1323</v>
      </c>
      <c r="G193" s="409" t="s">
        <v>1323</v>
      </c>
      <c r="H193" s="409" t="s">
        <v>1323</v>
      </c>
      <c r="I193" s="409" t="s">
        <v>972</v>
      </c>
      <c r="J193" s="409" t="s">
        <v>2242</v>
      </c>
      <c r="K193" s="838">
        <v>44501</v>
      </c>
      <c r="L193" s="409">
        <v>0</v>
      </c>
      <c r="M193" s="409">
        <v>0</v>
      </c>
      <c r="N193" s="409">
        <v>9.5060000000000002</v>
      </c>
      <c r="O193" s="409">
        <v>9.5060000000000002</v>
      </c>
      <c r="P193" s="409">
        <v>9.5060000000000002</v>
      </c>
      <c r="Q193" s="409">
        <v>9.5060000000000002</v>
      </c>
      <c r="R193" s="409"/>
      <c r="S193" s="409">
        <v>1856.88</v>
      </c>
      <c r="T193" s="409">
        <v>273.74</v>
      </c>
      <c r="U193" s="409"/>
      <c r="V193" s="409">
        <v>20253.673719999999</v>
      </c>
      <c r="W193" s="409">
        <v>20253.673719999999</v>
      </c>
      <c r="X193" s="409">
        <v>18558.278620000001</v>
      </c>
      <c r="Y193" s="409">
        <v>0</v>
      </c>
      <c r="Z193" s="409">
        <v>499.30967117524301</v>
      </c>
      <c r="AA193" s="409">
        <v>0</v>
      </c>
      <c r="AB193" s="409">
        <v>0</v>
      </c>
      <c r="AC193" s="409">
        <v>0</v>
      </c>
      <c r="AD193" s="409">
        <v>4658.8133202633389</v>
      </c>
      <c r="AE193" s="409">
        <v>12380.438738250417</v>
      </c>
      <c r="AF193" s="409">
        <v>2602.1654026107349</v>
      </c>
      <c r="AG193" s="409">
        <v>0</v>
      </c>
      <c r="AH193" s="409">
        <v>0</v>
      </c>
      <c r="AI193" s="409">
        <v>0</v>
      </c>
      <c r="AJ193" s="409">
        <v>0</v>
      </c>
      <c r="AK193" s="409">
        <v>0</v>
      </c>
      <c r="AL193" s="409">
        <v>88.753233286372264</v>
      </c>
      <c r="AM193" s="409"/>
      <c r="AN193" s="409">
        <v>8.252043674050924</v>
      </c>
      <c r="AO193" s="409">
        <v>0</v>
      </c>
      <c r="AP193" s="409">
        <v>0</v>
      </c>
      <c r="AQ193" s="409">
        <v>0</v>
      </c>
      <c r="AR193" s="409">
        <v>0</v>
      </c>
      <c r="AS193" s="409">
        <v>0</v>
      </c>
      <c r="AT193" s="409">
        <v>0</v>
      </c>
      <c r="AU193" s="409">
        <v>0</v>
      </c>
      <c r="AV193" s="409">
        <v>0</v>
      </c>
      <c r="AW193" s="409">
        <v>0</v>
      </c>
      <c r="AX193" s="409">
        <v>0</v>
      </c>
      <c r="AY193" s="409">
        <v>0</v>
      </c>
      <c r="AZ193" s="409">
        <v>0</v>
      </c>
      <c r="BA193" s="409"/>
      <c r="BB193" s="409">
        <v>0</v>
      </c>
      <c r="BC193" s="409">
        <v>0</v>
      </c>
      <c r="BD193" s="409">
        <v>0</v>
      </c>
      <c r="BE193" s="409">
        <v>0</v>
      </c>
      <c r="BF193" s="409">
        <v>0</v>
      </c>
      <c r="BG193" s="409">
        <v>15.906635748990766</v>
      </c>
      <c r="BH193" s="409">
        <v>0</v>
      </c>
      <c r="BI193" s="409">
        <v>0</v>
      </c>
      <c r="BJ193" s="409">
        <v>0</v>
      </c>
      <c r="BK193" s="409">
        <v>0</v>
      </c>
      <c r="BL193" s="409">
        <v>0</v>
      </c>
      <c r="BM193" s="409"/>
      <c r="BN193" s="409"/>
      <c r="BO193" s="409"/>
      <c r="BP193" s="409"/>
      <c r="BQ193" s="409"/>
      <c r="BR193" s="409"/>
      <c r="BS193" s="409"/>
      <c r="BT193" s="409"/>
      <c r="BU193" s="409"/>
      <c r="BV193" s="409">
        <v>2618.0720383597254</v>
      </c>
      <c r="BW193" s="409"/>
      <c r="BX193" s="409"/>
      <c r="BY193" s="409"/>
      <c r="BZ193" s="409"/>
      <c r="CA193" s="409"/>
      <c r="CB193" s="409"/>
      <c r="CC193" s="409"/>
      <c r="CD193" s="409"/>
      <c r="CE193" s="409"/>
      <c r="CF193" s="409"/>
      <c r="CG193" s="409"/>
      <c r="CH193" s="409"/>
      <c r="CI193" s="409">
        <v>18566.0877</v>
      </c>
      <c r="CJ193" s="409">
        <v>-1687.616019999994</v>
      </c>
      <c r="CK193" s="409"/>
      <c r="CL193" s="409"/>
      <c r="CM193" s="409"/>
      <c r="CN193" s="409"/>
      <c r="CO193" s="409">
        <v>-1818.9731000000013</v>
      </c>
      <c r="CP193" s="409">
        <v>123.578</v>
      </c>
      <c r="CQ193" s="409">
        <v>30</v>
      </c>
      <c r="CR193" s="409">
        <v>272.61473525850306</v>
      </c>
      <c r="CS193" s="409">
        <v>0</v>
      </c>
      <c r="CT193" s="409">
        <v>0</v>
      </c>
      <c r="CU193" s="409">
        <v>0</v>
      </c>
      <c r="CV193" s="409">
        <v>0</v>
      </c>
      <c r="CW193" s="409">
        <v>0</v>
      </c>
      <c r="CX193" s="409">
        <v>0</v>
      </c>
      <c r="CY193" s="409">
        <v>0</v>
      </c>
      <c r="CZ193" s="409">
        <v>159.69686267219731</v>
      </c>
      <c r="DA193" s="409">
        <v>0</v>
      </c>
      <c r="DB193" s="409">
        <v>0</v>
      </c>
      <c r="DC193" s="409">
        <v>140.1779228500086</v>
      </c>
      <c r="DD193" s="409">
        <v>0</v>
      </c>
      <c r="DE193" s="409">
        <v>0</v>
      </c>
      <c r="DF193" s="409">
        <v>0</v>
      </c>
      <c r="DG193" s="409">
        <v>0.85688602138371905</v>
      </c>
      <c r="DH193" s="409">
        <v>0</v>
      </c>
      <c r="DI193" s="409">
        <v>-31.826635121380548</v>
      </c>
      <c r="DJ193" s="409"/>
      <c r="DK193" s="409">
        <v>0</v>
      </c>
      <c r="DL193" s="409">
        <v>0</v>
      </c>
      <c r="DM193" s="409">
        <v>0</v>
      </c>
      <c r="DN193" s="409">
        <v>0</v>
      </c>
      <c r="DO193" s="409">
        <v>-4.6534915687054763</v>
      </c>
      <c r="DP193" s="409">
        <v>-0.54446505923083954</v>
      </c>
      <c r="DQ193" s="409">
        <v>0</v>
      </c>
      <c r="DR193" s="409">
        <v>8.9076554642297836</v>
      </c>
      <c r="DS193" s="409"/>
      <c r="DT193" s="409"/>
      <c r="DU193" s="409"/>
      <c r="DV193" s="409">
        <v>12380.438738250417</v>
      </c>
      <c r="DW193" s="409">
        <v>0</v>
      </c>
      <c r="DX193" s="409">
        <v>0</v>
      </c>
      <c r="DY193" s="409">
        <v>-1818.9731000000011</v>
      </c>
      <c r="DZ193" s="409">
        <v>123.57799999999997</v>
      </c>
      <c r="EA193" s="409">
        <v>0</v>
      </c>
      <c r="EB193" s="409">
        <v>0</v>
      </c>
      <c r="EC193" s="409">
        <v>-1967.9076524213306</v>
      </c>
      <c r="ED193" s="409">
        <v>0</v>
      </c>
      <c r="EE193" s="409">
        <v>0</v>
      </c>
      <c r="EF193" s="409">
        <v>0</v>
      </c>
      <c r="EG193" s="409">
        <v>0</v>
      </c>
      <c r="EH193" s="409">
        <v>0</v>
      </c>
      <c r="EI193" s="409">
        <v>0</v>
      </c>
      <c r="EJ193" s="409">
        <v>0</v>
      </c>
      <c r="EK193" s="409">
        <v>0</v>
      </c>
      <c r="EL193" s="409">
        <v>0</v>
      </c>
      <c r="EM193" s="409">
        <v>0</v>
      </c>
      <c r="EN193" s="409">
        <v>0</v>
      </c>
      <c r="EO193" s="409">
        <v>0</v>
      </c>
      <c r="EP193" s="409">
        <v>0</v>
      </c>
      <c r="EQ193" s="409">
        <v>0</v>
      </c>
      <c r="ER193" s="409">
        <v>0</v>
      </c>
      <c r="ES193" s="409">
        <v>0</v>
      </c>
      <c r="ET193" s="409">
        <v>0</v>
      </c>
      <c r="EU193" s="409">
        <v>0</v>
      </c>
      <c r="EV193" s="409">
        <v>210</v>
      </c>
      <c r="EW193" s="409">
        <v>0</v>
      </c>
      <c r="EX193" s="409">
        <v>0</v>
      </c>
      <c r="EY193" s="409">
        <v>0</v>
      </c>
      <c r="EZ193" s="409"/>
      <c r="FA193" s="409">
        <v>0</v>
      </c>
      <c r="FB193" s="409"/>
      <c r="FC193" s="409"/>
      <c r="FD193" s="409"/>
      <c r="FE193" s="409"/>
      <c r="FF193" s="409">
        <v>0</v>
      </c>
      <c r="FG193" s="409">
        <v>0</v>
      </c>
      <c r="FH193" s="409">
        <v>0</v>
      </c>
      <c r="FI193" s="409">
        <v>0</v>
      </c>
    </row>
    <row r="194" spans="1:165">
      <c r="A194" s="409">
        <v>192</v>
      </c>
      <c r="B194" s="409" t="s">
        <v>1035</v>
      </c>
      <c r="C194" s="409" t="s">
        <v>2246</v>
      </c>
      <c r="D194" s="409" t="s">
        <v>595</v>
      </c>
      <c r="E194" s="409" t="s">
        <v>969</v>
      </c>
      <c r="F194" s="409" t="s">
        <v>1323</v>
      </c>
      <c r="G194" s="409" t="s">
        <v>1323</v>
      </c>
      <c r="H194" s="409" t="s">
        <v>1323</v>
      </c>
      <c r="I194" s="409" t="s">
        <v>2234</v>
      </c>
      <c r="J194" s="409" t="s">
        <v>2242</v>
      </c>
      <c r="K194" s="838">
        <v>44501</v>
      </c>
      <c r="L194" s="409">
        <v>0</v>
      </c>
      <c r="M194" s="409">
        <v>0</v>
      </c>
      <c r="N194" s="409">
        <v>84.210999999999999</v>
      </c>
      <c r="O194" s="409">
        <v>84.210999999999999</v>
      </c>
      <c r="P194" s="409">
        <v>84.210999999999999</v>
      </c>
      <c r="Q194" s="409">
        <v>84.210999999999999</v>
      </c>
      <c r="R194" s="409"/>
      <c r="S194" s="409">
        <v>64.400000000000006</v>
      </c>
      <c r="T194" s="409">
        <v>273.74</v>
      </c>
      <c r="U194" s="409"/>
      <c r="V194" s="409">
        <v>28475.107540000001</v>
      </c>
      <c r="W194" s="409">
        <v>28475.107540000001</v>
      </c>
      <c r="X194" s="409">
        <v>29257.427729999999</v>
      </c>
      <c r="Y194" s="409">
        <v>0</v>
      </c>
      <c r="Z194" s="409">
        <v>4423.244973631221</v>
      </c>
      <c r="AA194" s="409">
        <v>0</v>
      </c>
      <c r="AB194" s="409">
        <v>0</v>
      </c>
      <c r="AC194" s="409">
        <v>0</v>
      </c>
      <c r="AD194" s="409">
        <v>0</v>
      </c>
      <c r="AE194" s="409">
        <v>0</v>
      </c>
      <c r="AF194" s="409">
        <v>23051.856797733282</v>
      </c>
      <c r="AG194" s="409">
        <v>0</v>
      </c>
      <c r="AH194" s="409">
        <v>0</v>
      </c>
      <c r="AI194" s="409">
        <v>0</v>
      </c>
      <c r="AJ194" s="409">
        <v>0</v>
      </c>
      <c r="AK194" s="409">
        <v>0</v>
      </c>
      <c r="AL194" s="409">
        <v>786.24011448334682</v>
      </c>
      <c r="AM194" s="409"/>
      <c r="AN194" s="409">
        <v>73.102551003103557</v>
      </c>
      <c r="AO194" s="409">
        <v>0</v>
      </c>
      <c r="AP194" s="409">
        <v>0</v>
      </c>
      <c r="AQ194" s="409">
        <v>0</v>
      </c>
      <c r="AR194" s="409">
        <v>0</v>
      </c>
      <c r="AS194" s="409">
        <v>0</v>
      </c>
      <c r="AT194" s="409">
        <v>0</v>
      </c>
      <c r="AU194" s="409">
        <v>0</v>
      </c>
      <c r="AV194" s="409">
        <v>0</v>
      </c>
      <c r="AW194" s="409">
        <v>0</v>
      </c>
      <c r="AX194" s="409">
        <v>0</v>
      </c>
      <c r="AY194" s="409">
        <v>0</v>
      </c>
      <c r="AZ194" s="409">
        <v>0</v>
      </c>
      <c r="BA194" s="409"/>
      <c r="BB194" s="409">
        <v>0</v>
      </c>
      <c r="BC194" s="409">
        <v>0</v>
      </c>
      <c r="BD194" s="409">
        <v>0</v>
      </c>
      <c r="BE194" s="409">
        <v>0</v>
      </c>
      <c r="BF194" s="409">
        <v>0</v>
      </c>
      <c r="BG194" s="409">
        <v>140.91244509344219</v>
      </c>
      <c r="BH194" s="409">
        <v>0</v>
      </c>
      <c r="BI194" s="409">
        <v>0</v>
      </c>
      <c r="BJ194" s="409">
        <v>0</v>
      </c>
      <c r="BK194" s="409">
        <v>0</v>
      </c>
      <c r="BL194" s="409">
        <v>0</v>
      </c>
      <c r="BM194" s="409"/>
      <c r="BN194" s="409"/>
      <c r="BO194" s="409"/>
      <c r="BP194" s="409"/>
      <c r="BQ194" s="409"/>
      <c r="BR194" s="409"/>
      <c r="BS194" s="409"/>
      <c r="BT194" s="409"/>
      <c r="BU194" s="409"/>
      <c r="BV194" s="409">
        <v>23192.769242826726</v>
      </c>
      <c r="BW194" s="409"/>
      <c r="BX194" s="409"/>
      <c r="BY194" s="409"/>
      <c r="BZ194" s="409"/>
      <c r="CA194" s="409"/>
      <c r="CB194" s="409"/>
      <c r="CC194" s="409"/>
      <c r="CD194" s="409"/>
      <c r="CE194" s="409"/>
      <c r="CF194" s="409"/>
      <c r="CG194" s="409"/>
      <c r="CH194" s="409"/>
      <c r="CI194" s="409">
        <v>29257.080299999998</v>
      </c>
      <c r="CJ194" s="409">
        <v>781.94275999999809</v>
      </c>
      <c r="CK194" s="409"/>
      <c r="CL194" s="409"/>
      <c r="CM194" s="409"/>
      <c r="CN194" s="409"/>
      <c r="CO194" s="409">
        <v>-312.42281000000065</v>
      </c>
      <c r="CP194" s="409">
        <v>1094.7429999999999</v>
      </c>
      <c r="CQ194" s="409">
        <v>30</v>
      </c>
      <c r="CR194" s="409">
        <v>782.44859908675789</v>
      </c>
      <c r="CS194" s="409">
        <v>0</v>
      </c>
      <c r="CT194" s="409">
        <v>0</v>
      </c>
      <c r="CU194" s="409">
        <v>0</v>
      </c>
      <c r="CV194" s="409">
        <v>0</v>
      </c>
      <c r="CW194" s="409">
        <v>0</v>
      </c>
      <c r="CX194" s="409">
        <v>0</v>
      </c>
      <c r="CY194" s="409">
        <v>0</v>
      </c>
      <c r="CZ194" s="409">
        <v>0</v>
      </c>
      <c r="DA194" s="409">
        <v>0</v>
      </c>
      <c r="DB194" s="409">
        <v>0</v>
      </c>
      <c r="DC194" s="409">
        <v>1241.7970819610855</v>
      </c>
      <c r="DD194" s="409">
        <v>0</v>
      </c>
      <c r="DE194" s="409">
        <v>0</v>
      </c>
      <c r="DF194" s="409">
        <v>0</v>
      </c>
      <c r="DG194" s="409">
        <v>7.5909140276398261</v>
      </c>
      <c r="DH194" s="409">
        <v>0</v>
      </c>
      <c r="DI194" s="409">
        <v>-281.94327479555795</v>
      </c>
      <c r="DJ194" s="409"/>
      <c r="DK194" s="409">
        <v>0</v>
      </c>
      <c r="DL194" s="409">
        <v>0</v>
      </c>
      <c r="DM194" s="409">
        <v>0</v>
      </c>
      <c r="DN194" s="409">
        <v>0</v>
      </c>
      <c r="DO194" s="409">
        <v>-41.223982589128696</v>
      </c>
      <c r="DP194" s="409">
        <v>-4.8232639493886325</v>
      </c>
      <c r="DQ194" s="409">
        <v>0</v>
      </c>
      <c r="DR194" s="409">
        <v>-138.94887556789314</v>
      </c>
      <c r="DS194" s="409"/>
      <c r="DT194" s="409"/>
      <c r="DU194" s="409"/>
      <c r="DV194" s="409">
        <v>0</v>
      </c>
      <c r="DW194" s="409">
        <v>0</v>
      </c>
      <c r="DX194" s="409">
        <v>0</v>
      </c>
      <c r="DY194" s="409">
        <v>-312.42281000000003</v>
      </c>
      <c r="DZ194" s="409">
        <v>1094.7429999999986</v>
      </c>
      <c r="EA194" s="409">
        <v>0</v>
      </c>
      <c r="EB194" s="409">
        <v>0</v>
      </c>
      <c r="EC194" s="409">
        <v>0</v>
      </c>
      <c r="ED194" s="409">
        <v>0</v>
      </c>
      <c r="EE194" s="409">
        <v>0</v>
      </c>
      <c r="EF194" s="409">
        <v>0</v>
      </c>
      <c r="EG194" s="409">
        <v>0</v>
      </c>
      <c r="EH194" s="409">
        <v>0</v>
      </c>
      <c r="EI194" s="409">
        <v>0</v>
      </c>
      <c r="EJ194" s="409">
        <v>0</v>
      </c>
      <c r="EK194" s="409">
        <v>0</v>
      </c>
      <c r="EL194" s="409">
        <v>0</v>
      </c>
      <c r="EM194" s="409">
        <v>0</v>
      </c>
      <c r="EN194" s="409">
        <v>0</v>
      </c>
      <c r="EO194" s="409">
        <v>0</v>
      </c>
      <c r="EP194" s="409">
        <v>0</v>
      </c>
      <c r="EQ194" s="409">
        <v>0</v>
      </c>
      <c r="ER194" s="409">
        <v>0</v>
      </c>
      <c r="ES194" s="409">
        <v>0</v>
      </c>
      <c r="ET194" s="409">
        <v>0</v>
      </c>
      <c r="EU194" s="409">
        <v>0</v>
      </c>
      <c r="EV194" s="409">
        <v>210</v>
      </c>
      <c r="EW194" s="409">
        <v>0</v>
      </c>
      <c r="EX194" s="409">
        <v>0</v>
      </c>
      <c r="EY194" s="409">
        <v>0</v>
      </c>
      <c r="EZ194" s="409"/>
      <c r="FA194" s="409">
        <v>0</v>
      </c>
      <c r="FB194" s="409"/>
      <c r="FC194" s="409"/>
      <c r="FD194" s="409"/>
      <c r="FE194" s="409"/>
      <c r="FF194" s="409">
        <v>0</v>
      </c>
      <c r="FG194" s="409">
        <v>0</v>
      </c>
      <c r="FH194" s="409">
        <v>0</v>
      </c>
      <c r="FI194" s="409">
        <v>0</v>
      </c>
    </row>
    <row r="195" spans="1:165">
      <c r="A195" s="409">
        <v>193</v>
      </c>
      <c r="B195" s="409" t="s">
        <v>1035</v>
      </c>
      <c r="C195" s="409" t="s">
        <v>2246</v>
      </c>
      <c r="D195" s="409" t="s">
        <v>595</v>
      </c>
      <c r="E195" s="409" t="s">
        <v>969</v>
      </c>
      <c r="F195" s="409" t="s">
        <v>1323</v>
      </c>
      <c r="G195" s="409" t="s">
        <v>1323</v>
      </c>
      <c r="H195" s="409" t="s">
        <v>1323</v>
      </c>
      <c r="I195" s="409" t="s">
        <v>1323</v>
      </c>
      <c r="J195" s="409" t="s">
        <v>2242</v>
      </c>
      <c r="K195" s="838">
        <v>44501</v>
      </c>
      <c r="L195" s="409">
        <v>843</v>
      </c>
      <c r="M195" s="409">
        <v>843</v>
      </c>
      <c r="N195" s="409">
        <v>0</v>
      </c>
      <c r="O195" s="409">
        <v>0</v>
      </c>
      <c r="P195" s="409">
        <v>0</v>
      </c>
      <c r="Q195" s="409">
        <v>0</v>
      </c>
      <c r="R195" s="409">
        <v>33.6</v>
      </c>
      <c r="S195" s="409"/>
      <c r="T195" s="409"/>
      <c r="U195" s="409">
        <v>28324.800000000003</v>
      </c>
      <c r="V195" s="409"/>
      <c r="W195" s="409">
        <v>28324.800000000003</v>
      </c>
      <c r="X195" s="409">
        <v>26773.68</v>
      </c>
      <c r="Y195" s="409">
        <v>0</v>
      </c>
      <c r="Z195" s="409">
        <v>0</v>
      </c>
      <c r="AA195" s="409">
        <v>0</v>
      </c>
      <c r="AB195" s="409">
        <v>0</v>
      </c>
      <c r="AC195" s="409">
        <v>0</v>
      </c>
      <c r="AD195" s="409">
        <v>15043.769038745078</v>
      </c>
      <c r="AE195" s="409">
        <v>13281.591460987915</v>
      </c>
      <c r="AF195" s="409"/>
      <c r="AG195" s="409"/>
      <c r="AH195" s="409"/>
      <c r="AI195" s="409">
        <v>0</v>
      </c>
      <c r="AJ195" s="409">
        <v>0</v>
      </c>
      <c r="AK195" s="409">
        <v>0</v>
      </c>
      <c r="AL195" s="409">
        <v>0</v>
      </c>
      <c r="AM195" s="409"/>
      <c r="AN195" s="409">
        <v>0</v>
      </c>
      <c r="AO195" s="409">
        <v>0</v>
      </c>
      <c r="AP195" s="409">
        <v>0</v>
      </c>
      <c r="AQ195" s="409">
        <v>0</v>
      </c>
      <c r="AR195" s="409">
        <v>0</v>
      </c>
      <c r="AS195" s="409"/>
      <c r="AT195" s="409"/>
      <c r="AU195" s="409">
        <v>0</v>
      </c>
      <c r="AV195" s="409">
        <v>0</v>
      </c>
      <c r="AW195" s="409">
        <v>0</v>
      </c>
      <c r="AX195" s="409"/>
      <c r="AY195" s="409"/>
      <c r="AZ195" s="409">
        <v>0</v>
      </c>
      <c r="BA195" s="409"/>
      <c r="BB195" s="409">
        <v>0</v>
      </c>
      <c r="BC195" s="409">
        <v>0</v>
      </c>
      <c r="BD195" s="409">
        <v>0</v>
      </c>
      <c r="BE195" s="409">
        <v>0</v>
      </c>
      <c r="BF195" s="409"/>
      <c r="BG195" s="409">
        <v>0</v>
      </c>
      <c r="BH195" s="409">
        <v>0</v>
      </c>
      <c r="BI195" s="409">
        <v>639.25</v>
      </c>
      <c r="BJ195" s="409">
        <v>2947.9</v>
      </c>
      <c r="BK195" s="409">
        <v>15937.52</v>
      </c>
      <c r="BL195" s="409">
        <v>3</v>
      </c>
      <c r="BM195" s="409"/>
      <c r="BN195" s="409"/>
      <c r="BO195" s="409"/>
      <c r="BP195" s="409"/>
      <c r="BQ195" s="409"/>
      <c r="BR195" s="409"/>
      <c r="BS195" s="409"/>
      <c r="BT195" s="409"/>
      <c r="BU195" s="409"/>
      <c r="BV195" s="409">
        <v>0</v>
      </c>
      <c r="BW195" s="409"/>
      <c r="BX195" s="409"/>
      <c r="BY195" s="409"/>
      <c r="BZ195" s="409"/>
      <c r="CA195" s="409"/>
      <c r="CB195" s="409"/>
      <c r="CC195" s="409"/>
      <c r="CD195" s="409"/>
      <c r="CE195" s="409"/>
      <c r="CF195" s="409"/>
      <c r="CG195" s="409"/>
      <c r="CH195" s="409"/>
      <c r="CI195" s="409">
        <v>26773.68</v>
      </c>
      <c r="CJ195" s="409">
        <v>-1551.1499999999978</v>
      </c>
      <c r="CK195" s="409"/>
      <c r="CL195" s="409"/>
      <c r="CM195" s="409"/>
      <c r="CN195" s="409"/>
      <c r="CO195" s="409">
        <v>-1551.12</v>
      </c>
      <c r="CP195" s="409">
        <v>0</v>
      </c>
      <c r="CQ195" s="409">
        <v>30</v>
      </c>
      <c r="CR195" s="409">
        <v>556.55876744722991</v>
      </c>
      <c r="CS195" s="409">
        <v>0</v>
      </c>
      <c r="CT195" s="409">
        <v>0</v>
      </c>
      <c r="CU195" s="409">
        <v>0</v>
      </c>
      <c r="CV195" s="409">
        <v>0</v>
      </c>
      <c r="CW195" s="409"/>
      <c r="CX195" s="409"/>
      <c r="CY195" s="409"/>
      <c r="CZ195" s="409">
        <v>515.67696602117758</v>
      </c>
      <c r="DA195" s="409">
        <v>0</v>
      </c>
      <c r="DB195" s="409">
        <v>0</v>
      </c>
      <c r="DC195" s="409"/>
      <c r="DD195" s="409"/>
      <c r="DE195" s="409">
        <v>0</v>
      </c>
      <c r="DF195" s="409">
        <v>0</v>
      </c>
      <c r="DG195" s="409">
        <v>0</v>
      </c>
      <c r="DH195" s="409">
        <v>0</v>
      </c>
      <c r="DI195" s="409">
        <v>0</v>
      </c>
      <c r="DJ195" s="409"/>
      <c r="DK195" s="409">
        <v>0</v>
      </c>
      <c r="DL195" s="409">
        <v>0</v>
      </c>
      <c r="DM195" s="409"/>
      <c r="DN195" s="409">
        <v>0</v>
      </c>
      <c r="DO195" s="409">
        <v>0</v>
      </c>
      <c r="DP195" s="409">
        <v>0</v>
      </c>
      <c r="DQ195" s="409">
        <v>0</v>
      </c>
      <c r="DR195" s="409">
        <v>40.881801426052682</v>
      </c>
      <c r="DS195" s="409"/>
      <c r="DT195" s="409"/>
      <c r="DU195" s="409">
        <v>13281.591460987915</v>
      </c>
      <c r="DV195" s="409"/>
      <c r="DW195" s="409">
        <v>0</v>
      </c>
      <c r="DX195" s="409">
        <v>0</v>
      </c>
      <c r="DY195" s="409">
        <v>-1551.1200000000026</v>
      </c>
      <c r="DZ195" s="409"/>
      <c r="EA195" s="409">
        <v>0</v>
      </c>
      <c r="EB195" s="409"/>
      <c r="EC195" s="409">
        <v>-2111.1485646837755</v>
      </c>
      <c r="ED195" s="409"/>
      <c r="EE195" s="409">
        <v>0</v>
      </c>
      <c r="EF195" s="409">
        <v>0</v>
      </c>
      <c r="EG195" s="409"/>
      <c r="EH195" s="409">
        <v>0</v>
      </c>
      <c r="EI195" s="409">
        <v>0</v>
      </c>
      <c r="EJ195" s="409">
        <v>0</v>
      </c>
      <c r="EK195" s="409">
        <v>0</v>
      </c>
      <c r="EL195" s="409">
        <v>0</v>
      </c>
      <c r="EM195" s="409"/>
      <c r="EN195" s="409"/>
      <c r="EO195" s="409">
        <v>0</v>
      </c>
      <c r="EP195" s="409">
        <v>0</v>
      </c>
      <c r="EQ195" s="409"/>
      <c r="ER195" s="409">
        <v>0</v>
      </c>
      <c r="ES195" s="409"/>
      <c r="ET195" s="409">
        <v>0</v>
      </c>
      <c r="EU195" s="409"/>
      <c r="EV195" s="409">
        <v>210</v>
      </c>
      <c r="EW195" s="409"/>
      <c r="EX195" s="409"/>
      <c r="EY195" s="409"/>
      <c r="EZ195" s="409"/>
      <c r="FA195" s="409">
        <v>0</v>
      </c>
      <c r="FB195" s="409"/>
      <c r="FC195" s="409"/>
      <c r="FD195" s="409"/>
      <c r="FE195" s="409"/>
      <c r="FF195" s="409">
        <v>0</v>
      </c>
      <c r="FG195" s="409">
        <v>0</v>
      </c>
      <c r="FH195" s="409">
        <v>0</v>
      </c>
      <c r="FI195" s="409">
        <v>0</v>
      </c>
    </row>
    <row r="196" spans="1:165">
      <c r="A196" s="409">
        <v>194</v>
      </c>
      <c r="B196" s="409" t="s">
        <v>1035</v>
      </c>
      <c r="C196" s="409" t="s">
        <v>2241</v>
      </c>
      <c r="D196" s="409" t="s">
        <v>1992</v>
      </c>
      <c r="E196" s="409" t="s">
        <v>997</v>
      </c>
      <c r="F196" s="409" t="s">
        <v>1323</v>
      </c>
      <c r="G196" s="409" t="s">
        <v>1323</v>
      </c>
      <c r="H196" s="409" t="s">
        <v>1323</v>
      </c>
      <c r="I196" s="409" t="s">
        <v>1323</v>
      </c>
      <c r="J196" s="409" t="s">
        <v>2242</v>
      </c>
      <c r="K196" s="838">
        <v>44501</v>
      </c>
      <c r="L196" s="409">
        <v>0</v>
      </c>
      <c r="M196" s="409">
        <v>0</v>
      </c>
      <c r="N196" s="409">
        <v>57.417000000000002</v>
      </c>
      <c r="O196" s="409">
        <v>57.417000000000002</v>
      </c>
      <c r="P196" s="409">
        <v>57.417000000000002</v>
      </c>
      <c r="Q196" s="409">
        <v>57.417000000000002</v>
      </c>
      <c r="R196" s="409"/>
      <c r="S196" s="409">
        <v>358.62</v>
      </c>
      <c r="T196" s="409">
        <v>273.74</v>
      </c>
      <c r="U196" s="409"/>
      <c r="V196" s="409">
        <v>36308.214120000004</v>
      </c>
      <c r="W196" s="409">
        <v>36308.214120000004</v>
      </c>
      <c r="X196" s="409">
        <v>35204.659379999997</v>
      </c>
      <c r="Y196" s="409">
        <v>0</v>
      </c>
      <c r="Z196" s="409">
        <v>3466.5176246664469</v>
      </c>
      <c r="AA196" s="409">
        <v>0</v>
      </c>
      <c r="AB196" s="409">
        <v>0</v>
      </c>
      <c r="AC196" s="409">
        <v>0</v>
      </c>
      <c r="AD196" s="409">
        <v>4942.9444207001088</v>
      </c>
      <c r="AE196" s="409">
        <v>11373.112969570137</v>
      </c>
      <c r="AF196" s="409">
        <v>15717.287073606203</v>
      </c>
      <c r="AG196" s="409">
        <v>0</v>
      </c>
      <c r="AH196" s="409">
        <v>0</v>
      </c>
      <c r="AI196" s="409">
        <v>0</v>
      </c>
      <c r="AJ196" s="409">
        <v>0</v>
      </c>
      <c r="AK196" s="409">
        <v>0</v>
      </c>
      <c r="AL196" s="409">
        <v>536.07662482680803</v>
      </c>
      <c r="AM196" s="409"/>
      <c r="AN196" s="409">
        <v>61.154351257933911</v>
      </c>
      <c r="AO196" s="409">
        <v>0</v>
      </c>
      <c r="AP196" s="409">
        <v>0</v>
      </c>
      <c r="AQ196" s="409">
        <v>0</v>
      </c>
      <c r="AR196" s="409">
        <v>0</v>
      </c>
      <c r="AS196" s="409">
        <v>0</v>
      </c>
      <c r="AT196" s="409">
        <v>0</v>
      </c>
      <c r="AU196" s="409">
        <v>0</v>
      </c>
      <c r="AV196" s="409">
        <v>0</v>
      </c>
      <c r="AW196" s="409">
        <v>0</v>
      </c>
      <c r="AX196" s="409">
        <v>0</v>
      </c>
      <c r="AY196" s="409">
        <v>0</v>
      </c>
      <c r="AZ196" s="409">
        <v>0</v>
      </c>
      <c r="BA196" s="409"/>
      <c r="BB196" s="409">
        <v>0</v>
      </c>
      <c r="BC196" s="409">
        <v>0</v>
      </c>
      <c r="BD196" s="409">
        <v>0</v>
      </c>
      <c r="BE196" s="409">
        <v>0</v>
      </c>
      <c r="BF196" s="409">
        <v>0</v>
      </c>
      <c r="BG196" s="409">
        <v>211.20419931378237</v>
      </c>
      <c r="BH196" s="409">
        <v>0</v>
      </c>
      <c r="BI196" s="409">
        <v>316.62</v>
      </c>
      <c r="BJ196" s="409">
        <v>1461.11</v>
      </c>
      <c r="BK196" s="409">
        <v>9907.36</v>
      </c>
      <c r="BL196" s="409">
        <v>69</v>
      </c>
      <c r="BM196" s="409"/>
      <c r="BN196" s="409"/>
      <c r="BO196" s="409"/>
      <c r="BP196" s="409"/>
      <c r="BQ196" s="409"/>
      <c r="BR196" s="409"/>
      <c r="BS196" s="409"/>
      <c r="BT196" s="409"/>
      <c r="BU196" s="409"/>
      <c r="BV196" s="409">
        <v>15928.491272919986</v>
      </c>
      <c r="BW196" s="409"/>
      <c r="BX196" s="409"/>
      <c r="BY196" s="409"/>
      <c r="BZ196" s="409"/>
      <c r="CA196" s="409"/>
      <c r="CB196" s="409"/>
      <c r="CC196" s="409"/>
      <c r="CD196" s="409"/>
      <c r="CE196" s="409"/>
      <c r="CF196" s="409"/>
      <c r="CG196" s="409"/>
      <c r="CH196" s="409"/>
      <c r="CI196" s="409">
        <v>35206.498800000001</v>
      </c>
      <c r="CJ196" s="409">
        <v>-1101.7453199999945</v>
      </c>
      <c r="CK196" s="409"/>
      <c r="CL196" s="409"/>
      <c r="CM196" s="409"/>
      <c r="CN196" s="409"/>
      <c r="CO196" s="409">
        <v>-1849.9757400000017</v>
      </c>
      <c r="CP196" s="409">
        <v>746.42100000000005</v>
      </c>
      <c r="CQ196" s="409">
        <v>30</v>
      </c>
      <c r="CR196" s="409">
        <v>704.04037735927341</v>
      </c>
      <c r="CS196" s="409">
        <v>0</v>
      </c>
      <c r="CT196" s="409">
        <v>0</v>
      </c>
      <c r="CU196" s="409">
        <v>0</v>
      </c>
      <c r="CV196" s="409">
        <v>0</v>
      </c>
      <c r="CW196" s="409">
        <v>0</v>
      </c>
      <c r="CX196" s="409">
        <v>0</v>
      </c>
      <c r="CY196" s="409">
        <v>0</v>
      </c>
      <c r="CZ196" s="409">
        <v>169.43643414848248</v>
      </c>
      <c r="DA196" s="409">
        <v>0</v>
      </c>
      <c r="DB196" s="409">
        <v>0</v>
      </c>
      <c r="DC196" s="409">
        <v>846.68586116967708</v>
      </c>
      <c r="DD196" s="409">
        <v>0</v>
      </c>
      <c r="DE196" s="409">
        <v>0</v>
      </c>
      <c r="DF196" s="409">
        <v>0</v>
      </c>
      <c r="DG196" s="409">
        <v>11.377511178690895</v>
      </c>
      <c r="DH196" s="409">
        <v>0</v>
      </c>
      <c r="DI196" s="409">
        <v>-220.96025362859882</v>
      </c>
      <c r="DJ196" s="409"/>
      <c r="DK196" s="409">
        <v>0</v>
      </c>
      <c r="DL196" s="409">
        <v>0</v>
      </c>
      <c r="DM196" s="409">
        <v>0</v>
      </c>
      <c r="DN196" s="409">
        <v>0</v>
      </c>
      <c r="DO196" s="409">
        <v>-28.107461119331276</v>
      </c>
      <c r="DP196" s="409">
        <v>-4.0349286546529015</v>
      </c>
      <c r="DQ196" s="409">
        <v>0</v>
      </c>
      <c r="DR196" s="409">
        <v>-70.356785734993437</v>
      </c>
      <c r="DS196" s="409"/>
      <c r="DT196" s="409"/>
      <c r="DU196" s="409"/>
      <c r="DV196" s="409">
        <v>11373.112969570137</v>
      </c>
      <c r="DW196" s="409">
        <v>0</v>
      </c>
      <c r="DX196" s="409">
        <v>0</v>
      </c>
      <c r="DY196" s="409">
        <v>-1849.9757400000017</v>
      </c>
      <c r="DZ196" s="409">
        <v>746.42099999999846</v>
      </c>
      <c r="EA196" s="409">
        <v>0</v>
      </c>
      <c r="EB196" s="409">
        <v>0</v>
      </c>
      <c r="EC196" s="409">
        <v>-1807.7902179283592</v>
      </c>
      <c r="ED196" s="409">
        <v>0</v>
      </c>
      <c r="EE196" s="409">
        <v>0</v>
      </c>
      <c r="EF196" s="409">
        <v>0</v>
      </c>
      <c r="EG196" s="409">
        <v>0</v>
      </c>
      <c r="EH196" s="409">
        <v>0</v>
      </c>
      <c r="EI196" s="409">
        <v>0</v>
      </c>
      <c r="EJ196" s="409">
        <v>0</v>
      </c>
      <c r="EK196" s="409">
        <v>0</v>
      </c>
      <c r="EL196" s="409">
        <v>0</v>
      </c>
      <c r="EM196" s="409">
        <v>0</v>
      </c>
      <c r="EN196" s="409">
        <v>0</v>
      </c>
      <c r="EO196" s="409">
        <v>0</v>
      </c>
      <c r="EP196" s="409">
        <v>0</v>
      </c>
      <c r="EQ196" s="409">
        <v>0</v>
      </c>
      <c r="ER196" s="409">
        <v>0</v>
      </c>
      <c r="ES196" s="409">
        <v>0</v>
      </c>
      <c r="ET196" s="409">
        <v>0</v>
      </c>
      <c r="EU196" s="409">
        <v>0</v>
      </c>
      <c r="EV196" s="409">
        <v>210</v>
      </c>
      <c r="EW196" s="409">
        <v>0</v>
      </c>
      <c r="EX196" s="409">
        <v>0</v>
      </c>
      <c r="EY196" s="409">
        <v>0</v>
      </c>
      <c r="EZ196" s="409"/>
      <c r="FA196" s="409">
        <v>0</v>
      </c>
      <c r="FB196" s="409"/>
      <c r="FC196" s="409"/>
      <c r="FD196" s="409"/>
      <c r="FE196" s="409"/>
      <c r="FF196" s="409">
        <v>0</v>
      </c>
      <c r="FG196" s="409">
        <v>0</v>
      </c>
      <c r="FH196" s="409">
        <v>0</v>
      </c>
      <c r="FI196" s="409">
        <v>0</v>
      </c>
    </row>
    <row r="197" spans="1:165">
      <c r="A197" s="409">
        <v>195</v>
      </c>
      <c r="B197" s="409" t="s">
        <v>2240</v>
      </c>
      <c r="C197" s="409" t="s">
        <v>2241</v>
      </c>
      <c r="D197" s="409" t="s">
        <v>1992</v>
      </c>
      <c r="E197" s="409" t="s">
        <v>997</v>
      </c>
      <c r="F197" s="409" t="s">
        <v>1323</v>
      </c>
      <c r="G197" s="409" t="s">
        <v>1323</v>
      </c>
      <c r="H197" s="409" t="s">
        <v>1323</v>
      </c>
      <c r="I197" s="409" t="s">
        <v>1323</v>
      </c>
      <c r="J197" s="409" t="s">
        <v>2242</v>
      </c>
      <c r="K197" s="838">
        <v>44501</v>
      </c>
      <c r="L197" s="409">
        <v>0</v>
      </c>
      <c r="M197" s="409">
        <v>0</v>
      </c>
      <c r="N197" s="409">
        <v>0.1</v>
      </c>
      <c r="O197" s="409">
        <v>0.1</v>
      </c>
      <c r="P197" s="409">
        <v>0.1</v>
      </c>
      <c r="Q197" s="409">
        <v>0.1</v>
      </c>
      <c r="R197" s="409"/>
      <c r="S197" s="409">
        <v>358.62</v>
      </c>
      <c r="T197" s="409">
        <v>273.74</v>
      </c>
      <c r="U197" s="409"/>
      <c r="V197" s="409">
        <v>63.236000000000004</v>
      </c>
      <c r="W197" s="409">
        <v>63.236000000000004</v>
      </c>
      <c r="X197" s="409">
        <v>61.314000000000007</v>
      </c>
      <c r="Y197" s="409">
        <v>0</v>
      </c>
      <c r="Z197" s="409">
        <v>6.03744121891852</v>
      </c>
      <c r="AA197" s="409">
        <v>0</v>
      </c>
      <c r="AB197" s="409">
        <v>0</v>
      </c>
      <c r="AC197" s="409">
        <v>0</v>
      </c>
      <c r="AD197" s="409">
        <v>8.6088517698592906</v>
      </c>
      <c r="AE197" s="409">
        <v>19.807919204364801</v>
      </c>
      <c r="AF197" s="409">
        <v>27.373925968974699</v>
      </c>
      <c r="AG197" s="409">
        <v>0</v>
      </c>
      <c r="AH197" s="409">
        <v>0</v>
      </c>
      <c r="AI197" s="409">
        <v>0</v>
      </c>
      <c r="AJ197" s="409">
        <v>0</v>
      </c>
      <c r="AK197" s="409">
        <v>0</v>
      </c>
      <c r="AL197" s="409">
        <v>0.93365488414025111</v>
      </c>
      <c r="AM197" s="409"/>
      <c r="AN197" s="409">
        <v>0.10650913711607</v>
      </c>
      <c r="AO197" s="409">
        <v>0</v>
      </c>
      <c r="AP197" s="409">
        <v>0</v>
      </c>
      <c r="AQ197" s="409">
        <v>0</v>
      </c>
      <c r="AR197" s="409">
        <v>0</v>
      </c>
      <c r="AS197" s="409">
        <v>0</v>
      </c>
      <c r="AT197" s="409">
        <v>0</v>
      </c>
      <c r="AU197" s="409">
        <v>0</v>
      </c>
      <c r="AV197" s="409">
        <v>0</v>
      </c>
      <c r="AW197" s="409">
        <v>0</v>
      </c>
      <c r="AX197" s="409">
        <v>0</v>
      </c>
      <c r="AY197" s="409">
        <v>0</v>
      </c>
      <c r="AZ197" s="409">
        <v>0</v>
      </c>
      <c r="BA197" s="409"/>
      <c r="BB197" s="409">
        <v>0</v>
      </c>
      <c r="BC197" s="409">
        <v>0</v>
      </c>
      <c r="BD197" s="409">
        <v>0</v>
      </c>
      <c r="BE197" s="409">
        <v>0</v>
      </c>
      <c r="BF197" s="409">
        <v>0</v>
      </c>
      <c r="BG197" s="409">
        <v>0.36784262381138405</v>
      </c>
      <c r="BH197" s="409">
        <v>0</v>
      </c>
      <c r="BI197" s="409">
        <v>0.62</v>
      </c>
      <c r="BJ197" s="409">
        <v>2.89</v>
      </c>
      <c r="BK197" s="409">
        <v>164.79</v>
      </c>
      <c r="BL197" s="409">
        <v>1</v>
      </c>
      <c r="BM197" s="409"/>
      <c r="BN197" s="409"/>
      <c r="BO197" s="409"/>
      <c r="BP197" s="409"/>
      <c r="BQ197" s="409"/>
      <c r="BR197" s="409"/>
      <c r="BS197" s="409"/>
      <c r="BT197" s="409"/>
      <c r="BU197" s="409"/>
      <c r="BV197" s="409">
        <v>27.741768592786084</v>
      </c>
      <c r="BW197" s="409"/>
      <c r="BX197" s="409"/>
      <c r="BY197" s="409"/>
      <c r="BZ197" s="409"/>
      <c r="CA197" s="409"/>
      <c r="CB197" s="409"/>
      <c r="CC197" s="409"/>
      <c r="CD197" s="409"/>
      <c r="CE197" s="409"/>
      <c r="CF197" s="409"/>
      <c r="CG197" s="409"/>
      <c r="CH197" s="409"/>
      <c r="CI197" s="409">
        <v>61.314000000000007</v>
      </c>
      <c r="CJ197" s="409">
        <v>-1.9519999999999911</v>
      </c>
      <c r="CK197" s="409"/>
      <c r="CL197" s="409"/>
      <c r="CM197" s="409"/>
      <c r="CN197" s="409"/>
      <c r="CO197" s="409">
        <v>-3.2220000000000031</v>
      </c>
      <c r="CP197" s="409">
        <v>1.3</v>
      </c>
      <c r="CQ197" s="409">
        <v>30</v>
      </c>
      <c r="CR197" s="409">
        <v>1.2261880233367748</v>
      </c>
      <c r="CS197" s="409">
        <v>0</v>
      </c>
      <c r="CT197" s="409">
        <v>0</v>
      </c>
      <c r="CU197" s="409">
        <v>0</v>
      </c>
      <c r="CV197" s="409">
        <v>0</v>
      </c>
      <c r="CW197" s="409">
        <v>0</v>
      </c>
      <c r="CX197" s="409">
        <v>0</v>
      </c>
      <c r="CY197" s="409">
        <v>0</v>
      </c>
      <c r="CZ197" s="409">
        <v>0.29509802697543108</v>
      </c>
      <c r="DA197" s="409">
        <v>0</v>
      </c>
      <c r="DB197" s="409">
        <v>0</v>
      </c>
      <c r="DC197" s="409">
        <v>1.4746257400590004</v>
      </c>
      <c r="DD197" s="409">
        <v>0</v>
      </c>
      <c r="DE197" s="409">
        <v>0</v>
      </c>
      <c r="DF197" s="409">
        <v>0</v>
      </c>
      <c r="DG197" s="409">
        <v>1.9815579320916987E-2</v>
      </c>
      <c r="DH197" s="409">
        <v>0</v>
      </c>
      <c r="DI197" s="409">
        <v>-0.38483420176707028</v>
      </c>
      <c r="DJ197" s="409"/>
      <c r="DK197" s="409">
        <v>0</v>
      </c>
      <c r="DL197" s="409">
        <v>0</v>
      </c>
      <c r="DM197" s="409">
        <v>0</v>
      </c>
      <c r="DN197" s="409">
        <v>0</v>
      </c>
      <c r="DO197" s="409">
        <v>-4.8953203962817993E-2</v>
      </c>
      <c r="DP197" s="409">
        <v>-7.0274111406950918E-3</v>
      </c>
      <c r="DQ197" s="409">
        <v>0</v>
      </c>
      <c r="DR197" s="409">
        <v>-0.12253650614799351</v>
      </c>
      <c r="DS197" s="409"/>
      <c r="DT197" s="409"/>
      <c r="DU197" s="409"/>
      <c r="DV197" s="409">
        <v>19.807919204364801</v>
      </c>
      <c r="DW197" s="409">
        <v>0</v>
      </c>
      <c r="DX197" s="409">
        <v>0</v>
      </c>
      <c r="DY197" s="409">
        <v>-3.2220000000000013</v>
      </c>
      <c r="DZ197" s="409">
        <v>1.3000000000000007</v>
      </c>
      <c r="EA197" s="409">
        <v>0</v>
      </c>
      <c r="EB197" s="409">
        <v>0</v>
      </c>
      <c r="EC197" s="409">
        <v>-3.1485278191622008</v>
      </c>
      <c r="ED197" s="409">
        <v>0</v>
      </c>
      <c r="EE197" s="409">
        <v>0</v>
      </c>
      <c r="EF197" s="409">
        <v>0</v>
      </c>
      <c r="EG197" s="409">
        <v>0</v>
      </c>
      <c r="EH197" s="409">
        <v>0</v>
      </c>
      <c r="EI197" s="409">
        <v>0</v>
      </c>
      <c r="EJ197" s="409">
        <v>0</v>
      </c>
      <c r="EK197" s="409">
        <v>0</v>
      </c>
      <c r="EL197" s="409">
        <v>0</v>
      </c>
      <c r="EM197" s="409">
        <v>0</v>
      </c>
      <c r="EN197" s="409">
        <v>0</v>
      </c>
      <c r="EO197" s="409">
        <v>0</v>
      </c>
      <c r="EP197" s="409">
        <v>0</v>
      </c>
      <c r="EQ197" s="409">
        <v>0</v>
      </c>
      <c r="ER197" s="409">
        <v>0</v>
      </c>
      <c r="ES197" s="409">
        <v>0</v>
      </c>
      <c r="ET197" s="409">
        <v>0</v>
      </c>
      <c r="EU197" s="409">
        <v>0</v>
      </c>
      <c r="EV197" s="409">
        <v>210</v>
      </c>
      <c r="EW197" s="409">
        <v>0</v>
      </c>
      <c r="EX197" s="409">
        <v>0</v>
      </c>
      <c r="EY197" s="409">
        <v>0</v>
      </c>
      <c r="EZ197" s="409"/>
      <c r="FA197" s="409">
        <v>0</v>
      </c>
      <c r="FB197" s="409"/>
      <c r="FC197" s="409"/>
      <c r="FD197" s="409"/>
      <c r="FE197" s="409"/>
      <c r="FF197" s="409">
        <v>0</v>
      </c>
      <c r="FG197" s="409">
        <v>0</v>
      </c>
      <c r="FH197" s="409">
        <v>0</v>
      </c>
      <c r="FI197" s="409">
        <v>0</v>
      </c>
    </row>
    <row r="198" spans="1:165">
      <c r="A198" s="409">
        <v>196</v>
      </c>
      <c r="B198" s="409" t="s">
        <v>1035</v>
      </c>
      <c r="C198" s="409" t="s">
        <v>2246</v>
      </c>
      <c r="D198" s="409" t="s">
        <v>595</v>
      </c>
      <c r="E198" s="409" t="s">
        <v>997</v>
      </c>
      <c r="F198" s="409" t="s">
        <v>1323</v>
      </c>
      <c r="G198" s="409" t="s">
        <v>1323</v>
      </c>
      <c r="H198" s="409" t="s">
        <v>1323</v>
      </c>
      <c r="I198" s="409" t="s">
        <v>972</v>
      </c>
      <c r="J198" s="409" t="s">
        <v>2242</v>
      </c>
      <c r="K198" s="838">
        <v>44501</v>
      </c>
      <c r="L198" s="409">
        <v>0</v>
      </c>
      <c r="M198" s="409">
        <v>0</v>
      </c>
      <c r="N198" s="409">
        <v>0.29299999999999998</v>
      </c>
      <c r="O198" s="409">
        <v>0.29299999999999998</v>
      </c>
      <c r="P198" s="409">
        <v>0.29299999999999998</v>
      </c>
      <c r="Q198" s="409">
        <v>0.29299999999999998</v>
      </c>
      <c r="R198" s="409"/>
      <c r="S198" s="409">
        <v>1856.88</v>
      </c>
      <c r="T198" s="409">
        <v>273.74</v>
      </c>
      <c r="U198" s="409"/>
      <c r="V198" s="409">
        <v>624.27166</v>
      </c>
      <c r="W198" s="409">
        <v>624.27166</v>
      </c>
      <c r="X198" s="409">
        <v>572.01510999999994</v>
      </c>
      <c r="Y198" s="409">
        <v>0</v>
      </c>
      <c r="Z198" s="409">
        <v>15.390041411145191</v>
      </c>
      <c r="AA198" s="409">
        <v>0</v>
      </c>
      <c r="AB198" s="409">
        <v>0</v>
      </c>
      <c r="AC198" s="409">
        <v>0</v>
      </c>
      <c r="AD198" s="409">
        <v>143.59691803462636</v>
      </c>
      <c r="AE198" s="409">
        <v>381.59778564142351</v>
      </c>
      <c r="AF198" s="409">
        <v>80.20560308909586</v>
      </c>
      <c r="AG198" s="409">
        <v>0</v>
      </c>
      <c r="AH198" s="409">
        <v>0</v>
      </c>
      <c r="AI198" s="409">
        <v>0</v>
      </c>
      <c r="AJ198" s="409">
        <v>0</v>
      </c>
      <c r="AK198" s="409">
        <v>0</v>
      </c>
      <c r="AL198" s="409">
        <v>2.7356088105309353</v>
      </c>
      <c r="AM198" s="409"/>
      <c r="AN198" s="409">
        <v>0.25434975767903645</v>
      </c>
      <c r="AO198" s="409">
        <v>0</v>
      </c>
      <c r="AP198" s="409">
        <v>0</v>
      </c>
      <c r="AQ198" s="409">
        <v>0</v>
      </c>
      <c r="AR198" s="409">
        <v>0</v>
      </c>
      <c r="AS198" s="409">
        <v>0</v>
      </c>
      <c r="AT198" s="409">
        <v>0</v>
      </c>
      <c r="AU198" s="409">
        <v>0</v>
      </c>
      <c r="AV198" s="409">
        <v>0</v>
      </c>
      <c r="AW198" s="409">
        <v>0</v>
      </c>
      <c r="AX198" s="409">
        <v>0</v>
      </c>
      <c r="AY198" s="409">
        <v>0</v>
      </c>
      <c r="AZ198" s="409">
        <v>0</v>
      </c>
      <c r="BA198" s="409"/>
      <c r="BB198" s="409">
        <v>0</v>
      </c>
      <c r="BC198" s="409">
        <v>0</v>
      </c>
      <c r="BD198" s="409">
        <v>0</v>
      </c>
      <c r="BE198" s="409">
        <v>0</v>
      </c>
      <c r="BF198" s="409">
        <v>0</v>
      </c>
      <c r="BG198" s="409">
        <v>0.49028448079679088</v>
      </c>
      <c r="BH198" s="409">
        <v>0</v>
      </c>
      <c r="BI198" s="409">
        <v>0</v>
      </c>
      <c r="BJ198" s="409">
        <v>0</v>
      </c>
      <c r="BK198" s="409">
        <v>0</v>
      </c>
      <c r="BL198" s="409">
        <v>0</v>
      </c>
      <c r="BM198" s="409"/>
      <c r="BN198" s="409"/>
      <c r="BO198" s="409"/>
      <c r="BP198" s="409"/>
      <c r="BQ198" s="409"/>
      <c r="BR198" s="409"/>
      <c r="BS198" s="409"/>
      <c r="BT198" s="409"/>
      <c r="BU198" s="409"/>
      <c r="BV198" s="409">
        <v>80.695887569892648</v>
      </c>
      <c r="BW198" s="409"/>
      <c r="BX198" s="409"/>
      <c r="BY198" s="409"/>
      <c r="BZ198" s="409"/>
      <c r="CA198" s="409"/>
      <c r="CB198" s="409"/>
      <c r="CC198" s="409"/>
      <c r="CD198" s="409"/>
      <c r="CE198" s="409"/>
      <c r="CF198" s="409"/>
      <c r="CG198" s="409"/>
      <c r="CH198" s="409"/>
      <c r="CI198" s="409">
        <v>566.15829999999994</v>
      </c>
      <c r="CJ198" s="409">
        <v>-58.14336000000003</v>
      </c>
      <c r="CK198" s="409"/>
      <c r="CL198" s="409"/>
      <c r="CM198" s="409"/>
      <c r="CN198" s="409"/>
      <c r="CO198" s="409">
        <v>-56.065550000000037</v>
      </c>
      <c r="CP198" s="409">
        <v>3.8089999999999997</v>
      </c>
      <c r="CQ198" s="409">
        <v>30</v>
      </c>
      <c r="CR198" s="409">
        <v>8.4027053893057939</v>
      </c>
      <c r="CS198" s="409">
        <v>0</v>
      </c>
      <c r="CT198" s="409">
        <v>0</v>
      </c>
      <c r="CU198" s="409">
        <v>0</v>
      </c>
      <c r="CV198" s="409">
        <v>0</v>
      </c>
      <c r="CW198" s="409">
        <v>0</v>
      </c>
      <c r="CX198" s="409">
        <v>0</v>
      </c>
      <c r="CY198" s="409">
        <v>0</v>
      </c>
      <c r="CZ198" s="409">
        <v>4.9222786411691288</v>
      </c>
      <c r="DA198" s="409">
        <v>0</v>
      </c>
      <c r="DB198" s="409">
        <v>0</v>
      </c>
      <c r="DC198" s="409">
        <v>4.3206534183728706</v>
      </c>
      <c r="DD198" s="409">
        <v>0</v>
      </c>
      <c r="DE198" s="409">
        <v>0</v>
      </c>
      <c r="DF198" s="409">
        <v>0</v>
      </c>
      <c r="DG198" s="409">
        <v>2.6411487930299793E-2</v>
      </c>
      <c r="DH198" s="409">
        <v>0</v>
      </c>
      <c r="DI198" s="409">
        <v>-0.9809808637244366</v>
      </c>
      <c r="DJ198" s="409"/>
      <c r="DK198" s="409">
        <v>0</v>
      </c>
      <c r="DL198" s="409">
        <v>0</v>
      </c>
      <c r="DM198" s="409">
        <v>0</v>
      </c>
      <c r="DN198" s="409">
        <v>0</v>
      </c>
      <c r="DO198" s="409">
        <v>-0.14343288761105644</v>
      </c>
      <c r="DP198" s="409">
        <v>-1.6781849605999988E-2</v>
      </c>
      <c r="DQ198" s="409">
        <v>0</v>
      </c>
      <c r="DR198" s="409">
        <v>0.27455744277501848</v>
      </c>
      <c r="DS198" s="409"/>
      <c r="DT198" s="409"/>
      <c r="DU198" s="409"/>
      <c r="DV198" s="409">
        <v>381.59778564142351</v>
      </c>
      <c r="DW198" s="409">
        <v>0</v>
      </c>
      <c r="DX198" s="409">
        <v>0</v>
      </c>
      <c r="DY198" s="409">
        <v>-56.06555000000003</v>
      </c>
      <c r="DZ198" s="409">
        <v>3.8089999999999975</v>
      </c>
      <c r="EA198" s="409">
        <v>0</v>
      </c>
      <c r="EB198" s="409">
        <v>0</v>
      </c>
      <c r="EC198" s="409">
        <v>-60.656105844671799</v>
      </c>
      <c r="ED198" s="409">
        <v>0</v>
      </c>
      <c r="EE198" s="409">
        <v>0</v>
      </c>
      <c r="EF198" s="409">
        <v>0</v>
      </c>
      <c r="EG198" s="409">
        <v>0</v>
      </c>
      <c r="EH198" s="409">
        <v>0</v>
      </c>
      <c r="EI198" s="409">
        <v>0</v>
      </c>
      <c r="EJ198" s="409">
        <v>0</v>
      </c>
      <c r="EK198" s="409">
        <v>0</v>
      </c>
      <c r="EL198" s="409">
        <v>0</v>
      </c>
      <c r="EM198" s="409">
        <v>0</v>
      </c>
      <c r="EN198" s="409">
        <v>0</v>
      </c>
      <c r="EO198" s="409">
        <v>0</v>
      </c>
      <c r="EP198" s="409">
        <v>0</v>
      </c>
      <c r="EQ198" s="409">
        <v>0</v>
      </c>
      <c r="ER198" s="409">
        <v>0</v>
      </c>
      <c r="ES198" s="409">
        <v>0</v>
      </c>
      <c r="ET198" s="409">
        <v>0</v>
      </c>
      <c r="EU198" s="409">
        <v>0</v>
      </c>
      <c r="EV198" s="409">
        <v>210</v>
      </c>
      <c r="EW198" s="409">
        <v>0</v>
      </c>
      <c r="EX198" s="409">
        <v>0</v>
      </c>
      <c r="EY198" s="409">
        <v>0</v>
      </c>
      <c r="EZ198" s="409"/>
      <c r="FA198" s="409">
        <v>0</v>
      </c>
      <c r="FB198" s="409"/>
      <c r="FC198" s="409"/>
      <c r="FD198" s="409"/>
      <c r="FE198" s="409"/>
      <c r="FF198" s="409">
        <v>0</v>
      </c>
      <c r="FG198" s="409">
        <v>0</v>
      </c>
      <c r="FH198" s="409">
        <v>0</v>
      </c>
      <c r="FI198" s="409">
        <v>0</v>
      </c>
    </row>
    <row r="199" spans="1:165">
      <c r="A199" s="409">
        <v>197</v>
      </c>
      <c r="B199" s="409" t="s">
        <v>1035</v>
      </c>
      <c r="C199" s="409" t="s">
        <v>2246</v>
      </c>
      <c r="D199" s="409" t="s">
        <v>595</v>
      </c>
      <c r="E199" s="409" t="s">
        <v>997</v>
      </c>
      <c r="F199" s="409" t="s">
        <v>1323</v>
      </c>
      <c r="G199" s="409" t="s">
        <v>1323</v>
      </c>
      <c r="H199" s="409" t="s">
        <v>1323</v>
      </c>
      <c r="I199" s="409" t="s">
        <v>2234</v>
      </c>
      <c r="J199" s="409" t="s">
        <v>2242</v>
      </c>
      <c r="K199" s="838">
        <v>44501</v>
      </c>
      <c r="L199" s="409">
        <v>0</v>
      </c>
      <c r="M199" s="409">
        <v>0</v>
      </c>
      <c r="N199" s="409">
        <v>23.396000000000001</v>
      </c>
      <c r="O199" s="409">
        <v>23.396000000000001</v>
      </c>
      <c r="P199" s="409">
        <v>23.396000000000001</v>
      </c>
      <c r="Q199" s="409">
        <v>23.396000000000001</v>
      </c>
      <c r="R199" s="409"/>
      <c r="S199" s="409">
        <v>64.400000000000006</v>
      </c>
      <c r="T199" s="409">
        <v>273.74</v>
      </c>
      <c r="U199" s="409"/>
      <c r="V199" s="409">
        <v>7911.1234400000003</v>
      </c>
      <c r="W199" s="409">
        <v>7911.1234400000003</v>
      </c>
      <c r="X199" s="409">
        <v>8128.47228</v>
      </c>
      <c r="Y199" s="409">
        <v>0</v>
      </c>
      <c r="Z199" s="409">
        <v>1228.8921803930134</v>
      </c>
      <c r="AA199" s="409">
        <v>0</v>
      </c>
      <c r="AB199" s="409">
        <v>0</v>
      </c>
      <c r="AC199" s="409">
        <v>0</v>
      </c>
      <c r="AD199" s="409">
        <v>0</v>
      </c>
      <c r="AE199" s="409">
        <v>0</v>
      </c>
      <c r="AF199" s="409">
        <v>6404.4037197013204</v>
      </c>
      <c r="AG199" s="409">
        <v>0</v>
      </c>
      <c r="AH199" s="409">
        <v>0</v>
      </c>
      <c r="AI199" s="409">
        <v>0</v>
      </c>
      <c r="AJ199" s="409">
        <v>0</v>
      </c>
      <c r="AK199" s="409">
        <v>0</v>
      </c>
      <c r="AL199" s="409">
        <v>218.43789669345315</v>
      </c>
      <c r="AM199" s="409"/>
      <c r="AN199" s="409">
        <v>20.309784746275554</v>
      </c>
      <c r="AO199" s="409">
        <v>0</v>
      </c>
      <c r="AP199" s="409">
        <v>0</v>
      </c>
      <c r="AQ199" s="409">
        <v>0</v>
      </c>
      <c r="AR199" s="409">
        <v>0</v>
      </c>
      <c r="AS199" s="409">
        <v>0</v>
      </c>
      <c r="AT199" s="409">
        <v>0</v>
      </c>
      <c r="AU199" s="409">
        <v>0</v>
      </c>
      <c r="AV199" s="409">
        <v>0</v>
      </c>
      <c r="AW199" s="409">
        <v>0</v>
      </c>
      <c r="AX199" s="409">
        <v>0</v>
      </c>
      <c r="AY199" s="409">
        <v>0</v>
      </c>
      <c r="AZ199" s="409">
        <v>0</v>
      </c>
      <c r="BA199" s="409"/>
      <c r="BB199" s="409">
        <v>0</v>
      </c>
      <c r="BC199" s="409">
        <v>0</v>
      </c>
      <c r="BD199" s="409">
        <v>0</v>
      </c>
      <c r="BE199" s="409">
        <v>0</v>
      </c>
      <c r="BF199" s="409">
        <v>0</v>
      </c>
      <c r="BG199" s="409">
        <v>39.149132125330105</v>
      </c>
      <c r="BH199" s="409">
        <v>0</v>
      </c>
      <c r="BI199" s="409">
        <v>0</v>
      </c>
      <c r="BJ199" s="409">
        <v>0</v>
      </c>
      <c r="BK199" s="409">
        <v>0</v>
      </c>
      <c r="BL199" s="409">
        <v>0</v>
      </c>
      <c r="BM199" s="409"/>
      <c r="BN199" s="409"/>
      <c r="BO199" s="409"/>
      <c r="BP199" s="409"/>
      <c r="BQ199" s="409"/>
      <c r="BR199" s="409"/>
      <c r="BS199" s="409"/>
      <c r="BT199" s="409"/>
      <c r="BU199" s="409"/>
      <c r="BV199" s="409">
        <v>6443.5528518266501</v>
      </c>
      <c r="BW199" s="409"/>
      <c r="BX199" s="409"/>
      <c r="BY199" s="409"/>
      <c r="BZ199" s="409"/>
      <c r="CA199" s="409"/>
      <c r="CB199" s="409"/>
      <c r="CC199" s="409"/>
      <c r="CD199" s="409"/>
      <c r="CE199" s="409"/>
      <c r="CF199" s="409"/>
      <c r="CG199" s="409"/>
      <c r="CH199" s="409"/>
      <c r="CI199" s="409">
        <v>8129.8619999999992</v>
      </c>
      <c r="CJ199" s="409">
        <v>218.70855999999912</v>
      </c>
      <c r="CK199" s="409"/>
      <c r="CL199" s="409"/>
      <c r="CM199" s="409"/>
      <c r="CN199" s="409"/>
      <c r="CO199" s="409">
        <v>-86.799160000000185</v>
      </c>
      <c r="CP199" s="409">
        <v>304.14800000000002</v>
      </c>
      <c r="CQ199" s="409">
        <v>30</v>
      </c>
      <c r="CR199" s="409">
        <v>217.38451537487708</v>
      </c>
      <c r="CS199" s="409">
        <v>0</v>
      </c>
      <c r="CT199" s="409">
        <v>0</v>
      </c>
      <c r="CU199" s="409">
        <v>0</v>
      </c>
      <c r="CV199" s="409">
        <v>0</v>
      </c>
      <c r="CW199" s="409">
        <v>0</v>
      </c>
      <c r="CX199" s="409">
        <v>0</v>
      </c>
      <c r="CY199" s="409">
        <v>0</v>
      </c>
      <c r="CZ199" s="409">
        <v>0</v>
      </c>
      <c r="DA199" s="409">
        <v>0</v>
      </c>
      <c r="DB199" s="409">
        <v>0</v>
      </c>
      <c r="DC199" s="409">
        <v>345.00343814420467</v>
      </c>
      <c r="DD199" s="409">
        <v>0</v>
      </c>
      <c r="DE199" s="409">
        <v>0</v>
      </c>
      <c r="DF199" s="409">
        <v>0</v>
      </c>
      <c r="DG199" s="409">
        <v>2.1089528041545833</v>
      </c>
      <c r="DH199" s="409">
        <v>0</v>
      </c>
      <c r="DI199" s="409">
        <v>-78.331154565518545</v>
      </c>
      <c r="DJ199" s="409"/>
      <c r="DK199" s="409">
        <v>0</v>
      </c>
      <c r="DL199" s="409">
        <v>0</v>
      </c>
      <c r="DM199" s="409">
        <v>0</v>
      </c>
      <c r="DN199" s="409">
        <v>0</v>
      </c>
      <c r="DO199" s="409">
        <v>-11.453091599140919</v>
      </c>
      <c r="DP199" s="409">
        <v>-1.3400278272422383</v>
      </c>
      <c r="DQ199" s="409">
        <v>0</v>
      </c>
      <c r="DR199" s="409">
        <v>-38.603601581579937</v>
      </c>
      <c r="DS199" s="409"/>
      <c r="DT199" s="409"/>
      <c r="DU199" s="409"/>
      <c r="DV199" s="409">
        <v>0</v>
      </c>
      <c r="DW199" s="409">
        <v>0</v>
      </c>
      <c r="DX199" s="409">
        <v>0</v>
      </c>
      <c r="DY199" s="409">
        <v>-86.799160000000029</v>
      </c>
      <c r="DZ199" s="409">
        <v>304.14800000000014</v>
      </c>
      <c r="EA199" s="409">
        <v>0</v>
      </c>
      <c r="EB199" s="409">
        <v>0</v>
      </c>
      <c r="EC199" s="409">
        <v>0</v>
      </c>
      <c r="ED199" s="409">
        <v>0</v>
      </c>
      <c r="EE199" s="409">
        <v>0</v>
      </c>
      <c r="EF199" s="409">
        <v>0</v>
      </c>
      <c r="EG199" s="409">
        <v>0</v>
      </c>
      <c r="EH199" s="409">
        <v>0</v>
      </c>
      <c r="EI199" s="409">
        <v>0</v>
      </c>
      <c r="EJ199" s="409">
        <v>0</v>
      </c>
      <c r="EK199" s="409">
        <v>0</v>
      </c>
      <c r="EL199" s="409">
        <v>0</v>
      </c>
      <c r="EM199" s="409">
        <v>0</v>
      </c>
      <c r="EN199" s="409">
        <v>0</v>
      </c>
      <c r="EO199" s="409">
        <v>0</v>
      </c>
      <c r="EP199" s="409">
        <v>0</v>
      </c>
      <c r="EQ199" s="409">
        <v>0</v>
      </c>
      <c r="ER199" s="409">
        <v>0</v>
      </c>
      <c r="ES199" s="409">
        <v>0</v>
      </c>
      <c r="ET199" s="409">
        <v>0</v>
      </c>
      <c r="EU199" s="409">
        <v>0</v>
      </c>
      <c r="EV199" s="409">
        <v>210</v>
      </c>
      <c r="EW199" s="409">
        <v>0</v>
      </c>
      <c r="EX199" s="409">
        <v>0</v>
      </c>
      <c r="EY199" s="409">
        <v>0</v>
      </c>
      <c r="EZ199" s="409"/>
      <c r="FA199" s="409">
        <v>0</v>
      </c>
      <c r="FB199" s="409"/>
      <c r="FC199" s="409"/>
      <c r="FD199" s="409"/>
      <c r="FE199" s="409"/>
      <c r="FF199" s="409">
        <v>0</v>
      </c>
      <c r="FG199" s="409">
        <v>0</v>
      </c>
      <c r="FH199" s="409">
        <v>0</v>
      </c>
      <c r="FI199" s="409">
        <v>0</v>
      </c>
    </row>
    <row r="200" spans="1:165">
      <c r="A200" s="409">
        <v>198</v>
      </c>
      <c r="B200" s="409" t="s">
        <v>1035</v>
      </c>
      <c r="C200" s="409" t="s">
        <v>2246</v>
      </c>
      <c r="D200" s="409" t="s">
        <v>595</v>
      </c>
      <c r="E200" s="409" t="s">
        <v>997</v>
      </c>
      <c r="F200" s="409" t="s">
        <v>1323</v>
      </c>
      <c r="G200" s="409" t="s">
        <v>1323</v>
      </c>
      <c r="H200" s="409" t="s">
        <v>1323</v>
      </c>
      <c r="I200" s="409" t="s">
        <v>1323</v>
      </c>
      <c r="J200" s="409" t="s">
        <v>2242</v>
      </c>
      <c r="K200" s="838">
        <v>44501</v>
      </c>
      <c r="L200" s="409">
        <v>215</v>
      </c>
      <c r="M200" s="409">
        <v>215</v>
      </c>
      <c r="N200" s="409">
        <v>0</v>
      </c>
      <c r="O200" s="409">
        <v>0</v>
      </c>
      <c r="P200" s="409">
        <v>0</v>
      </c>
      <c r="Q200" s="409">
        <v>0</v>
      </c>
      <c r="R200" s="409">
        <v>33.6</v>
      </c>
      <c r="S200" s="409"/>
      <c r="T200" s="409"/>
      <c r="U200" s="409">
        <v>7224</v>
      </c>
      <c r="V200" s="409"/>
      <c r="W200" s="409">
        <v>7224</v>
      </c>
      <c r="X200" s="409">
        <v>6828.4000000000005</v>
      </c>
      <c r="Y200" s="409">
        <v>0</v>
      </c>
      <c r="Z200" s="409">
        <v>0</v>
      </c>
      <c r="AA200" s="409">
        <v>0</v>
      </c>
      <c r="AB200" s="409">
        <v>0</v>
      </c>
      <c r="AC200" s="409">
        <v>0</v>
      </c>
      <c r="AD200" s="409">
        <v>3836.7856979005833</v>
      </c>
      <c r="AE200" s="409">
        <v>3387.3572528023742</v>
      </c>
      <c r="AF200" s="409"/>
      <c r="AG200" s="409"/>
      <c r="AH200" s="409"/>
      <c r="AI200" s="409">
        <v>0</v>
      </c>
      <c r="AJ200" s="409">
        <v>0</v>
      </c>
      <c r="AK200" s="409">
        <v>0</v>
      </c>
      <c r="AL200" s="409">
        <v>0</v>
      </c>
      <c r="AM200" s="409"/>
      <c r="AN200" s="409">
        <v>0</v>
      </c>
      <c r="AO200" s="409">
        <v>0</v>
      </c>
      <c r="AP200" s="409">
        <v>0</v>
      </c>
      <c r="AQ200" s="409">
        <v>0</v>
      </c>
      <c r="AR200" s="409">
        <v>0</v>
      </c>
      <c r="AS200" s="409"/>
      <c r="AT200" s="409"/>
      <c r="AU200" s="409">
        <v>0</v>
      </c>
      <c r="AV200" s="409">
        <v>0</v>
      </c>
      <c r="AW200" s="409">
        <v>0</v>
      </c>
      <c r="AX200" s="409"/>
      <c r="AY200" s="409"/>
      <c r="AZ200" s="409">
        <v>0</v>
      </c>
      <c r="BA200" s="409"/>
      <c r="BB200" s="409">
        <v>0</v>
      </c>
      <c r="BC200" s="409">
        <v>0</v>
      </c>
      <c r="BD200" s="409">
        <v>0</v>
      </c>
      <c r="BE200" s="409">
        <v>0</v>
      </c>
      <c r="BF200" s="409"/>
      <c r="BG200" s="409">
        <v>0</v>
      </c>
      <c r="BH200" s="409">
        <v>0</v>
      </c>
      <c r="BI200" s="409">
        <v>155.44</v>
      </c>
      <c r="BJ200" s="409">
        <v>717.49</v>
      </c>
      <c r="BK200" s="409">
        <v>4150.6400000000003</v>
      </c>
      <c r="BL200" s="409">
        <v>2</v>
      </c>
      <c r="BM200" s="409"/>
      <c r="BN200" s="409"/>
      <c r="BO200" s="409"/>
      <c r="BP200" s="409"/>
      <c r="BQ200" s="409"/>
      <c r="BR200" s="409"/>
      <c r="BS200" s="409"/>
      <c r="BT200" s="409"/>
      <c r="BU200" s="409"/>
      <c r="BV200" s="409">
        <v>0</v>
      </c>
      <c r="BW200" s="409"/>
      <c r="BX200" s="409"/>
      <c r="BY200" s="409"/>
      <c r="BZ200" s="409"/>
      <c r="CA200" s="409"/>
      <c r="CB200" s="409"/>
      <c r="CC200" s="409"/>
      <c r="CD200" s="409"/>
      <c r="CE200" s="409"/>
      <c r="CF200" s="409"/>
      <c r="CG200" s="409"/>
      <c r="CH200" s="409"/>
      <c r="CI200" s="409">
        <v>6828.4000000000005</v>
      </c>
      <c r="CJ200" s="409">
        <v>-395.63000000000011</v>
      </c>
      <c r="CK200" s="409"/>
      <c r="CL200" s="409"/>
      <c r="CM200" s="409"/>
      <c r="CN200" s="409"/>
      <c r="CO200" s="409">
        <v>-395.59999999999997</v>
      </c>
      <c r="CP200" s="409">
        <v>0</v>
      </c>
      <c r="CQ200" s="409">
        <v>30</v>
      </c>
      <c r="CR200" s="409">
        <v>141.94559312118008</v>
      </c>
      <c r="CS200" s="409">
        <v>0</v>
      </c>
      <c r="CT200" s="409">
        <v>0</v>
      </c>
      <c r="CU200" s="409">
        <v>0</v>
      </c>
      <c r="CV200" s="409">
        <v>0</v>
      </c>
      <c r="CW200" s="409"/>
      <c r="CX200" s="409"/>
      <c r="CY200" s="409"/>
      <c r="CZ200" s="409">
        <v>131.51903641109539</v>
      </c>
      <c r="DA200" s="409">
        <v>0</v>
      </c>
      <c r="DB200" s="409">
        <v>0</v>
      </c>
      <c r="DC200" s="409"/>
      <c r="DD200" s="409"/>
      <c r="DE200" s="409">
        <v>0</v>
      </c>
      <c r="DF200" s="409">
        <v>0</v>
      </c>
      <c r="DG200" s="409">
        <v>0</v>
      </c>
      <c r="DH200" s="409">
        <v>0</v>
      </c>
      <c r="DI200" s="409">
        <v>0</v>
      </c>
      <c r="DJ200" s="409"/>
      <c r="DK200" s="409">
        <v>0</v>
      </c>
      <c r="DL200" s="409">
        <v>0</v>
      </c>
      <c r="DM200" s="409"/>
      <c r="DN200" s="409">
        <v>0</v>
      </c>
      <c r="DO200" s="409">
        <v>0</v>
      </c>
      <c r="DP200" s="409">
        <v>0</v>
      </c>
      <c r="DQ200" s="409">
        <v>0</v>
      </c>
      <c r="DR200" s="409">
        <v>10.426556710084611</v>
      </c>
      <c r="DS200" s="409"/>
      <c r="DT200" s="409"/>
      <c r="DU200" s="409">
        <v>3387.3572528023742</v>
      </c>
      <c r="DV200" s="409"/>
      <c r="DW200" s="409">
        <v>0</v>
      </c>
      <c r="DX200" s="409">
        <v>0</v>
      </c>
      <c r="DY200" s="409">
        <v>-395.59999999999945</v>
      </c>
      <c r="DZ200" s="409"/>
      <c r="EA200" s="409">
        <v>0</v>
      </c>
      <c r="EB200" s="409"/>
      <c r="EC200" s="409">
        <v>-538.43053547688214</v>
      </c>
      <c r="ED200" s="409"/>
      <c r="EE200" s="409">
        <v>0</v>
      </c>
      <c r="EF200" s="409">
        <v>0</v>
      </c>
      <c r="EG200" s="409"/>
      <c r="EH200" s="409">
        <v>0</v>
      </c>
      <c r="EI200" s="409">
        <v>0</v>
      </c>
      <c r="EJ200" s="409">
        <v>0</v>
      </c>
      <c r="EK200" s="409">
        <v>0</v>
      </c>
      <c r="EL200" s="409">
        <v>0</v>
      </c>
      <c r="EM200" s="409"/>
      <c r="EN200" s="409"/>
      <c r="EO200" s="409">
        <v>0</v>
      </c>
      <c r="EP200" s="409">
        <v>0</v>
      </c>
      <c r="EQ200" s="409"/>
      <c r="ER200" s="409">
        <v>0</v>
      </c>
      <c r="ES200" s="409"/>
      <c r="ET200" s="409">
        <v>0</v>
      </c>
      <c r="EU200" s="409"/>
      <c r="EV200" s="409">
        <v>210</v>
      </c>
      <c r="EW200" s="409"/>
      <c r="EX200" s="409"/>
      <c r="EY200" s="409"/>
      <c r="EZ200" s="409"/>
      <c r="FA200" s="409">
        <v>0</v>
      </c>
      <c r="FB200" s="409"/>
      <c r="FC200" s="409"/>
      <c r="FD200" s="409"/>
      <c r="FE200" s="409"/>
      <c r="FF200" s="409">
        <v>0</v>
      </c>
      <c r="FG200" s="409">
        <v>0</v>
      </c>
      <c r="FH200" s="409">
        <v>0</v>
      </c>
      <c r="FI200" s="409">
        <v>0</v>
      </c>
    </row>
    <row r="201" spans="1:165">
      <c r="A201" s="409">
        <v>199</v>
      </c>
      <c r="B201" s="409" t="s">
        <v>1035</v>
      </c>
      <c r="C201" s="409" t="s">
        <v>2241</v>
      </c>
      <c r="D201" s="409" t="s">
        <v>2247</v>
      </c>
      <c r="E201" s="409" t="s">
        <v>973</v>
      </c>
      <c r="F201" s="409" t="s">
        <v>1323</v>
      </c>
      <c r="G201" s="409" t="s">
        <v>1323</v>
      </c>
      <c r="H201" s="409" t="s">
        <v>1323</v>
      </c>
      <c r="I201" s="409" t="s">
        <v>1323</v>
      </c>
      <c r="J201" s="409" t="s">
        <v>2242</v>
      </c>
      <c r="K201" s="838">
        <v>44501</v>
      </c>
      <c r="L201" s="409">
        <v>0</v>
      </c>
      <c r="M201" s="409">
        <v>0</v>
      </c>
      <c r="N201" s="409">
        <v>399.351</v>
      </c>
      <c r="O201" s="409">
        <v>399.351</v>
      </c>
      <c r="P201" s="409">
        <v>399.351</v>
      </c>
      <c r="Q201" s="409">
        <v>399.351</v>
      </c>
      <c r="R201" s="409"/>
      <c r="S201" s="409">
        <v>358.62</v>
      </c>
      <c r="T201" s="409">
        <v>273.74</v>
      </c>
      <c r="U201" s="409"/>
      <c r="V201" s="409">
        <v>252533.59836</v>
      </c>
      <c r="W201" s="409">
        <v>252533.59836</v>
      </c>
      <c r="X201" s="409">
        <v>244858.07214</v>
      </c>
      <c r="Y201" s="409">
        <v>0</v>
      </c>
      <c r="Z201" s="409">
        <v>24110.5818821633</v>
      </c>
      <c r="AA201" s="409">
        <v>0</v>
      </c>
      <c r="AB201" s="409">
        <v>0</v>
      </c>
      <c r="AC201" s="409">
        <v>0</v>
      </c>
      <c r="AD201" s="409">
        <v>34379.535631450774</v>
      </c>
      <c r="AE201" s="409">
        <v>79103.123421822864</v>
      </c>
      <c r="AF201" s="409">
        <v>109318.04709636014</v>
      </c>
      <c r="AG201" s="409">
        <v>0</v>
      </c>
      <c r="AH201" s="409">
        <v>0</v>
      </c>
      <c r="AI201" s="409">
        <v>0</v>
      </c>
      <c r="AJ201" s="409">
        <v>0</v>
      </c>
      <c r="AK201" s="409">
        <v>0</v>
      </c>
      <c r="AL201" s="409">
        <v>3728.560116362934</v>
      </c>
      <c r="AM201" s="409"/>
      <c r="AN201" s="409">
        <v>425.34530416439668</v>
      </c>
      <c r="AO201" s="409">
        <v>0</v>
      </c>
      <c r="AP201" s="409">
        <v>0</v>
      </c>
      <c r="AQ201" s="409">
        <v>0</v>
      </c>
      <c r="AR201" s="409">
        <v>0</v>
      </c>
      <c r="AS201" s="409">
        <v>0</v>
      </c>
      <c r="AT201" s="409">
        <v>0</v>
      </c>
      <c r="AU201" s="409">
        <v>0</v>
      </c>
      <c r="AV201" s="409">
        <v>0</v>
      </c>
      <c r="AW201" s="409">
        <v>0</v>
      </c>
      <c r="AX201" s="409">
        <v>0</v>
      </c>
      <c r="AY201" s="409">
        <v>0</v>
      </c>
      <c r="AZ201" s="409">
        <v>0</v>
      </c>
      <c r="BA201" s="409"/>
      <c r="BB201" s="409">
        <v>0</v>
      </c>
      <c r="BC201" s="409">
        <v>0</v>
      </c>
      <c r="BD201" s="409">
        <v>0</v>
      </c>
      <c r="BE201" s="409">
        <v>0</v>
      </c>
      <c r="BF201" s="409">
        <v>0</v>
      </c>
      <c r="BG201" s="409">
        <v>1468.9831966170002</v>
      </c>
      <c r="BH201" s="409">
        <v>0</v>
      </c>
      <c r="BI201" s="409">
        <v>1176.56</v>
      </c>
      <c r="BJ201" s="409">
        <v>5424.15</v>
      </c>
      <c r="BK201" s="409">
        <v>15986.26</v>
      </c>
      <c r="BL201" s="409">
        <v>1021</v>
      </c>
      <c r="BM201" s="409"/>
      <c r="BN201" s="409"/>
      <c r="BO201" s="409"/>
      <c r="BP201" s="409"/>
      <c r="BQ201" s="409"/>
      <c r="BR201" s="409">
        <v>34280.289840000005</v>
      </c>
      <c r="BS201" s="409"/>
      <c r="BT201" s="409"/>
      <c r="BU201" s="409"/>
      <c r="BV201" s="409">
        <v>110787.03029297714</v>
      </c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09"/>
      <c r="CI201" s="409">
        <v>210577.255</v>
      </c>
      <c r="CJ201" s="409">
        <v>-6605.8228399999789</v>
      </c>
      <c r="CK201" s="409"/>
      <c r="CL201" s="409"/>
      <c r="CM201" s="409"/>
      <c r="CN201" s="409"/>
      <c r="CO201" s="409">
        <v>-12867.089220000011</v>
      </c>
      <c r="CP201" s="409">
        <v>5191.5630000000001</v>
      </c>
      <c r="CQ201" s="409">
        <v>30</v>
      </c>
      <c r="CR201" s="409">
        <v>4896.7941330756876</v>
      </c>
      <c r="CS201" s="409">
        <v>0</v>
      </c>
      <c r="CT201" s="409">
        <v>0</v>
      </c>
      <c r="CU201" s="409">
        <v>0</v>
      </c>
      <c r="CV201" s="409">
        <v>0</v>
      </c>
      <c r="CW201" s="409">
        <v>0</v>
      </c>
      <c r="CX201" s="409">
        <v>0</v>
      </c>
      <c r="CY201" s="409">
        <v>0</v>
      </c>
      <c r="CZ201" s="409">
        <v>1178.4769217066496</v>
      </c>
      <c r="DA201" s="409">
        <v>0</v>
      </c>
      <c r="DB201" s="409">
        <v>0</v>
      </c>
      <c r="DC201" s="409">
        <v>5888.9326391830255</v>
      </c>
      <c r="DD201" s="409">
        <v>0</v>
      </c>
      <c r="DE201" s="409">
        <v>0</v>
      </c>
      <c r="DF201" s="409">
        <v>0</v>
      </c>
      <c r="DG201" s="409">
        <v>79.133714173875205</v>
      </c>
      <c r="DH201" s="409">
        <v>0</v>
      </c>
      <c r="DI201" s="409">
        <v>-1536.8392330988136</v>
      </c>
      <c r="DJ201" s="409"/>
      <c r="DK201" s="409">
        <v>0</v>
      </c>
      <c r="DL201" s="409">
        <v>0</v>
      </c>
      <c r="DM201" s="409">
        <v>0</v>
      </c>
      <c r="DN201" s="409">
        <v>0</v>
      </c>
      <c r="DO201" s="409">
        <v>-195.49510955755341</v>
      </c>
      <c r="DP201" s="409">
        <v>-28.064036664477271</v>
      </c>
      <c r="DQ201" s="409">
        <v>0</v>
      </c>
      <c r="DR201" s="409">
        <v>-489.35076266707347</v>
      </c>
      <c r="DS201" s="409"/>
      <c r="DT201" s="409"/>
      <c r="DU201" s="409"/>
      <c r="DV201" s="409">
        <v>79103.123421822864</v>
      </c>
      <c r="DW201" s="409">
        <v>0</v>
      </c>
      <c r="DX201" s="409">
        <v>0</v>
      </c>
      <c r="DY201" s="409">
        <v>-12867.089220000023</v>
      </c>
      <c r="DZ201" s="409">
        <v>5191.5629999999946</v>
      </c>
      <c r="EA201" s="409">
        <v>0</v>
      </c>
      <c r="EB201" s="409">
        <v>0</v>
      </c>
      <c r="EC201" s="409">
        <v>-12573.67733110243</v>
      </c>
      <c r="ED201" s="409">
        <v>0</v>
      </c>
      <c r="EE201" s="409">
        <v>0</v>
      </c>
      <c r="EF201" s="409">
        <v>0</v>
      </c>
      <c r="EG201" s="409">
        <v>0</v>
      </c>
      <c r="EH201" s="409">
        <v>0</v>
      </c>
      <c r="EI201" s="409">
        <v>0</v>
      </c>
      <c r="EJ201" s="409">
        <v>0</v>
      </c>
      <c r="EK201" s="409">
        <v>0</v>
      </c>
      <c r="EL201" s="409">
        <v>0</v>
      </c>
      <c r="EM201" s="409">
        <v>0</v>
      </c>
      <c r="EN201" s="409">
        <v>0</v>
      </c>
      <c r="EO201" s="409">
        <v>0</v>
      </c>
      <c r="EP201" s="409">
        <v>0</v>
      </c>
      <c r="EQ201" s="409">
        <v>0</v>
      </c>
      <c r="ER201" s="409">
        <v>0</v>
      </c>
      <c r="ES201" s="409">
        <v>0</v>
      </c>
      <c r="ET201" s="409">
        <v>0</v>
      </c>
      <c r="EU201" s="409">
        <v>0</v>
      </c>
      <c r="EV201" s="409">
        <v>210</v>
      </c>
      <c r="EW201" s="409">
        <v>0</v>
      </c>
      <c r="EX201" s="409">
        <v>0</v>
      </c>
      <c r="EY201" s="409">
        <v>0</v>
      </c>
      <c r="EZ201" s="409"/>
      <c r="FA201" s="409">
        <v>0</v>
      </c>
      <c r="FB201" s="409"/>
      <c r="FC201" s="409"/>
      <c r="FD201" s="409"/>
      <c r="FE201" s="409"/>
      <c r="FF201" s="409">
        <v>0</v>
      </c>
      <c r="FG201" s="409">
        <v>0</v>
      </c>
      <c r="FH201" s="409">
        <v>0</v>
      </c>
      <c r="FI201" s="409">
        <v>0</v>
      </c>
    </row>
    <row r="202" spans="1:165">
      <c r="A202" s="409">
        <v>200</v>
      </c>
      <c r="B202" s="409" t="s">
        <v>2257</v>
      </c>
      <c r="C202" s="409" t="s">
        <v>2241</v>
      </c>
      <c r="D202" s="409" t="s">
        <v>2247</v>
      </c>
      <c r="E202" s="409" t="s">
        <v>973</v>
      </c>
      <c r="F202" s="409" t="s">
        <v>1323</v>
      </c>
      <c r="G202" s="409" t="s">
        <v>1323</v>
      </c>
      <c r="H202" s="409" t="s">
        <v>1323</v>
      </c>
      <c r="I202" s="409" t="s">
        <v>1323</v>
      </c>
      <c r="J202" s="409" t="s">
        <v>2242</v>
      </c>
      <c r="K202" s="838">
        <v>44501</v>
      </c>
      <c r="L202" s="409">
        <v>0</v>
      </c>
      <c r="M202" s="409">
        <v>0</v>
      </c>
      <c r="N202" s="409">
        <v>3.5999999999999997E-2</v>
      </c>
      <c r="O202" s="409">
        <v>3.5999999999999997E-2</v>
      </c>
      <c r="P202" s="409">
        <v>3.5999999999999997E-2</v>
      </c>
      <c r="Q202" s="409">
        <v>3.5999999999999997E-2</v>
      </c>
      <c r="R202" s="409"/>
      <c r="S202" s="409">
        <v>358.62</v>
      </c>
      <c r="T202" s="409">
        <v>273.74</v>
      </c>
      <c r="U202" s="409"/>
      <c r="V202" s="409">
        <v>22.764959999999999</v>
      </c>
      <c r="W202" s="409">
        <v>22.764959999999999</v>
      </c>
      <c r="X202" s="409">
        <v>22.073039999999999</v>
      </c>
      <c r="Y202" s="409">
        <v>0</v>
      </c>
      <c r="Z202" s="409">
        <v>2.1734788388106669</v>
      </c>
      <c r="AA202" s="409">
        <v>0</v>
      </c>
      <c r="AB202" s="409">
        <v>0</v>
      </c>
      <c r="AC202" s="409">
        <v>0</v>
      </c>
      <c r="AD202" s="409">
        <v>3.0991866371493439</v>
      </c>
      <c r="AE202" s="409">
        <v>7.1308509135713276</v>
      </c>
      <c r="AF202" s="409">
        <v>9.85461334883089</v>
      </c>
      <c r="AG202" s="409">
        <v>0</v>
      </c>
      <c r="AH202" s="409">
        <v>0</v>
      </c>
      <c r="AI202" s="409">
        <v>0</v>
      </c>
      <c r="AJ202" s="409">
        <v>0</v>
      </c>
      <c r="AK202" s="409">
        <v>0</v>
      </c>
      <c r="AL202" s="409">
        <v>0.33611575829049034</v>
      </c>
      <c r="AM202" s="409"/>
      <c r="AN202" s="409">
        <v>3.8343289361785195E-2</v>
      </c>
      <c r="AO202" s="409">
        <v>0</v>
      </c>
      <c r="AP202" s="409">
        <v>0</v>
      </c>
      <c r="AQ202" s="409">
        <v>0</v>
      </c>
      <c r="AR202" s="409">
        <v>0</v>
      </c>
      <c r="AS202" s="409">
        <v>0</v>
      </c>
      <c r="AT202" s="409">
        <v>0</v>
      </c>
      <c r="AU202" s="409">
        <v>0</v>
      </c>
      <c r="AV202" s="409">
        <v>0</v>
      </c>
      <c r="AW202" s="409">
        <v>0</v>
      </c>
      <c r="AX202" s="409">
        <v>0</v>
      </c>
      <c r="AY202" s="409">
        <v>0</v>
      </c>
      <c r="AZ202" s="409">
        <v>0</v>
      </c>
      <c r="BA202" s="409"/>
      <c r="BB202" s="409">
        <v>0</v>
      </c>
      <c r="BC202" s="409">
        <v>0</v>
      </c>
      <c r="BD202" s="409">
        <v>0</v>
      </c>
      <c r="BE202" s="409">
        <v>0</v>
      </c>
      <c r="BF202" s="409">
        <v>0</v>
      </c>
      <c r="BG202" s="409">
        <v>0.13242334457209823</v>
      </c>
      <c r="BH202" s="409">
        <v>0</v>
      </c>
      <c r="BI202" s="409">
        <v>0.86</v>
      </c>
      <c r="BJ202" s="409">
        <v>3.96</v>
      </c>
      <c r="BK202" s="409">
        <v>64.45</v>
      </c>
      <c r="BL202" s="409">
        <v>0</v>
      </c>
      <c r="BM202" s="409"/>
      <c r="BN202" s="409"/>
      <c r="BO202" s="409"/>
      <c r="BP202" s="409"/>
      <c r="BQ202" s="409"/>
      <c r="BR202" s="409">
        <v>3.0902399999999997</v>
      </c>
      <c r="BS202" s="409"/>
      <c r="BT202" s="409"/>
      <c r="BU202" s="409"/>
      <c r="BV202" s="409">
        <v>9.9870366934029882</v>
      </c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09"/>
      <c r="CI202" s="409">
        <v>21.091999999999999</v>
      </c>
      <c r="CJ202" s="409">
        <v>1.4837600000000002</v>
      </c>
      <c r="CK202" s="409"/>
      <c r="CL202" s="409"/>
      <c r="CM202" s="409"/>
      <c r="CN202" s="409"/>
      <c r="CO202" s="409">
        <v>-1.159920000000001</v>
      </c>
      <c r="CP202" s="409">
        <v>0.46799999999999997</v>
      </c>
      <c r="CQ202" s="409">
        <v>30</v>
      </c>
      <c r="CR202" s="409">
        <v>0.44142768840124269</v>
      </c>
      <c r="CS202" s="409">
        <v>0</v>
      </c>
      <c r="CT202" s="409">
        <v>0</v>
      </c>
      <c r="CU202" s="409">
        <v>0</v>
      </c>
      <c r="CV202" s="409">
        <v>0</v>
      </c>
      <c r="CW202" s="409">
        <v>0</v>
      </c>
      <c r="CX202" s="409">
        <v>0</v>
      </c>
      <c r="CY202" s="409">
        <v>0</v>
      </c>
      <c r="CZ202" s="409">
        <v>0.10623528971115537</v>
      </c>
      <c r="DA202" s="409">
        <v>0</v>
      </c>
      <c r="DB202" s="409">
        <v>0</v>
      </c>
      <c r="DC202" s="409">
        <v>0.53086526642124099</v>
      </c>
      <c r="DD202" s="409">
        <v>0</v>
      </c>
      <c r="DE202" s="409">
        <v>0</v>
      </c>
      <c r="DF202" s="409">
        <v>0</v>
      </c>
      <c r="DG202" s="409">
        <v>7.1336085555301076E-3</v>
      </c>
      <c r="DH202" s="409">
        <v>0</v>
      </c>
      <c r="DI202" s="409">
        <v>-0.1385403126361453</v>
      </c>
      <c r="DJ202" s="409"/>
      <c r="DK202" s="409">
        <v>0</v>
      </c>
      <c r="DL202" s="409">
        <v>0</v>
      </c>
      <c r="DM202" s="409">
        <v>0</v>
      </c>
      <c r="DN202" s="409">
        <v>0</v>
      </c>
      <c r="DO202" s="409">
        <v>-1.7623153426614468E-2</v>
      </c>
      <c r="DP202" s="409">
        <v>-2.5298680106502353E-3</v>
      </c>
      <c r="DQ202" s="409">
        <v>0</v>
      </c>
      <c r="DR202" s="409">
        <v>-4.411314221327766E-2</v>
      </c>
      <c r="DS202" s="409"/>
      <c r="DT202" s="409"/>
      <c r="DU202" s="409"/>
      <c r="DV202" s="409">
        <v>7.1308509135713276</v>
      </c>
      <c r="DW202" s="409">
        <v>0</v>
      </c>
      <c r="DX202" s="409">
        <v>0</v>
      </c>
      <c r="DY202" s="409">
        <v>-1.1599199999999996</v>
      </c>
      <c r="DZ202" s="409">
        <v>0.46799999999999997</v>
      </c>
      <c r="EA202" s="409">
        <v>0</v>
      </c>
      <c r="EB202" s="409">
        <v>0</v>
      </c>
      <c r="EC202" s="409">
        <v>-1.1334700148983927</v>
      </c>
      <c r="ED202" s="409">
        <v>0</v>
      </c>
      <c r="EE202" s="409">
        <v>0</v>
      </c>
      <c r="EF202" s="409">
        <v>0</v>
      </c>
      <c r="EG202" s="409">
        <v>0</v>
      </c>
      <c r="EH202" s="409">
        <v>0</v>
      </c>
      <c r="EI202" s="409">
        <v>0</v>
      </c>
      <c r="EJ202" s="409">
        <v>0</v>
      </c>
      <c r="EK202" s="409">
        <v>0</v>
      </c>
      <c r="EL202" s="409">
        <v>0</v>
      </c>
      <c r="EM202" s="409">
        <v>0</v>
      </c>
      <c r="EN202" s="409">
        <v>0</v>
      </c>
      <c r="EO202" s="409">
        <v>0</v>
      </c>
      <c r="EP202" s="409">
        <v>0</v>
      </c>
      <c r="EQ202" s="409">
        <v>0</v>
      </c>
      <c r="ER202" s="409">
        <v>0</v>
      </c>
      <c r="ES202" s="409">
        <v>0</v>
      </c>
      <c r="ET202" s="409">
        <v>0</v>
      </c>
      <c r="EU202" s="409">
        <v>0</v>
      </c>
      <c r="EV202" s="409">
        <v>210</v>
      </c>
      <c r="EW202" s="409">
        <v>0</v>
      </c>
      <c r="EX202" s="409">
        <v>0</v>
      </c>
      <c r="EY202" s="409">
        <v>0</v>
      </c>
      <c r="EZ202" s="409"/>
      <c r="FA202" s="409">
        <v>0</v>
      </c>
      <c r="FB202" s="409"/>
      <c r="FC202" s="409"/>
      <c r="FD202" s="409"/>
      <c r="FE202" s="409"/>
      <c r="FF202" s="409">
        <v>0</v>
      </c>
      <c r="FG202" s="409">
        <v>0</v>
      </c>
      <c r="FH202" s="409">
        <v>0</v>
      </c>
      <c r="FI202" s="409">
        <v>0</v>
      </c>
    </row>
    <row r="203" spans="1:165">
      <c r="A203" s="409">
        <v>201</v>
      </c>
      <c r="B203" s="409" t="s">
        <v>2240</v>
      </c>
      <c r="C203" s="409" t="s">
        <v>2241</v>
      </c>
      <c r="D203" s="409" t="s">
        <v>2247</v>
      </c>
      <c r="E203" s="409" t="s">
        <v>973</v>
      </c>
      <c r="F203" s="409" t="s">
        <v>1323</v>
      </c>
      <c r="G203" s="409" t="s">
        <v>1323</v>
      </c>
      <c r="H203" s="409" t="s">
        <v>1323</v>
      </c>
      <c r="I203" s="409" t="s">
        <v>1323</v>
      </c>
      <c r="J203" s="409" t="s">
        <v>2242</v>
      </c>
      <c r="K203" s="838">
        <v>44501</v>
      </c>
      <c r="L203" s="409">
        <v>0</v>
      </c>
      <c r="M203" s="409">
        <v>0</v>
      </c>
      <c r="N203" s="409">
        <v>1.385</v>
      </c>
      <c r="O203" s="409">
        <v>1.385</v>
      </c>
      <c r="P203" s="409">
        <v>1.385</v>
      </c>
      <c r="Q203" s="409">
        <v>1.385</v>
      </c>
      <c r="R203" s="409"/>
      <c r="S203" s="409">
        <v>358.62</v>
      </c>
      <c r="T203" s="409">
        <v>273.74</v>
      </c>
      <c r="U203" s="409"/>
      <c r="V203" s="409">
        <v>875.81860000000006</v>
      </c>
      <c r="W203" s="409">
        <v>875.81860000000006</v>
      </c>
      <c r="X203" s="409">
        <v>849.19889999999998</v>
      </c>
      <c r="Y203" s="409">
        <v>0</v>
      </c>
      <c r="Z203" s="409">
        <v>83.618560882021498</v>
      </c>
      <c r="AA203" s="409">
        <v>0</v>
      </c>
      <c r="AB203" s="409">
        <v>0</v>
      </c>
      <c r="AC203" s="409">
        <v>0</v>
      </c>
      <c r="AD203" s="409">
        <v>119.23259701255117</v>
      </c>
      <c r="AE203" s="409">
        <v>274.3396809804525</v>
      </c>
      <c r="AF203" s="409">
        <v>379.12887467029958</v>
      </c>
      <c r="AG203" s="409">
        <v>0</v>
      </c>
      <c r="AH203" s="409">
        <v>0</v>
      </c>
      <c r="AI203" s="409">
        <v>0</v>
      </c>
      <c r="AJ203" s="409">
        <v>0</v>
      </c>
      <c r="AK203" s="409">
        <v>0</v>
      </c>
      <c r="AL203" s="409">
        <v>12.931120145342478</v>
      </c>
      <c r="AM203" s="409"/>
      <c r="AN203" s="409">
        <v>1.4751515490575695</v>
      </c>
      <c r="AO203" s="409">
        <v>0</v>
      </c>
      <c r="AP203" s="409">
        <v>0</v>
      </c>
      <c r="AQ203" s="409">
        <v>0</v>
      </c>
      <c r="AR203" s="409">
        <v>0</v>
      </c>
      <c r="AS203" s="409">
        <v>0</v>
      </c>
      <c r="AT203" s="409">
        <v>0</v>
      </c>
      <c r="AU203" s="409">
        <v>0</v>
      </c>
      <c r="AV203" s="409">
        <v>0</v>
      </c>
      <c r="AW203" s="409">
        <v>0</v>
      </c>
      <c r="AX203" s="409">
        <v>0</v>
      </c>
      <c r="AY203" s="409">
        <v>0</v>
      </c>
      <c r="AZ203" s="409">
        <v>0</v>
      </c>
      <c r="BA203" s="409"/>
      <c r="BB203" s="409">
        <v>0</v>
      </c>
      <c r="BC203" s="409">
        <v>0</v>
      </c>
      <c r="BD203" s="409">
        <v>0</v>
      </c>
      <c r="BE203" s="409">
        <v>0</v>
      </c>
      <c r="BF203" s="409">
        <v>0</v>
      </c>
      <c r="BG203" s="409">
        <v>5.094620339787669</v>
      </c>
      <c r="BH203" s="409">
        <v>0</v>
      </c>
      <c r="BI203" s="409">
        <v>3.22</v>
      </c>
      <c r="BJ203" s="409">
        <v>14.92</v>
      </c>
      <c r="BK203" s="409">
        <v>147.44</v>
      </c>
      <c r="BL203" s="409">
        <v>8</v>
      </c>
      <c r="BM203" s="409"/>
      <c r="BN203" s="409"/>
      <c r="BO203" s="409"/>
      <c r="BP203" s="409"/>
      <c r="BQ203" s="409"/>
      <c r="BR203" s="409">
        <v>118.8884</v>
      </c>
      <c r="BS203" s="409"/>
      <c r="BT203" s="409"/>
      <c r="BU203" s="409"/>
      <c r="BV203" s="409">
        <v>384.22349501008728</v>
      </c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>
        <v>732.94699999999989</v>
      </c>
      <c r="CJ203" s="409">
        <v>-20.301400000000058</v>
      </c>
      <c r="CK203" s="409"/>
      <c r="CL203" s="409"/>
      <c r="CM203" s="409"/>
      <c r="CN203" s="409"/>
      <c r="CO203" s="409">
        <v>-44.62470000000004</v>
      </c>
      <c r="CP203" s="409">
        <v>18.004999999999999</v>
      </c>
      <c r="CQ203" s="409">
        <v>30</v>
      </c>
      <c r="CR203" s="409">
        <v>16.982704123214262</v>
      </c>
      <c r="CS203" s="409">
        <v>0</v>
      </c>
      <c r="CT203" s="409">
        <v>0</v>
      </c>
      <c r="CU203" s="409">
        <v>0</v>
      </c>
      <c r="CV203" s="409">
        <v>0</v>
      </c>
      <c r="CW203" s="409">
        <v>0</v>
      </c>
      <c r="CX203" s="409">
        <v>0</v>
      </c>
      <c r="CY203" s="409">
        <v>0</v>
      </c>
      <c r="CZ203" s="409">
        <v>4.0871076736097081</v>
      </c>
      <c r="DA203" s="409">
        <v>0</v>
      </c>
      <c r="DB203" s="409">
        <v>0</v>
      </c>
      <c r="DC203" s="409">
        <v>20.423566499817184</v>
      </c>
      <c r="DD203" s="409">
        <v>0</v>
      </c>
      <c r="DE203" s="409">
        <v>0</v>
      </c>
      <c r="DF203" s="409">
        <v>0</v>
      </c>
      <c r="DG203" s="409">
        <v>0.27444577359469946</v>
      </c>
      <c r="DH203" s="409">
        <v>0</v>
      </c>
      <c r="DI203" s="409">
        <v>-5.3299536944739145</v>
      </c>
      <c r="DJ203" s="409"/>
      <c r="DK203" s="409">
        <v>0</v>
      </c>
      <c r="DL203" s="409">
        <v>0</v>
      </c>
      <c r="DM203" s="409">
        <v>0</v>
      </c>
      <c r="DN203" s="409">
        <v>0</v>
      </c>
      <c r="DO203" s="409">
        <v>-0.67800187488503028</v>
      </c>
      <c r="DP203" s="409">
        <v>-9.7329644298627116E-2</v>
      </c>
      <c r="DQ203" s="409">
        <v>0</v>
      </c>
      <c r="DR203" s="409">
        <v>-1.6971306101497099</v>
      </c>
      <c r="DS203" s="409"/>
      <c r="DT203" s="409"/>
      <c r="DU203" s="409"/>
      <c r="DV203" s="409">
        <v>274.3396809804525</v>
      </c>
      <c r="DW203" s="409">
        <v>0</v>
      </c>
      <c r="DX203" s="409">
        <v>0</v>
      </c>
      <c r="DY203" s="409">
        <v>-44.624700000000018</v>
      </c>
      <c r="DZ203" s="409">
        <v>18.004999999999995</v>
      </c>
      <c r="EA203" s="409">
        <v>0</v>
      </c>
      <c r="EB203" s="409">
        <v>0</v>
      </c>
      <c r="EC203" s="409">
        <v>-43.607110295396495</v>
      </c>
      <c r="ED203" s="409">
        <v>0</v>
      </c>
      <c r="EE203" s="409">
        <v>0</v>
      </c>
      <c r="EF203" s="409">
        <v>0</v>
      </c>
      <c r="EG203" s="409">
        <v>0</v>
      </c>
      <c r="EH203" s="409">
        <v>0</v>
      </c>
      <c r="EI203" s="409">
        <v>0</v>
      </c>
      <c r="EJ203" s="409">
        <v>0</v>
      </c>
      <c r="EK203" s="409">
        <v>0</v>
      </c>
      <c r="EL203" s="409">
        <v>0</v>
      </c>
      <c r="EM203" s="409">
        <v>0</v>
      </c>
      <c r="EN203" s="409">
        <v>0</v>
      </c>
      <c r="EO203" s="409">
        <v>0</v>
      </c>
      <c r="EP203" s="409">
        <v>0</v>
      </c>
      <c r="EQ203" s="409">
        <v>0</v>
      </c>
      <c r="ER203" s="409">
        <v>0</v>
      </c>
      <c r="ES203" s="409">
        <v>0</v>
      </c>
      <c r="ET203" s="409">
        <v>0</v>
      </c>
      <c r="EU203" s="409">
        <v>0</v>
      </c>
      <c r="EV203" s="409">
        <v>210</v>
      </c>
      <c r="EW203" s="409">
        <v>0</v>
      </c>
      <c r="EX203" s="409">
        <v>0</v>
      </c>
      <c r="EY203" s="409">
        <v>0</v>
      </c>
      <c r="EZ203" s="409"/>
      <c r="FA203" s="409">
        <v>0</v>
      </c>
      <c r="FB203" s="409"/>
      <c r="FC203" s="409"/>
      <c r="FD203" s="409"/>
      <c r="FE203" s="409"/>
      <c r="FF203" s="409">
        <v>0</v>
      </c>
      <c r="FG203" s="409">
        <v>0</v>
      </c>
      <c r="FH203" s="409">
        <v>0</v>
      </c>
      <c r="FI203" s="409">
        <v>0</v>
      </c>
    </row>
    <row r="204" spans="1:165">
      <c r="A204" s="409">
        <v>202</v>
      </c>
      <c r="B204" s="409" t="s">
        <v>1035</v>
      </c>
      <c r="C204" s="409" t="s">
        <v>2248</v>
      </c>
      <c r="D204" s="409" t="s">
        <v>2247</v>
      </c>
      <c r="E204" s="409" t="s">
        <v>973</v>
      </c>
      <c r="F204" s="409" t="s">
        <v>1323</v>
      </c>
      <c r="G204" s="409" t="s">
        <v>1323</v>
      </c>
      <c r="H204" s="409" t="s">
        <v>1323</v>
      </c>
      <c r="I204" s="409" t="s">
        <v>1323</v>
      </c>
      <c r="J204" s="409" t="s">
        <v>2242</v>
      </c>
      <c r="K204" s="838">
        <v>44501</v>
      </c>
      <c r="L204" s="409">
        <v>0</v>
      </c>
      <c r="M204" s="409">
        <v>0</v>
      </c>
      <c r="N204" s="409">
        <v>0</v>
      </c>
      <c r="O204" s="409">
        <v>0</v>
      </c>
      <c r="P204" s="409">
        <v>0</v>
      </c>
      <c r="Q204" s="409">
        <v>0</v>
      </c>
      <c r="R204" s="409"/>
      <c r="S204" s="409"/>
      <c r="T204" s="409"/>
      <c r="U204" s="409"/>
      <c r="V204" s="409"/>
      <c r="W204" s="409"/>
      <c r="X204" s="409"/>
      <c r="Y204" s="409"/>
      <c r="Z204" s="409"/>
      <c r="AA204" s="409">
        <v>0</v>
      </c>
      <c r="AB204" s="409"/>
      <c r="AC204" s="409"/>
      <c r="AD204" s="409"/>
      <c r="AE204" s="409"/>
      <c r="AF204" s="409"/>
      <c r="AG204" s="409"/>
      <c r="AH204" s="409"/>
      <c r="AI204" s="409"/>
      <c r="AJ204" s="409"/>
      <c r="AK204" s="409"/>
      <c r="AL204" s="409"/>
      <c r="AM204" s="409"/>
      <c r="AN204" s="409"/>
      <c r="AO204" s="409"/>
      <c r="AP204" s="409"/>
      <c r="AQ204" s="409"/>
      <c r="AR204" s="409"/>
      <c r="AS204" s="409"/>
      <c r="AT204" s="409"/>
      <c r="AU204" s="409"/>
      <c r="AV204" s="409"/>
      <c r="AW204" s="409"/>
      <c r="AX204" s="409"/>
      <c r="AY204" s="409"/>
      <c r="AZ204" s="409">
        <v>0</v>
      </c>
      <c r="BA204" s="409"/>
      <c r="BB204" s="409"/>
      <c r="BC204" s="409"/>
      <c r="BD204" s="409"/>
      <c r="BE204" s="409"/>
      <c r="BF204" s="409"/>
      <c r="BG204" s="409"/>
      <c r="BH204" s="409"/>
      <c r="BI204" s="409">
        <v>0.22</v>
      </c>
      <c r="BJ204" s="409">
        <v>1.04</v>
      </c>
      <c r="BK204" s="409">
        <v>0</v>
      </c>
      <c r="BL204" s="409">
        <v>1</v>
      </c>
      <c r="BM204" s="409"/>
      <c r="BN204" s="409"/>
      <c r="BO204" s="409"/>
      <c r="BP204" s="409"/>
      <c r="BQ204" s="409"/>
      <c r="BR204" s="409"/>
      <c r="BS204" s="409"/>
      <c r="BT204" s="409"/>
      <c r="BU204" s="409"/>
      <c r="BV204" s="409"/>
      <c r="BW204" s="409"/>
      <c r="BX204" s="409"/>
      <c r="BY204" s="409"/>
      <c r="BZ204" s="409"/>
      <c r="CA204" s="409"/>
      <c r="CB204" s="409"/>
      <c r="CC204" s="409"/>
      <c r="CD204" s="409"/>
      <c r="CE204" s="409"/>
      <c r="CF204" s="409"/>
      <c r="CG204" s="409"/>
      <c r="CH204" s="409"/>
      <c r="CI204" s="409"/>
      <c r="CJ204" s="409">
        <v>-0.03</v>
      </c>
      <c r="CK204" s="409"/>
      <c r="CL204" s="409"/>
      <c r="CM204" s="409"/>
      <c r="CN204" s="409"/>
      <c r="CO204" s="409">
        <v>0</v>
      </c>
      <c r="CP204" s="409">
        <v>0</v>
      </c>
      <c r="CQ204" s="409">
        <v>30</v>
      </c>
      <c r="CR204" s="409"/>
      <c r="CS204" s="409"/>
      <c r="CT204" s="409"/>
      <c r="CU204" s="409"/>
      <c r="CV204" s="409"/>
      <c r="CW204" s="409"/>
      <c r="CX204" s="409"/>
      <c r="CY204" s="409"/>
      <c r="CZ204" s="409"/>
      <c r="DA204" s="409"/>
      <c r="DB204" s="409"/>
      <c r="DC204" s="409"/>
      <c r="DD204" s="409"/>
      <c r="DE204" s="409"/>
      <c r="DF204" s="409"/>
      <c r="DG204" s="409"/>
      <c r="DH204" s="409"/>
      <c r="DI204" s="409"/>
      <c r="DJ204" s="409"/>
      <c r="DK204" s="409">
        <v>0</v>
      </c>
      <c r="DL204" s="409"/>
      <c r="DM204" s="409"/>
      <c r="DN204" s="409"/>
      <c r="DO204" s="409"/>
      <c r="DP204" s="409"/>
      <c r="DQ204" s="409"/>
      <c r="DR204" s="409"/>
      <c r="DS204" s="409"/>
      <c r="DT204" s="409"/>
      <c r="DU204" s="409"/>
      <c r="DV204" s="409"/>
      <c r="DW204" s="409"/>
      <c r="DX204" s="409"/>
      <c r="DY204" s="409"/>
      <c r="DZ204" s="409"/>
      <c r="EA204" s="409"/>
      <c r="EB204" s="409"/>
      <c r="EC204" s="409"/>
      <c r="ED204" s="409"/>
      <c r="EE204" s="409"/>
      <c r="EF204" s="409"/>
      <c r="EG204" s="409"/>
      <c r="EH204" s="409"/>
      <c r="EI204" s="409"/>
      <c r="EJ204" s="409"/>
      <c r="EK204" s="409"/>
      <c r="EL204" s="409"/>
      <c r="EM204" s="409"/>
      <c r="EN204" s="409"/>
      <c r="EO204" s="409"/>
      <c r="EP204" s="409"/>
      <c r="EQ204" s="409"/>
      <c r="ER204" s="409"/>
      <c r="ES204" s="409"/>
      <c r="ET204" s="409"/>
      <c r="EU204" s="409"/>
      <c r="EV204" s="409">
        <v>210</v>
      </c>
      <c r="EW204" s="409"/>
      <c r="EX204" s="409"/>
      <c r="EY204" s="409"/>
      <c r="EZ204" s="409"/>
      <c r="FA204" s="409">
        <v>0</v>
      </c>
      <c r="FB204" s="409"/>
      <c r="FC204" s="409"/>
      <c r="FD204" s="409"/>
      <c r="FE204" s="409"/>
      <c r="FF204" s="409">
        <v>0</v>
      </c>
      <c r="FG204" s="409">
        <v>0</v>
      </c>
      <c r="FH204" s="409">
        <v>0</v>
      </c>
      <c r="FI204" s="409">
        <v>0</v>
      </c>
    </row>
    <row r="205" spans="1:165">
      <c r="A205" s="409">
        <v>203</v>
      </c>
      <c r="B205" s="409" t="s">
        <v>1035</v>
      </c>
      <c r="C205" s="409" t="s">
        <v>2241</v>
      </c>
      <c r="D205" s="409" t="s">
        <v>1992</v>
      </c>
      <c r="E205" s="409" t="s">
        <v>2249</v>
      </c>
      <c r="F205" s="409" t="s">
        <v>1323</v>
      </c>
      <c r="G205" s="409" t="s">
        <v>1323</v>
      </c>
      <c r="H205" s="409" t="s">
        <v>1323</v>
      </c>
      <c r="I205" s="409" t="s">
        <v>1323</v>
      </c>
      <c r="J205" s="409" t="s">
        <v>2242</v>
      </c>
      <c r="K205" s="838">
        <v>44501</v>
      </c>
      <c r="L205" s="409">
        <v>0</v>
      </c>
      <c r="M205" s="409">
        <v>0</v>
      </c>
      <c r="N205" s="409">
        <v>12.026</v>
      </c>
      <c r="O205" s="409">
        <v>12.026</v>
      </c>
      <c r="P205" s="409">
        <v>12.026</v>
      </c>
      <c r="Q205" s="409">
        <v>12.026</v>
      </c>
      <c r="R205" s="409"/>
      <c r="S205" s="409">
        <v>358.62</v>
      </c>
      <c r="T205" s="409">
        <v>273.74</v>
      </c>
      <c r="U205" s="409"/>
      <c r="V205" s="409">
        <v>7604.7613600000004</v>
      </c>
      <c r="W205" s="409">
        <v>7604.7613600000004</v>
      </c>
      <c r="X205" s="409">
        <v>7373.6216399999994</v>
      </c>
      <c r="Y205" s="409">
        <v>0</v>
      </c>
      <c r="Z205" s="409">
        <v>726.06268098714122</v>
      </c>
      <c r="AA205" s="409">
        <v>0</v>
      </c>
      <c r="AB205" s="409">
        <v>0</v>
      </c>
      <c r="AC205" s="409">
        <v>0</v>
      </c>
      <c r="AD205" s="409">
        <v>1035.3005138432782</v>
      </c>
      <c r="AE205" s="409">
        <v>2382.1003635169109</v>
      </c>
      <c r="AF205" s="409">
        <v>3291.9883370288971</v>
      </c>
      <c r="AG205" s="409">
        <v>0</v>
      </c>
      <c r="AH205" s="409">
        <v>0</v>
      </c>
      <c r="AI205" s="409">
        <v>0</v>
      </c>
      <c r="AJ205" s="409">
        <v>0</v>
      </c>
      <c r="AK205" s="409">
        <v>0</v>
      </c>
      <c r="AL205" s="409">
        <v>112.2813363667066</v>
      </c>
      <c r="AM205" s="409"/>
      <c r="AN205" s="409">
        <v>12.808788829578578</v>
      </c>
      <c r="AO205" s="409">
        <v>0</v>
      </c>
      <c r="AP205" s="409">
        <v>0</v>
      </c>
      <c r="AQ205" s="409">
        <v>0</v>
      </c>
      <c r="AR205" s="409">
        <v>0</v>
      </c>
      <c r="AS205" s="409">
        <v>0</v>
      </c>
      <c r="AT205" s="409">
        <v>0</v>
      </c>
      <c r="AU205" s="409">
        <v>0</v>
      </c>
      <c r="AV205" s="409">
        <v>0</v>
      </c>
      <c r="AW205" s="409">
        <v>0</v>
      </c>
      <c r="AX205" s="409">
        <v>0</v>
      </c>
      <c r="AY205" s="409">
        <v>0</v>
      </c>
      <c r="AZ205" s="409">
        <v>0</v>
      </c>
      <c r="BA205" s="409"/>
      <c r="BB205" s="409">
        <v>0</v>
      </c>
      <c r="BC205" s="409">
        <v>0</v>
      </c>
      <c r="BD205" s="409">
        <v>0</v>
      </c>
      <c r="BE205" s="409">
        <v>0</v>
      </c>
      <c r="BF205" s="409">
        <v>0</v>
      </c>
      <c r="BG205" s="409">
        <v>44.23675393955704</v>
      </c>
      <c r="BH205" s="409">
        <v>0</v>
      </c>
      <c r="BI205" s="409">
        <v>31.46</v>
      </c>
      <c r="BJ205" s="409">
        <v>143.84</v>
      </c>
      <c r="BK205" s="409">
        <v>1758.65</v>
      </c>
      <c r="BL205" s="409">
        <v>15</v>
      </c>
      <c r="BM205" s="409"/>
      <c r="BN205" s="409"/>
      <c r="BO205" s="409"/>
      <c r="BP205" s="409"/>
      <c r="BQ205" s="409"/>
      <c r="BR205" s="409"/>
      <c r="BS205" s="409"/>
      <c r="BT205" s="409"/>
      <c r="BU205" s="409"/>
      <c r="BV205" s="409">
        <v>3336.225090968454</v>
      </c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I205" s="409">
        <v>7376.0741999999991</v>
      </c>
      <c r="CJ205" s="409">
        <v>-228.71716000000197</v>
      </c>
      <c r="CK205" s="409"/>
      <c r="CL205" s="409"/>
      <c r="CM205" s="409"/>
      <c r="CN205" s="409"/>
      <c r="CO205" s="409">
        <v>-387.47772000000032</v>
      </c>
      <c r="CP205" s="409">
        <v>156.33799999999999</v>
      </c>
      <c r="CQ205" s="409">
        <v>30</v>
      </c>
      <c r="CR205" s="409">
        <v>147.46137168648147</v>
      </c>
      <c r="CS205" s="409">
        <v>0</v>
      </c>
      <c r="CT205" s="409">
        <v>0</v>
      </c>
      <c r="CU205" s="409">
        <v>0</v>
      </c>
      <c r="CV205" s="409">
        <v>0</v>
      </c>
      <c r="CW205" s="409">
        <v>0</v>
      </c>
      <c r="CX205" s="409">
        <v>0</v>
      </c>
      <c r="CY205" s="409">
        <v>0</v>
      </c>
      <c r="CZ205" s="409">
        <v>35.488488724065292</v>
      </c>
      <c r="DA205" s="409">
        <v>0</v>
      </c>
      <c r="DB205" s="409">
        <v>0</v>
      </c>
      <c r="DC205" s="409">
        <v>177.33849149949538</v>
      </c>
      <c r="DD205" s="409">
        <v>0</v>
      </c>
      <c r="DE205" s="409">
        <v>0</v>
      </c>
      <c r="DF205" s="409">
        <v>0</v>
      </c>
      <c r="DG205" s="409">
        <v>2.3830215691334757</v>
      </c>
      <c r="DH205" s="409">
        <v>0</v>
      </c>
      <c r="DI205" s="409">
        <v>-46.280161104507897</v>
      </c>
      <c r="DJ205" s="409"/>
      <c r="DK205" s="409">
        <v>0</v>
      </c>
      <c r="DL205" s="409">
        <v>0</v>
      </c>
      <c r="DM205" s="409">
        <v>0</v>
      </c>
      <c r="DN205" s="409">
        <v>0</v>
      </c>
      <c r="DO205" s="409">
        <v>-5.8871123085685042</v>
      </c>
      <c r="DP205" s="409">
        <v>-0.84511646377999305</v>
      </c>
      <c r="DQ205" s="409">
        <v>0</v>
      </c>
      <c r="DR205" s="409">
        <v>-14.7362402293577</v>
      </c>
      <c r="DS205" s="409"/>
      <c r="DT205" s="409"/>
      <c r="DU205" s="409"/>
      <c r="DV205" s="409">
        <v>2382.1003635169109</v>
      </c>
      <c r="DW205" s="409">
        <v>0</v>
      </c>
      <c r="DX205" s="409">
        <v>0</v>
      </c>
      <c r="DY205" s="409">
        <v>-387.47772000000032</v>
      </c>
      <c r="DZ205" s="409">
        <v>156.33799999999974</v>
      </c>
      <c r="EA205" s="409">
        <v>0</v>
      </c>
      <c r="EB205" s="409">
        <v>0</v>
      </c>
      <c r="EC205" s="409">
        <v>-378.64195553244645</v>
      </c>
      <c r="ED205" s="409">
        <v>0</v>
      </c>
      <c r="EE205" s="409">
        <v>0</v>
      </c>
      <c r="EF205" s="409">
        <v>0</v>
      </c>
      <c r="EG205" s="409">
        <v>0</v>
      </c>
      <c r="EH205" s="409">
        <v>0</v>
      </c>
      <c r="EI205" s="409">
        <v>0</v>
      </c>
      <c r="EJ205" s="409">
        <v>0</v>
      </c>
      <c r="EK205" s="409">
        <v>0</v>
      </c>
      <c r="EL205" s="409">
        <v>0</v>
      </c>
      <c r="EM205" s="409">
        <v>0</v>
      </c>
      <c r="EN205" s="409">
        <v>0</v>
      </c>
      <c r="EO205" s="409">
        <v>0</v>
      </c>
      <c r="EP205" s="409">
        <v>0</v>
      </c>
      <c r="EQ205" s="409">
        <v>0</v>
      </c>
      <c r="ER205" s="409">
        <v>0</v>
      </c>
      <c r="ES205" s="409">
        <v>0</v>
      </c>
      <c r="ET205" s="409">
        <v>0</v>
      </c>
      <c r="EU205" s="409">
        <v>0</v>
      </c>
      <c r="EV205" s="409">
        <v>210</v>
      </c>
      <c r="EW205" s="409">
        <v>0</v>
      </c>
      <c r="EX205" s="409">
        <v>0</v>
      </c>
      <c r="EY205" s="409">
        <v>0</v>
      </c>
      <c r="EZ205" s="409"/>
      <c r="FA205" s="409">
        <v>0</v>
      </c>
      <c r="FB205" s="409"/>
      <c r="FC205" s="409"/>
      <c r="FD205" s="409"/>
      <c r="FE205" s="409"/>
      <c r="FF205" s="409">
        <v>0</v>
      </c>
      <c r="FG205" s="409">
        <v>0</v>
      </c>
      <c r="FH205" s="409">
        <v>0</v>
      </c>
      <c r="FI205" s="409">
        <v>0</v>
      </c>
    </row>
    <row r="206" spans="1:165">
      <c r="A206" s="409">
        <v>204</v>
      </c>
      <c r="B206" s="409" t="s">
        <v>1035</v>
      </c>
      <c r="C206" s="409" t="s">
        <v>2241</v>
      </c>
      <c r="D206" s="409" t="s">
        <v>2250</v>
      </c>
      <c r="E206" s="409" t="s">
        <v>2251</v>
      </c>
      <c r="F206" s="409" t="s">
        <v>2252</v>
      </c>
      <c r="G206" s="409" t="s">
        <v>1323</v>
      </c>
      <c r="H206" s="409" t="s">
        <v>1323</v>
      </c>
      <c r="I206" s="409" t="s">
        <v>1323</v>
      </c>
      <c r="J206" s="409" t="s">
        <v>2242</v>
      </c>
      <c r="K206" s="838">
        <v>44501</v>
      </c>
      <c r="L206" s="409">
        <v>0</v>
      </c>
      <c r="M206" s="409">
        <v>0</v>
      </c>
      <c r="N206" s="409">
        <v>20.052</v>
      </c>
      <c r="O206" s="409">
        <v>20.052</v>
      </c>
      <c r="P206" s="409">
        <v>20.052</v>
      </c>
      <c r="Q206" s="409">
        <v>20.052</v>
      </c>
      <c r="R206" s="409"/>
      <c r="S206" s="409">
        <v>215.17</v>
      </c>
      <c r="T206" s="409">
        <v>164.24</v>
      </c>
      <c r="U206" s="409"/>
      <c r="V206" s="409">
        <v>7607.9293199999993</v>
      </c>
      <c r="W206" s="409">
        <v>7607.9293199999993</v>
      </c>
      <c r="X206" s="409">
        <v>7376.9302800000005</v>
      </c>
      <c r="Y206" s="409">
        <v>0</v>
      </c>
      <c r="Z206" s="409">
        <v>726.37662793052459</v>
      </c>
      <c r="AA206" s="409">
        <v>0</v>
      </c>
      <c r="AB206" s="409">
        <v>0</v>
      </c>
      <c r="AC206" s="409">
        <v>0</v>
      </c>
      <c r="AD206" s="409">
        <v>1035.748174135312</v>
      </c>
      <c r="AE206" s="409">
        <v>2383.1303753155416</v>
      </c>
      <c r="AF206" s="409">
        <v>3293.4117811792798</v>
      </c>
      <c r="AG206" s="409">
        <v>0</v>
      </c>
      <c r="AH206" s="409">
        <v>0</v>
      </c>
      <c r="AI206" s="409">
        <v>0</v>
      </c>
      <c r="AJ206" s="409">
        <v>0</v>
      </c>
      <c r="AK206" s="409">
        <v>0</v>
      </c>
      <c r="AL206" s="409">
        <v>112.32988642068175</v>
      </c>
      <c r="AM206" s="409"/>
      <c r="AN206" s="409">
        <v>12.814327304708593</v>
      </c>
      <c r="AO206" s="409">
        <v>0</v>
      </c>
      <c r="AP206" s="409">
        <v>0</v>
      </c>
      <c r="AQ206" s="409">
        <v>0</v>
      </c>
      <c r="AR206" s="409">
        <v>0</v>
      </c>
      <c r="AS206" s="409">
        <v>0</v>
      </c>
      <c r="AT206" s="409">
        <v>0</v>
      </c>
      <c r="AU206" s="409">
        <v>0</v>
      </c>
      <c r="AV206" s="409">
        <v>0</v>
      </c>
      <c r="AW206" s="409">
        <v>0</v>
      </c>
      <c r="AX206" s="409">
        <v>0</v>
      </c>
      <c r="AY206" s="409">
        <v>0</v>
      </c>
      <c r="AZ206" s="409">
        <v>0</v>
      </c>
      <c r="BA206" s="409"/>
      <c r="BB206" s="409">
        <v>0</v>
      </c>
      <c r="BC206" s="409">
        <v>0</v>
      </c>
      <c r="BD206" s="409">
        <v>0</v>
      </c>
      <c r="BE206" s="409">
        <v>0</v>
      </c>
      <c r="BF206" s="409">
        <v>0</v>
      </c>
      <c r="BG206" s="409">
        <v>44.255881755995354</v>
      </c>
      <c r="BH206" s="409">
        <v>0</v>
      </c>
      <c r="BI206" s="409">
        <v>30.39</v>
      </c>
      <c r="BJ206" s="409">
        <v>138.15</v>
      </c>
      <c r="BK206" s="409">
        <v>2281.3200000000002</v>
      </c>
      <c r="BL206" s="409">
        <v>6</v>
      </c>
      <c r="BM206" s="409"/>
      <c r="BN206" s="409"/>
      <c r="BO206" s="409"/>
      <c r="BP206" s="409"/>
      <c r="BQ206" s="409"/>
      <c r="BR206" s="409"/>
      <c r="BS206" s="409"/>
      <c r="BT206" s="409"/>
      <c r="BU206" s="409"/>
      <c r="BV206" s="409">
        <v>3337.6676629352751</v>
      </c>
      <c r="BW206" s="409"/>
      <c r="BX206" s="409"/>
      <c r="BY206" s="409"/>
      <c r="BZ206" s="409"/>
      <c r="CA206" s="409"/>
      <c r="CB206" s="409"/>
      <c r="CC206" s="409"/>
      <c r="CD206" s="409"/>
      <c r="CE206" s="409"/>
      <c r="CF206" s="409"/>
      <c r="CG206" s="409"/>
      <c r="CH206" s="409"/>
      <c r="CI206" s="409">
        <v>7376.1945000000005</v>
      </c>
      <c r="CJ206" s="409">
        <v>-231.76481999999942</v>
      </c>
      <c r="CK206" s="409"/>
      <c r="CL206" s="409"/>
      <c r="CM206" s="409"/>
      <c r="CN206" s="409"/>
      <c r="CO206" s="409">
        <v>-387.60515999999967</v>
      </c>
      <c r="CP206" s="409">
        <v>156.60612000000003</v>
      </c>
      <c r="CQ206" s="409">
        <v>30</v>
      </c>
      <c r="CR206" s="409">
        <v>147.52513346369142</v>
      </c>
      <c r="CS206" s="409">
        <v>0</v>
      </c>
      <c r="CT206" s="409">
        <v>0</v>
      </c>
      <c r="CU206" s="409">
        <v>0</v>
      </c>
      <c r="CV206" s="409">
        <v>0</v>
      </c>
      <c r="CW206" s="409">
        <v>0</v>
      </c>
      <c r="CX206" s="409">
        <v>0</v>
      </c>
      <c r="CY206" s="409">
        <v>0</v>
      </c>
      <c r="CZ206" s="409">
        <v>35.503833821466515</v>
      </c>
      <c r="DA206" s="409">
        <v>0</v>
      </c>
      <c r="DB206" s="409">
        <v>0</v>
      </c>
      <c r="DC206" s="409">
        <v>177.41517203797866</v>
      </c>
      <c r="DD206" s="409">
        <v>0</v>
      </c>
      <c r="DE206" s="409">
        <v>0</v>
      </c>
      <c r="DF206" s="409">
        <v>0</v>
      </c>
      <c r="DG206" s="409">
        <v>2.3840519792581176</v>
      </c>
      <c r="DH206" s="409">
        <v>0</v>
      </c>
      <c r="DI206" s="409">
        <v>-46.300172482999415</v>
      </c>
      <c r="DJ206" s="409"/>
      <c r="DK206" s="409">
        <v>0</v>
      </c>
      <c r="DL206" s="409">
        <v>0</v>
      </c>
      <c r="DM206" s="409">
        <v>0</v>
      </c>
      <c r="DN206" s="409">
        <v>0</v>
      </c>
      <c r="DO206" s="409">
        <v>-5.8896578751743789</v>
      </c>
      <c r="DP206" s="409">
        <v>-0.84548188915927547</v>
      </c>
      <c r="DQ206" s="409">
        <v>0</v>
      </c>
      <c r="DR206" s="409">
        <v>-14.742612127677354</v>
      </c>
      <c r="DS206" s="409"/>
      <c r="DT206" s="409"/>
      <c r="DU206" s="409"/>
      <c r="DV206" s="409">
        <v>2383.1303753155416</v>
      </c>
      <c r="DW206" s="409">
        <v>0</v>
      </c>
      <c r="DX206" s="409">
        <v>0</v>
      </c>
      <c r="DY206" s="409">
        <v>-387.60515999999961</v>
      </c>
      <c r="DZ206" s="409">
        <v>156.60611999999992</v>
      </c>
      <c r="EA206" s="409">
        <v>0</v>
      </c>
      <c r="EB206" s="409">
        <v>0</v>
      </c>
      <c r="EC206" s="409">
        <v>-378.80567897904029</v>
      </c>
      <c r="ED206" s="409">
        <v>0</v>
      </c>
      <c r="EE206" s="409">
        <v>0</v>
      </c>
      <c r="EF206" s="409">
        <v>0</v>
      </c>
      <c r="EG206" s="409">
        <v>0</v>
      </c>
      <c r="EH206" s="409">
        <v>0</v>
      </c>
      <c r="EI206" s="409">
        <v>0</v>
      </c>
      <c r="EJ206" s="409">
        <v>0</v>
      </c>
      <c r="EK206" s="409">
        <v>0</v>
      </c>
      <c r="EL206" s="409">
        <v>0</v>
      </c>
      <c r="EM206" s="409">
        <v>0</v>
      </c>
      <c r="EN206" s="409">
        <v>0</v>
      </c>
      <c r="EO206" s="409">
        <v>0</v>
      </c>
      <c r="EP206" s="409">
        <v>0</v>
      </c>
      <c r="EQ206" s="409">
        <v>0</v>
      </c>
      <c r="ER206" s="409">
        <v>0</v>
      </c>
      <c r="ES206" s="409">
        <v>0</v>
      </c>
      <c r="ET206" s="409">
        <v>0</v>
      </c>
      <c r="EU206" s="409">
        <v>0</v>
      </c>
      <c r="EV206" s="409">
        <v>210</v>
      </c>
      <c r="EW206" s="409">
        <v>0</v>
      </c>
      <c r="EX206" s="409">
        <v>0</v>
      </c>
      <c r="EY206" s="409">
        <v>0</v>
      </c>
      <c r="EZ206" s="409"/>
      <c r="FA206" s="409">
        <v>0</v>
      </c>
      <c r="FB206" s="409"/>
      <c r="FC206" s="409"/>
      <c r="FD206" s="409"/>
      <c r="FE206" s="409"/>
      <c r="FF206" s="409">
        <v>0</v>
      </c>
      <c r="FG206" s="409">
        <v>0</v>
      </c>
      <c r="FH206" s="409">
        <v>0</v>
      </c>
      <c r="FI206" s="409">
        <v>0</v>
      </c>
    </row>
    <row r="207" spans="1:165">
      <c r="A207" s="409">
        <v>205</v>
      </c>
      <c r="B207" s="409" t="s">
        <v>1035</v>
      </c>
      <c r="C207" s="409" t="s">
        <v>2241</v>
      </c>
      <c r="D207" s="409" t="s">
        <v>1992</v>
      </c>
      <c r="E207" s="409" t="s">
        <v>1000</v>
      </c>
      <c r="F207" s="409" t="s">
        <v>2253</v>
      </c>
      <c r="G207" s="409" t="s">
        <v>1323</v>
      </c>
      <c r="H207" s="409" t="s">
        <v>1323</v>
      </c>
      <c r="I207" s="409" t="s">
        <v>1323</v>
      </c>
      <c r="J207" s="409" t="s">
        <v>2242</v>
      </c>
      <c r="K207" s="838">
        <v>44501</v>
      </c>
      <c r="L207" s="409">
        <v>0</v>
      </c>
      <c r="M207" s="409">
        <v>0</v>
      </c>
      <c r="N207" s="409">
        <v>2.9489999999999998</v>
      </c>
      <c r="O207" s="409">
        <v>2.7720599999999997</v>
      </c>
      <c r="P207" s="409">
        <v>2.9489999999999998</v>
      </c>
      <c r="Q207" s="409">
        <v>2.7720599999999997</v>
      </c>
      <c r="R207" s="409"/>
      <c r="S207" s="409">
        <v>358.62</v>
      </c>
      <c r="T207" s="409">
        <v>273.74</v>
      </c>
      <c r="U207" s="409"/>
      <c r="V207" s="409">
        <v>1864.8296399999999</v>
      </c>
      <c r="W207" s="409">
        <v>1864.8296399999999</v>
      </c>
      <c r="X207" s="409">
        <v>1808.14986</v>
      </c>
      <c r="Y207" s="409">
        <v>0</v>
      </c>
      <c r="Z207" s="409">
        <v>178.04414154590714</v>
      </c>
      <c r="AA207" s="409">
        <v>0</v>
      </c>
      <c r="AB207" s="409">
        <v>0</v>
      </c>
      <c r="AC207" s="409">
        <v>0</v>
      </c>
      <c r="AD207" s="409">
        <v>253.87503869315043</v>
      </c>
      <c r="AE207" s="409">
        <v>584.1355373367179</v>
      </c>
      <c r="AF207" s="409">
        <v>807.25707682506379</v>
      </c>
      <c r="AG207" s="409">
        <v>0</v>
      </c>
      <c r="AH207" s="409">
        <v>0</v>
      </c>
      <c r="AI207" s="409">
        <v>0</v>
      </c>
      <c r="AJ207" s="409">
        <v>0</v>
      </c>
      <c r="AK207" s="409">
        <v>0</v>
      </c>
      <c r="AL207" s="409">
        <v>27.533482533296002</v>
      </c>
      <c r="AM207" s="409"/>
      <c r="AN207" s="409">
        <v>3.1409544535529039</v>
      </c>
      <c r="AO207" s="409">
        <v>0</v>
      </c>
      <c r="AP207" s="409">
        <v>0</v>
      </c>
      <c r="AQ207" s="409">
        <v>0</v>
      </c>
      <c r="AR207" s="409">
        <v>0</v>
      </c>
      <c r="AS207" s="409">
        <v>0</v>
      </c>
      <c r="AT207" s="409">
        <v>0</v>
      </c>
      <c r="AU207" s="409">
        <v>0</v>
      </c>
      <c r="AV207" s="409">
        <v>0</v>
      </c>
      <c r="AW207" s="409">
        <v>0</v>
      </c>
      <c r="AX207" s="409">
        <v>0</v>
      </c>
      <c r="AY207" s="409">
        <v>0</v>
      </c>
      <c r="AZ207" s="409">
        <v>0</v>
      </c>
      <c r="BA207" s="409"/>
      <c r="BB207" s="409">
        <v>0</v>
      </c>
      <c r="BC207" s="409">
        <v>0</v>
      </c>
      <c r="BD207" s="409">
        <v>0</v>
      </c>
      <c r="BE207" s="409">
        <v>0</v>
      </c>
      <c r="BF207" s="409">
        <v>0</v>
      </c>
      <c r="BG207" s="409">
        <v>10.847678976197715</v>
      </c>
      <c r="BH207" s="409">
        <v>0</v>
      </c>
      <c r="BI207" s="409">
        <v>5.8</v>
      </c>
      <c r="BJ207" s="409">
        <v>26.43</v>
      </c>
      <c r="BK207" s="409">
        <v>436.35</v>
      </c>
      <c r="BL207" s="409">
        <v>3</v>
      </c>
      <c r="BM207" s="409"/>
      <c r="BN207" s="409"/>
      <c r="BO207" s="409"/>
      <c r="BP207" s="409"/>
      <c r="BQ207" s="409">
        <v>108.48899160000006</v>
      </c>
      <c r="BR207" s="409"/>
      <c r="BS207" s="409"/>
      <c r="BT207" s="409"/>
      <c r="BU207" s="409"/>
      <c r="BV207" s="409">
        <v>818.10475580126149</v>
      </c>
      <c r="BW207" s="409"/>
      <c r="BX207" s="409"/>
      <c r="BY207" s="409"/>
      <c r="BZ207" s="409"/>
      <c r="CA207" s="409"/>
      <c r="CB207" s="409"/>
      <c r="CC207" s="409"/>
      <c r="CD207" s="409"/>
      <c r="CE207" s="409"/>
      <c r="CF207" s="409"/>
      <c r="CG207" s="409"/>
      <c r="CH207" s="409"/>
      <c r="CI207" s="409">
        <v>1698.3978</v>
      </c>
      <c r="CJ207" s="409">
        <v>-54.57206159999987</v>
      </c>
      <c r="CK207" s="409"/>
      <c r="CL207" s="409"/>
      <c r="CM207" s="409"/>
      <c r="CN207" s="409"/>
      <c r="CO207" s="409">
        <v>-95.016780000000082</v>
      </c>
      <c r="CP207" s="409">
        <v>38.336999999999996</v>
      </c>
      <c r="CQ207" s="409">
        <v>30</v>
      </c>
      <c r="CR207" s="409">
        <v>36.160284808201368</v>
      </c>
      <c r="CS207" s="409">
        <v>0</v>
      </c>
      <c r="CT207" s="409">
        <v>0</v>
      </c>
      <c r="CU207" s="409">
        <v>0</v>
      </c>
      <c r="CV207" s="409">
        <v>0</v>
      </c>
      <c r="CW207" s="409">
        <v>0</v>
      </c>
      <c r="CX207" s="409">
        <v>0</v>
      </c>
      <c r="CY207" s="409">
        <v>0</v>
      </c>
      <c r="CZ207" s="409">
        <v>8.7024408155054402</v>
      </c>
      <c r="DA207" s="409">
        <v>0</v>
      </c>
      <c r="DB207" s="409">
        <v>0</v>
      </c>
      <c r="DC207" s="409">
        <v>43.486713074339946</v>
      </c>
      <c r="DD207" s="409">
        <v>0</v>
      </c>
      <c r="DE207" s="409">
        <v>0</v>
      </c>
      <c r="DF207" s="409">
        <v>0</v>
      </c>
      <c r="DG207" s="409">
        <v>0.58436143417384123</v>
      </c>
      <c r="DH207" s="409">
        <v>0</v>
      </c>
      <c r="DI207" s="409">
        <v>-11.348760610110901</v>
      </c>
      <c r="DJ207" s="409"/>
      <c r="DK207" s="409">
        <v>0</v>
      </c>
      <c r="DL207" s="409">
        <v>0</v>
      </c>
      <c r="DM207" s="409">
        <v>0</v>
      </c>
      <c r="DN207" s="409">
        <v>0</v>
      </c>
      <c r="DO207" s="409">
        <v>-1.4436299848635024</v>
      </c>
      <c r="DP207" s="409">
        <v>-0.20723835453909834</v>
      </c>
      <c r="DQ207" s="409">
        <v>0</v>
      </c>
      <c r="DR207" s="409">
        <v>-3.6136015663043284</v>
      </c>
      <c r="DS207" s="409"/>
      <c r="DT207" s="409"/>
      <c r="DU207" s="409"/>
      <c r="DV207" s="409">
        <v>584.1355373367179</v>
      </c>
      <c r="DW207" s="409">
        <v>0</v>
      </c>
      <c r="DX207" s="409">
        <v>0</v>
      </c>
      <c r="DY207" s="409">
        <v>-95.01678000000004</v>
      </c>
      <c r="DZ207" s="409">
        <v>38.336999999999989</v>
      </c>
      <c r="EA207" s="409">
        <v>0</v>
      </c>
      <c r="EB207" s="409">
        <v>0</v>
      </c>
      <c r="EC207" s="409">
        <v>-92.850085387093259</v>
      </c>
      <c r="ED207" s="409">
        <v>0</v>
      </c>
      <c r="EE207" s="409">
        <v>0</v>
      </c>
      <c r="EF207" s="409">
        <v>0</v>
      </c>
      <c r="EG207" s="409">
        <v>0</v>
      </c>
      <c r="EH207" s="409">
        <v>0</v>
      </c>
      <c r="EI207" s="409">
        <v>0</v>
      </c>
      <c r="EJ207" s="409">
        <v>0</v>
      </c>
      <c r="EK207" s="409">
        <v>0</v>
      </c>
      <c r="EL207" s="409">
        <v>0</v>
      </c>
      <c r="EM207" s="409">
        <v>0</v>
      </c>
      <c r="EN207" s="409">
        <v>0</v>
      </c>
      <c r="EO207" s="409">
        <v>0</v>
      </c>
      <c r="EP207" s="409">
        <v>0</v>
      </c>
      <c r="EQ207" s="409">
        <v>0</v>
      </c>
      <c r="ER207" s="409">
        <v>0</v>
      </c>
      <c r="ES207" s="409">
        <v>0</v>
      </c>
      <c r="ET207" s="409">
        <v>0</v>
      </c>
      <c r="EU207" s="409">
        <v>0</v>
      </c>
      <c r="EV207" s="409">
        <v>210</v>
      </c>
      <c r="EW207" s="409">
        <v>0</v>
      </c>
      <c r="EX207" s="409">
        <v>0</v>
      </c>
      <c r="EY207" s="409">
        <v>0</v>
      </c>
      <c r="EZ207" s="409"/>
      <c r="FA207" s="409">
        <v>0</v>
      </c>
      <c r="FB207" s="409"/>
      <c r="FC207" s="409"/>
      <c r="FD207" s="409"/>
      <c r="FE207" s="409"/>
      <c r="FF207" s="409">
        <v>0</v>
      </c>
      <c r="FG207" s="409">
        <v>0</v>
      </c>
      <c r="FH207" s="409">
        <v>0</v>
      </c>
      <c r="FI207" s="409">
        <v>0</v>
      </c>
    </row>
    <row r="208" spans="1:165">
      <c r="A208" s="409">
        <v>206</v>
      </c>
      <c r="B208" s="409" t="s">
        <v>1035</v>
      </c>
      <c r="C208" s="409" t="s">
        <v>2246</v>
      </c>
      <c r="D208" s="409" t="s">
        <v>595</v>
      </c>
      <c r="E208" s="409" t="s">
        <v>1000</v>
      </c>
      <c r="F208" s="409" t="s">
        <v>2253</v>
      </c>
      <c r="G208" s="409" t="s">
        <v>1323</v>
      </c>
      <c r="H208" s="409" t="s">
        <v>1323</v>
      </c>
      <c r="I208" s="409" t="s">
        <v>972</v>
      </c>
      <c r="J208" s="409" t="s">
        <v>2242</v>
      </c>
      <c r="K208" s="838">
        <v>44501</v>
      </c>
      <c r="L208" s="409">
        <v>0</v>
      </c>
      <c r="M208" s="409">
        <v>0</v>
      </c>
      <c r="N208" s="409">
        <v>7.5140000000000002</v>
      </c>
      <c r="O208" s="409">
        <v>7.0631599999999999</v>
      </c>
      <c r="P208" s="409">
        <v>7.5140000000000002</v>
      </c>
      <c r="Q208" s="409">
        <v>7.0631599999999999</v>
      </c>
      <c r="R208" s="409"/>
      <c r="S208" s="409">
        <v>1856.88</v>
      </c>
      <c r="T208" s="409">
        <v>273.74</v>
      </c>
      <c r="U208" s="409"/>
      <c r="V208" s="409">
        <v>16009.47868</v>
      </c>
      <c r="W208" s="409">
        <v>16009.47868</v>
      </c>
      <c r="X208" s="409">
        <v>14669.35678</v>
      </c>
      <c r="Y208" s="409">
        <v>0</v>
      </c>
      <c r="Z208" s="409">
        <v>394.67839987489754</v>
      </c>
      <c r="AA208" s="409">
        <v>0</v>
      </c>
      <c r="AB208" s="409">
        <v>0</v>
      </c>
      <c r="AC208" s="409">
        <v>0</v>
      </c>
      <c r="AD208" s="409">
        <v>3682.5503143760498</v>
      </c>
      <c r="AE208" s="409">
        <v>9786.0947484971221</v>
      </c>
      <c r="AF208" s="409">
        <v>2056.8767973087588</v>
      </c>
      <c r="AG208" s="409">
        <v>0</v>
      </c>
      <c r="AH208" s="409">
        <v>0</v>
      </c>
      <c r="AI208" s="409">
        <v>0</v>
      </c>
      <c r="AJ208" s="409">
        <v>0</v>
      </c>
      <c r="AK208" s="409">
        <v>0</v>
      </c>
      <c r="AL208" s="409">
        <v>70.154827994298472</v>
      </c>
      <c r="AM208" s="409"/>
      <c r="AN208" s="409">
        <v>6.5228125569975433</v>
      </c>
      <c r="AO208" s="409">
        <v>0</v>
      </c>
      <c r="AP208" s="409">
        <v>0</v>
      </c>
      <c r="AQ208" s="409">
        <v>0</v>
      </c>
      <c r="AR208" s="409">
        <v>0</v>
      </c>
      <c r="AS208" s="409">
        <v>0</v>
      </c>
      <c r="AT208" s="409">
        <v>0</v>
      </c>
      <c r="AU208" s="409">
        <v>0</v>
      </c>
      <c r="AV208" s="409">
        <v>0</v>
      </c>
      <c r="AW208" s="409">
        <v>0</v>
      </c>
      <c r="AX208" s="409">
        <v>0</v>
      </c>
      <c r="AY208" s="409">
        <v>0</v>
      </c>
      <c r="AZ208" s="409">
        <v>0</v>
      </c>
      <c r="BA208" s="409"/>
      <c r="BB208" s="409">
        <v>0</v>
      </c>
      <c r="BC208" s="409">
        <v>0</v>
      </c>
      <c r="BD208" s="409">
        <v>0</v>
      </c>
      <c r="BE208" s="409">
        <v>0</v>
      </c>
      <c r="BF208" s="409">
        <v>0</v>
      </c>
      <c r="BG208" s="409">
        <v>12.573370609921799</v>
      </c>
      <c r="BH208" s="409">
        <v>0</v>
      </c>
      <c r="BI208" s="409">
        <v>0</v>
      </c>
      <c r="BJ208" s="409">
        <v>0</v>
      </c>
      <c r="BK208" s="409">
        <v>0</v>
      </c>
      <c r="BL208" s="409">
        <v>0</v>
      </c>
      <c r="BM208" s="409"/>
      <c r="BN208" s="409"/>
      <c r="BO208" s="409"/>
      <c r="BP208" s="409"/>
      <c r="BQ208" s="409">
        <v>880.16140680000069</v>
      </c>
      <c r="BR208" s="409"/>
      <c r="BS208" s="409"/>
      <c r="BT208" s="409"/>
      <c r="BU208" s="409"/>
      <c r="BV208" s="409">
        <v>2069.4501679186806</v>
      </c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09"/>
      <c r="CI208" s="409">
        <v>13783.0262</v>
      </c>
      <c r="CJ208" s="409">
        <v>-1265.9137592000006</v>
      </c>
      <c r="CK208" s="409"/>
      <c r="CL208" s="409"/>
      <c r="CM208" s="409"/>
      <c r="CN208" s="409"/>
      <c r="CO208" s="409">
        <v>-1437.803900000001</v>
      </c>
      <c r="CP208" s="409">
        <v>97.682000000000002</v>
      </c>
      <c r="CQ208" s="409">
        <v>30</v>
      </c>
      <c r="CR208" s="409">
        <v>215.48780988137878</v>
      </c>
      <c r="CS208" s="409">
        <v>0</v>
      </c>
      <c r="CT208" s="409">
        <v>0</v>
      </c>
      <c r="CU208" s="409">
        <v>0</v>
      </c>
      <c r="CV208" s="409">
        <v>0</v>
      </c>
      <c r="CW208" s="409">
        <v>0</v>
      </c>
      <c r="CX208" s="409">
        <v>0</v>
      </c>
      <c r="CY208" s="409">
        <v>0</v>
      </c>
      <c r="CZ208" s="409">
        <v>126.2320877465695</v>
      </c>
      <c r="DA208" s="409">
        <v>0</v>
      </c>
      <c r="DB208" s="409">
        <v>0</v>
      </c>
      <c r="DC208" s="409">
        <v>110.80337810803348</v>
      </c>
      <c r="DD208" s="409">
        <v>0</v>
      </c>
      <c r="DE208" s="409">
        <v>0</v>
      </c>
      <c r="DF208" s="409">
        <v>0</v>
      </c>
      <c r="DG208" s="409">
        <v>0.67732396009649243</v>
      </c>
      <c r="DH208" s="409">
        <v>0</v>
      </c>
      <c r="DI208" s="409">
        <v>-25.157304471076486</v>
      </c>
      <c r="DJ208" s="409"/>
      <c r="DK208" s="409">
        <v>0</v>
      </c>
      <c r="DL208" s="409">
        <v>0</v>
      </c>
      <c r="DM208" s="409">
        <v>0</v>
      </c>
      <c r="DN208" s="409">
        <v>0</v>
      </c>
      <c r="DO208" s="409">
        <v>-3.6783437457661563</v>
      </c>
      <c r="DP208" s="409">
        <v>-0.43037139228492816</v>
      </c>
      <c r="DQ208" s="409">
        <v>0</v>
      </c>
      <c r="DR208" s="409">
        <v>7.0410396758071325</v>
      </c>
      <c r="DS208" s="409"/>
      <c r="DT208" s="409"/>
      <c r="DU208" s="409"/>
      <c r="DV208" s="409">
        <v>9786.0947484971221</v>
      </c>
      <c r="DW208" s="409">
        <v>0</v>
      </c>
      <c r="DX208" s="409">
        <v>0</v>
      </c>
      <c r="DY208" s="409">
        <v>-1437.8039000000008</v>
      </c>
      <c r="DZ208" s="409">
        <v>97.682000000000244</v>
      </c>
      <c r="EA208" s="409">
        <v>0</v>
      </c>
      <c r="EB208" s="409">
        <v>0</v>
      </c>
      <c r="EC208" s="409">
        <v>-1555.5289396480002</v>
      </c>
      <c r="ED208" s="409">
        <v>0</v>
      </c>
      <c r="EE208" s="409">
        <v>0</v>
      </c>
      <c r="EF208" s="409">
        <v>0</v>
      </c>
      <c r="EG208" s="409">
        <v>0</v>
      </c>
      <c r="EH208" s="409">
        <v>0</v>
      </c>
      <c r="EI208" s="409">
        <v>0</v>
      </c>
      <c r="EJ208" s="409">
        <v>0</v>
      </c>
      <c r="EK208" s="409">
        <v>0</v>
      </c>
      <c r="EL208" s="409">
        <v>0</v>
      </c>
      <c r="EM208" s="409">
        <v>0</v>
      </c>
      <c r="EN208" s="409">
        <v>0</v>
      </c>
      <c r="EO208" s="409">
        <v>0</v>
      </c>
      <c r="EP208" s="409">
        <v>0</v>
      </c>
      <c r="EQ208" s="409">
        <v>0</v>
      </c>
      <c r="ER208" s="409">
        <v>0</v>
      </c>
      <c r="ES208" s="409">
        <v>0</v>
      </c>
      <c r="ET208" s="409">
        <v>0</v>
      </c>
      <c r="EU208" s="409">
        <v>0</v>
      </c>
      <c r="EV208" s="409">
        <v>210</v>
      </c>
      <c r="EW208" s="409">
        <v>0</v>
      </c>
      <c r="EX208" s="409">
        <v>0</v>
      </c>
      <c r="EY208" s="409">
        <v>0</v>
      </c>
      <c r="EZ208" s="409"/>
      <c r="FA208" s="409">
        <v>0</v>
      </c>
      <c r="FB208" s="409"/>
      <c r="FC208" s="409"/>
      <c r="FD208" s="409"/>
      <c r="FE208" s="409"/>
      <c r="FF208" s="409">
        <v>0</v>
      </c>
      <c r="FG208" s="409">
        <v>0</v>
      </c>
      <c r="FH208" s="409">
        <v>0</v>
      </c>
      <c r="FI208" s="409">
        <v>0</v>
      </c>
    </row>
    <row r="209" spans="1:165">
      <c r="A209" s="409">
        <v>207</v>
      </c>
      <c r="B209" s="409" t="s">
        <v>1035</v>
      </c>
      <c r="C209" s="409" t="s">
        <v>2246</v>
      </c>
      <c r="D209" s="409" t="s">
        <v>595</v>
      </c>
      <c r="E209" s="409" t="s">
        <v>1000</v>
      </c>
      <c r="F209" s="409" t="s">
        <v>2253</v>
      </c>
      <c r="G209" s="409" t="s">
        <v>1323</v>
      </c>
      <c r="H209" s="409" t="s">
        <v>1323</v>
      </c>
      <c r="I209" s="409" t="s">
        <v>2234</v>
      </c>
      <c r="J209" s="409" t="s">
        <v>2242</v>
      </c>
      <c r="K209" s="838">
        <v>44501</v>
      </c>
      <c r="L209" s="409">
        <v>0</v>
      </c>
      <c r="M209" s="409">
        <v>0</v>
      </c>
      <c r="N209" s="409">
        <v>75.308999999999997</v>
      </c>
      <c r="O209" s="409">
        <v>70.790459999999996</v>
      </c>
      <c r="P209" s="409">
        <v>75.308999999999997</v>
      </c>
      <c r="Q209" s="409">
        <v>70.790459999999996</v>
      </c>
      <c r="R209" s="409"/>
      <c r="S209" s="409">
        <v>64.400000000000006</v>
      </c>
      <c r="T209" s="409">
        <v>273.74</v>
      </c>
      <c r="U209" s="409"/>
      <c r="V209" s="409">
        <v>25464.985260000001</v>
      </c>
      <c r="W209" s="409">
        <v>25464.985260000001</v>
      </c>
      <c r="X209" s="409">
        <v>26164.605869999999</v>
      </c>
      <c r="Y209" s="409">
        <v>0</v>
      </c>
      <c r="Z209" s="409">
        <v>3955.6608485731508</v>
      </c>
      <c r="AA209" s="409">
        <v>0</v>
      </c>
      <c r="AB209" s="409">
        <v>0</v>
      </c>
      <c r="AC209" s="409">
        <v>0</v>
      </c>
      <c r="AD209" s="409">
        <v>0</v>
      </c>
      <c r="AE209" s="409">
        <v>0</v>
      </c>
      <c r="AF209" s="409">
        <v>20615.029907975153</v>
      </c>
      <c r="AG209" s="409">
        <v>0</v>
      </c>
      <c r="AH209" s="409">
        <v>0</v>
      </c>
      <c r="AI209" s="409">
        <v>0</v>
      </c>
      <c r="AJ209" s="409">
        <v>0</v>
      </c>
      <c r="AK209" s="409">
        <v>0</v>
      </c>
      <c r="AL209" s="409">
        <v>703.12615669718161</v>
      </c>
      <c r="AM209" s="409"/>
      <c r="AN209" s="409">
        <v>65.374832426793716</v>
      </c>
      <c r="AO209" s="409">
        <v>0</v>
      </c>
      <c r="AP209" s="409">
        <v>0</v>
      </c>
      <c r="AQ209" s="409">
        <v>0</v>
      </c>
      <c r="AR209" s="409">
        <v>0</v>
      </c>
      <c r="AS209" s="409">
        <v>0</v>
      </c>
      <c r="AT209" s="409">
        <v>0</v>
      </c>
      <c r="AU209" s="409">
        <v>0</v>
      </c>
      <c r="AV209" s="409">
        <v>0</v>
      </c>
      <c r="AW209" s="409">
        <v>0</v>
      </c>
      <c r="AX209" s="409">
        <v>0</v>
      </c>
      <c r="AY209" s="409">
        <v>0</v>
      </c>
      <c r="AZ209" s="409">
        <v>0</v>
      </c>
      <c r="BA209" s="409"/>
      <c r="BB209" s="409">
        <v>0</v>
      </c>
      <c r="BC209" s="409">
        <v>0</v>
      </c>
      <c r="BD209" s="409">
        <v>0</v>
      </c>
      <c r="BE209" s="409">
        <v>0</v>
      </c>
      <c r="BF209" s="409">
        <v>0</v>
      </c>
      <c r="BG209" s="409">
        <v>126.01649817175947</v>
      </c>
      <c r="BH209" s="409">
        <v>0</v>
      </c>
      <c r="BI209" s="409">
        <v>0</v>
      </c>
      <c r="BJ209" s="409">
        <v>0</v>
      </c>
      <c r="BK209" s="409">
        <v>0</v>
      </c>
      <c r="BL209" s="409">
        <v>0</v>
      </c>
      <c r="BM209" s="409"/>
      <c r="BN209" s="409"/>
      <c r="BO209" s="409"/>
      <c r="BP209" s="409"/>
      <c r="BQ209" s="409">
        <v>1569.8763522000004</v>
      </c>
      <c r="BR209" s="409"/>
      <c r="BS209" s="409"/>
      <c r="BT209" s="409"/>
      <c r="BU209" s="409"/>
      <c r="BV209" s="409">
        <v>20741.046406146914</v>
      </c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09"/>
      <c r="CI209" s="409">
        <v>24594.569700000004</v>
      </c>
      <c r="CJ209" s="409">
        <v>657.45355560000462</v>
      </c>
      <c r="CK209" s="409"/>
      <c r="CL209" s="409"/>
      <c r="CM209" s="409"/>
      <c r="CN209" s="409"/>
      <c r="CO209" s="409">
        <v>-279.39639000000057</v>
      </c>
      <c r="CP209" s="409">
        <v>979.01699999999994</v>
      </c>
      <c r="CQ209" s="409">
        <v>30</v>
      </c>
      <c r="CR209" s="409">
        <v>699.73544487803883</v>
      </c>
      <c r="CS209" s="409">
        <v>0</v>
      </c>
      <c r="CT209" s="409">
        <v>0</v>
      </c>
      <c r="CU209" s="409">
        <v>0</v>
      </c>
      <c r="CV209" s="409">
        <v>0</v>
      </c>
      <c r="CW209" s="409">
        <v>0</v>
      </c>
      <c r="CX209" s="409">
        <v>0</v>
      </c>
      <c r="CY209" s="409">
        <v>0</v>
      </c>
      <c r="CZ209" s="409">
        <v>0</v>
      </c>
      <c r="DA209" s="409">
        <v>0</v>
      </c>
      <c r="DB209" s="409">
        <v>0</v>
      </c>
      <c r="DC209" s="409">
        <v>1110.525898581036</v>
      </c>
      <c r="DD209" s="409">
        <v>0</v>
      </c>
      <c r="DE209" s="409">
        <v>0</v>
      </c>
      <c r="DF209" s="409">
        <v>0</v>
      </c>
      <c r="DG209" s="409">
        <v>6.7884735308632997</v>
      </c>
      <c r="DH209" s="409">
        <v>0</v>
      </c>
      <c r="DI209" s="409">
        <v>-252.13886643762271</v>
      </c>
      <c r="DJ209" s="409"/>
      <c r="DK209" s="409">
        <v>0</v>
      </c>
      <c r="DL209" s="409">
        <v>0</v>
      </c>
      <c r="DM209" s="409">
        <v>0</v>
      </c>
      <c r="DN209" s="409">
        <v>0</v>
      </c>
      <c r="DO209" s="409">
        <v>-36.866168372358629</v>
      </c>
      <c r="DP209" s="409">
        <v>-4.3133935562397809</v>
      </c>
      <c r="DQ209" s="409">
        <v>0</v>
      </c>
      <c r="DR209" s="409">
        <v>-124.26049886763563</v>
      </c>
      <c r="DS209" s="409"/>
      <c r="DT209" s="409"/>
      <c r="DU209" s="409"/>
      <c r="DV209" s="409">
        <v>0</v>
      </c>
      <c r="DW209" s="409">
        <v>0</v>
      </c>
      <c r="DX209" s="409">
        <v>0</v>
      </c>
      <c r="DY209" s="409">
        <v>-279.39639000000079</v>
      </c>
      <c r="DZ209" s="409">
        <v>979.01699999999983</v>
      </c>
      <c r="EA209" s="409">
        <v>0</v>
      </c>
      <c r="EB209" s="409">
        <v>0</v>
      </c>
      <c r="EC209" s="409">
        <v>0</v>
      </c>
      <c r="ED209" s="409">
        <v>0</v>
      </c>
      <c r="EE209" s="409">
        <v>0</v>
      </c>
      <c r="EF209" s="409">
        <v>0</v>
      </c>
      <c r="EG209" s="409">
        <v>0</v>
      </c>
      <c r="EH209" s="409">
        <v>0</v>
      </c>
      <c r="EI209" s="409">
        <v>0</v>
      </c>
      <c r="EJ209" s="409">
        <v>0</v>
      </c>
      <c r="EK209" s="409">
        <v>0</v>
      </c>
      <c r="EL209" s="409">
        <v>0</v>
      </c>
      <c r="EM209" s="409">
        <v>0</v>
      </c>
      <c r="EN209" s="409">
        <v>0</v>
      </c>
      <c r="EO209" s="409">
        <v>0</v>
      </c>
      <c r="EP209" s="409">
        <v>0</v>
      </c>
      <c r="EQ209" s="409">
        <v>0</v>
      </c>
      <c r="ER209" s="409">
        <v>0</v>
      </c>
      <c r="ES209" s="409">
        <v>0</v>
      </c>
      <c r="ET209" s="409">
        <v>0</v>
      </c>
      <c r="EU209" s="409">
        <v>0</v>
      </c>
      <c r="EV209" s="409">
        <v>210</v>
      </c>
      <c r="EW209" s="409">
        <v>0</v>
      </c>
      <c r="EX209" s="409">
        <v>0</v>
      </c>
      <c r="EY209" s="409">
        <v>0</v>
      </c>
      <c r="EZ209" s="409"/>
      <c r="FA209" s="409">
        <v>0</v>
      </c>
      <c r="FB209" s="409"/>
      <c r="FC209" s="409"/>
      <c r="FD209" s="409"/>
      <c r="FE209" s="409"/>
      <c r="FF209" s="409">
        <v>0</v>
      </c>
      <c r="FG209" s="409">
        <v>0</v>
      </c>
      <c r="FH209" s="409">
        <v>0</v>
      </c>
      <c r="FI209" s="409">
        <v>0</v>
      </c>
    </row>
    <row r="210" spans="1:165">
      <c r="A210" s="409">
        <v>208</v>
      </c>
      <c r="B210" s="409" t="s">
        <v>1035</v>
      </c>
      <c r="C210" s="409" t="s">
        <v>2246</v>
      </c>
      <c r="D210" s="409" t="s">
        <v>595</v>
      </c>
      <c r="E210" s="409" t="s">
        <v>1000</v>
      </c>
      <c r="F210" s="409" t="s">
        <v>2253</v>
      </c>
      <c r="G210" s="409" t="s">
        <v>1323</v>
      </c>
      <c r="H210" s="409" t="s">
        <v>1323</v>
      </c>
      <c r="I210" s="409" t="s">
        <v>1323</v>
      </c>
      <c r="J210" s="409" t="s">
        <v>2242</v>
      </c>
      <c r="K210" s="838">
        <v>44501</v>
      </c>
      <c r="L210" s="409">
        <v>140</v>
      </c>
      <c r="M210" s="409">
        <v>131.6</v>
      </c>
      <c r="N210" s="409">
        <v>0</v>
      </c>
      <c r="O210" s="409">
        <v>0</v>
      </c>
      <c r="P210" s="409">
        <v>0</v>
      </c>
      <c r="Q210" s="409">
        <v>0</v>
      </c>
      <c r="R210" s="409">
        <v>33.6</v>
      </c>
      <c r="S210" s="409"/>
      <c r="T210" s="409"/>
      <c r="U210" s="409">
        <v>4704</v>
      </c>
      <c r="V210" s="409"/>
      <c r="W210" s="409">
        <v>4704</v>
      </c>
      <c r="X210" s="409">
        <v>4446.4000000000005</v>
      </c>
      <c r="Y210" s="409">
        <v>0</v>
      </c>
      <c r="Z210" s="409">
        <v>0</v>
      </c>
      <c r="AA210" s="409">
        <v>0</v>
      </c>
      <c r="AB210" s="409">
        <v>0</v>
      </c>
      <c r="AC210" s="409">
        <v>0</v>
      </c>
      <c r="AD210" s="409">
        <v>2498.3720823538683</v>
      </c>
      <c r="AE210" s="409">
        <v>2205.721001824802</v>
      </c>
      <c r="AF210" s="409"/>
      <c r="AG210" s="409"/>
      <c r="AH210" s="409"/>
      <c r="AI210" s="409">
        <v>0</v>
      </c>
      <c r="AJ210" s="409">
        <v>0</v>
      </c>
      <c r="AK210" s="409">
        <v>0</v>
      </c>
      <c r="AL210" s="409">
        <v>0</v>
      </c>
      <c r="AM210" s="409"/>
      <c r="AN210" s="409">
        <v>0</v>
      </c>
      <c r="AO210" s="409">
        <v>0</v>
      </c>
      <c r="AP210" s="409">
        <v>0</v>
      </c>
      <c r="AQ210" s="409">
        <v>0</v>
      </c>
      <c r="AR210" s="409">
        <v>0</v>
      </c>
      <c r="AS210" s="409"/>
      <c r="AT210" s="409"/>
      <c r="AU210" s="409">
        <v>0</v>
      </c>
      <c r="AV210" s="409">
        <v>0</v>
      </c>
      <c r="AW210" s="409">
        <v>0</v>
      </c>
      <c r="AX210" s="409"/>
      <c r="AY210" s="409"/>
      <c r="AZ210" s="409">
        <v>0</v>
      </c>
      <c r="BA210" s="409"/>
      <c r="BB210" s="409">
        <v>0</v>
      </c>
      <c r="BC210" s="409">
        <v>0</v>
      </c>
      <c r="BD210" s="409">
        <v>0</v>
      </c>
      <c r="BE210" s="409">
        <v>0</v>
      </c>
      <c r="BF210" s="409"/>
      <c r="BG210" s="409">
        <v>0</v>
      </c>
      <c r="BH210" s="409">
        <v>0</v>
      </c>
      <c r="BI210" s="409">
        <v>149.36000000000001</v>
      </c>
      <c r="BJ210" s="409">
        <v>678.36</v>
      </c>
      <c r="BK210" s="409">
        <v>11158.02</v>
      </c>
      <c r="BL210" s="409">
        <v>1</v>
      </c>
      <c r="BM210" s="409"/>
      <c r="BN210" s="409"/>
      <c r="BO210" s="409"/>
      <c r="BP210" s="409"/>
      <c r="BQ210" s="409">
        <v>266.78400000000022</v>
      </c>
      <c r="BR210" s="409"/>
      <c r="BS210" s="409"/>
      <c r="BT210" s="409"/>
      <c r="BU210" s="409"/>
      <c r="BV210" s="409">
        <v>0</v>
      </c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>
        <v>4179.616</v>
      </c>
      <c r="CJ210" s="409">
        <v>-242.17400000000089</v>
      </c>
      <c r="CK210" s="409"/>
      <c r="CL210" s="409"/>
      <c r="CM210" s="409"/>
      <c r="CN210" s="409"/>
      <c r="CO210" s="409">
        <v>-257.59999999999997</v>
      </c>
      <c r="CP210" s="409">
        <v>0</v>
      </c>
      <c r="CQ210" s="409">
        <v>30</v>
      </c>
      <c r="CR210" s="409">
        <v>92.429688544023975</v>
      </c>
      <c r="CS210" s="409">
        <v>0</v>
      </c>
      <c r="CT210" s="409">
        <v>0</v>
      </c>
      <c r="CU210" s="409">
        <v>0</v>
      </c>
      <c r="CV210" s="409">
        <v>0</v>
      </c>
      <c r="CW210" s="409"/>
      <c r="CX210" s="409"/>
      <c r="CY210" s="409"/>
      <c r="CZ210" s="409">
        <v>85.640302779317608</v>
      </c>
      <c r="DA210" s="409">
        <v>0</v>
      </c>
      <c r="DB210" s="409">
        <v>0</v>
      </c>
      <c r="DC210" s="409"/>
      <c r="DD210" s="409"/>
      <c r="DE210" s="409">
        <v>0</v>
      </c>
      <c r="DF210" s="409">
        <v>0</v>
      </c>
      <c r="DG210" s="409">
        <v>0</v>
      </c>
      <c r="DH210" s="409">
        <v>0</v>
      </c>
      <c r="DI210" s="409">
        <v>0</v>
      </c>
      <c r="DJ210" s="409"/>
      <c r="DK210" s="409">
        <v>0</v>
      </c>
      <c r="DL210" s="409">
        <v>0</v>
      </c>
      <c r="DM210" s="409"/>
      <c r="DN210" s="409">
        <v>0</v>
      </c>
      <c r="DO210" s="409">
        <v>0</v>
      </c>
      <c r="DP210" s="409">
        <v>0</v>
      </c>
      <c r="DQ210" s="409">
        <v>0</v>
      </c>
      <c r="DR210" s="409">
        <v>6.7893857647062585</v>
      </c>
      <c r="DS210" s="409"/>
      <c r="DT210" s="409"/>
      <c r="DU210" s="409">
        <v>2205.721001824802</v>
      </c>
      <c r="DV210" s="409"/>
      <c r="DW210" s="409">
        <v>0</v>
      </c>
      <c r="DX210" s="409">
        <v>0</v>
      </c>
      <c r="DY210" s="409">
        <v>-257.59999999999945</v>
      </c>
      <c r="DZ210" s="409"/>
      <c r="EA210" s="409">
        <v>0</v>
      </c>
      <c r="EB210" s="409"/>
      <c r="EC210" s="409">
        <v>-350.60593007797002</v>
      </c>
      <c r="ED210" s="409"/>
      <c r="EE210" s="409">
        <v>0</v>
      </c>
      <c r="EF210" s="409">
        <v>0</v>
      </c>
      <c r="EG210" s="409"/>
      <c r="EH210" s="409">
        <v>0</v>
      </c>
      <c r="EI210" s="409">
        <v>0</v>
      </c>
      <c r="EJ210" s="409">
        <v>0</v>
      </c>
      <c r="EK210" s="409">
        <v>0</v>
      </c>
      <c r="EL210" s="409">
        <v>0</v>
      </c>
      <c r="EM210" s="409"/>
      <c r="EN210" s="409"/>
      <c r="EO210" s="409">
        <v>0</v>
      </c>
      <c r="EP210" s="409">
        <v>0</v>
      </c>
      <c r="EQ210" s="409"/>
      <c r="ER210" s="409">
        <v>0</v>
      </c>
      <c r="ES210" s="409"/>
      <c r="ET210" s="409">
        <v>0</v>
      </c>
      <c r="EU210" s="409"/>
      <c r="EV210" s="409">
        <v>210</v>
      </c>
      <c r="EW210" s="409"/>
      <c r="EX210" s="409"/>
      <c r="EY210" s="409"/>
      <c r="EZ210" s="409"/>
      <c r="FA210" s="409">
        <v>0</v>
      </c>
      <c r="FB210" s="409"/>
      <c r="FC210" s="409"/>
      <c r="FD210" s="409"/>
      <c r="FE210" s="409"/>
      <c r="FF210" s="409">
        <v>0</v>
      </c>
      <c r="FG210" s="409">
        <v>0</v>
      </c>
      <c r="FH210" s="409">
        <v>0</v>
      </c>
      <c r="FI210" s="409">
        <v>0</v>
      </c>
    </row>
    <row r="211" spans="1:165">
      <c r="A211" s="409">
        <v>209</v>
      </c>
      <c r="B211" s="409" t="s">
        <v>1035</v>
      </c>
      <c r="C211" s="409" t="s">
        <v>2241</v>
      </c>
      <c r="D211" s="409" t="s">
        <v>2247</v>
      </c>
      <c r="E211" s="409" t="s">
        <v>973</v>
      </c>
      <c r="F211" s="409" t="s">
        <v>2254</v>
      </c>
      <c r="G211" s="409" t="s">
        <v>2255</v>
      </c>
      <c r="H211" s="409" t="s">
        <v>1323</v>
      </c>
      <c r="I211" s="409" t="s">
        <v>1323</v>
      </c>
      <c r="J211" s="409" t="s">
        <v>2242</v>
      </c>
      <c r="K211" s="838">
        <v>44501</v>
      </c>
      <c r="L211" s="409">
        <v>0</v>
      </c>
      <c r="M211" s="409">
        <v>0</v>
      </c>
      <c r="N211" s="409">
        <v>0</v>
      </c>
      <c r="O211" s="409">
        <v>0</v>
      </c>
      <c r="P211" s="409">
        <v>0</v>
      </c>
      <c r="Q211" s="409">
        <v>0</v>
      </c>
      <c r="R211" s="409"/>
      <c r="S211" s="409"/>
      <c r="T211" s="409"/>
      <c r="U211" s="409"/>
      <c r="V211" s="409"/>
      <c r="W211" s="409"/>
      <c r="X211" s="409"/>
      <c r="Y211" s="409"/>
      <c r="Z211" s="409"/>
      <c r="AA211" s="409">
        <v>0</v>
      </c>
      <c r="AB211" s="409"/>
      <c r="AC211" s="409"/>
      <c r="AD211" s="409"/>
      <c r="AE211" s="409"/>
      <c r="AF211" s="409"/>
      <c r="AG211" s="409"/>
      <c r="AH211" s="409"/>
      <c r="AI211" s="409"/>
      <c r="AJ211" s="409"/>
      <c r="AK211" s="409"/>
      <c r="AL211" s="409"/>
      <c r="AM211" s="409"/>
      <c r="AN211" s="409"/>
      <c r="AO211" s="409"/>
      <c r="AP211" s="409"/>
      <c r="AQ211" s="409"/>
      <c r="AR211" s="409"/>
      <c r="AS211" s="409"/>
      <c r="AT211" s="409"/>
      <c r="AU211" s="409"/>
      <c r="AV211" s="409"/>
      <c r="AW211" s="409"/>
      <c r="AX211" s="409"/>
      <c r="AY211" s="409"/>
      <c r="AZ211" s="409">
        <v>0</v>
      </c>
      <c r="BA211" s="409"/>
      <c r="BB211" s="409"/>
      <c r="BC211" s="409"/>
      <c r="BD211" s="409"/>
      <c r="BE211" s="409"/>
      <c r="BF211" s="409"/>
      <c r="BG211" s="409"/>
      <c r="BH211" s="409"/>
      <c r="BI211" s="409">
        <v>36.39</v>
      </c>
      <c r="BJ211" s="409">
        <v>167.51</v>
      </c>
      <c r="BK211" s="409">
        <v>531.28</v>
      </c>
      <c r="BL211" s="409">
        <v>34</v>
      </c>
      <c r="BM211" s="409"/>
      <c r="BN211" s="409"/>
      <c r="BO211" s="409"/>
      <c r="BP211" s="409"/>
      <c r="BQ211" s="409"/>
      <c r="BR211" s="409"/>
      <c r="BS211" s="409"/>
      <c r="BT211" s="409"/>
      <c r="BU211" s="409"/>
      <c r="BV211" s="409"/>
      <c r="BW211" s="409"/>
      <c r="BX211" s="409"/>
      <c r="BY211" s="409"/>
      <c r="BZ211" s="409"/>
      <c r="CA211" s="409"/>
      <c r="CB211" s="409"/>
      <c r="CC211" s="409"/>
      <c r="CD211" s="409"/>
      <c r="CE211" s="409"/>
      <c r="CF211" s="409"/>
      <c r="CG211" s="409"/>
      <c r="CH211" s="409"/>
      <c r="CI211" s="409"/>
      <c r="CJ211" s="409">
        <v>-0.03</v>
      </c>
      <c r="CK211" s="409"/>
      <c r="CL211" s="409"/>
      <c r="CM211" s="409"/>
      <c r="CN211" s="409"/>
      <c r="CO211" s="409">
        <v>0</v>
      </c>
      <c r="CP211" s="409">
        <v>0</v>
      </c>
      <c r="CQ211" s="409">
        <v>30</v>
      </c>
      <c r="CR211" s="409"/>
      <c r="CS211" s="409"/>
      <c r="CT211" s="409"/>
      <c r="CU211" s="409"/>
      <c r="CV211" s="409"/>
      <c r="CW211" s="409"/>
      <c r="CX211" s="409"/>
      <c r="CY211" s="409"/>
      <c r="CZ211" s="409"/>
      <c r="DA211" s="409"/>
      <c r="DB211" s="409"/>
      <c r="DC211" s="409"/>
      <c r="DD211" s="409"/>
      <c r="DE211" s="409"/>
      <c r="DF211" s="409"/>
      <c r="DG211" s="409"/>
      <c r="DH211" s="409"/>
      <c r="DI211" s="409"/>
      <c r="DJ211" s="409"/>
      <c r="DK211" s="409">
        <v>0</v>
      </c>
      <c r="DL211" s="409"/>
      <c r="DM211" s="409"/>
      <c r="DN211" s="409"/>
      <c r="DO211" s="409"/>
      <c r="DP211" s="409"/>
      <c r="DQ211" s="409"/>
      <c r="DR211" s="409"/>
      <c r="DS211" s="409"/>
      <c r="DT211" s="409"/>
      <c r="DU211" s="409"/>
      <c r="DV211" s="409"/>
      <c r="DW211" s="409"/>
      <c r="DX211" s="409"/>
      <c r="DY211" s="409"/>
      <c r="DZ211" s="409"/>
      <c r="EA211" s="409"/>
      <c r="EB211" s="409"/>
      <c r="EC211" s="409"/>
      <c r="ED211" s="409"/>
      <c r="EE211" s="409"/>
      <c r="EF211" s="409"/>
      <c r="EG211" s="409"/>
      <c r="EH211" s="409"/>
      <c r="EI211" s="409"/>
      <c r="EJ211" s="409"/>
      <c r="EK211" s="409"/>
      <c r="EL211" s="409"/>
      <c r="EM211" s="409"/>
      <c r="EN211" s="409"/>
      <c r="EO211" s="409"/>
      <c r="EP211" s="409"/>
      <c r="EQ211" s="409"/>
      <c r="ER211" s="409"/>
      <c r="ES211" s="409"/>
      <c r="ET211" s="409"/>
      <c r="EU211" s="409"/>
      <c r="EV211" s="409">
        <v>210</v>
      </c>
      <c r="EW211" s="409"/>
      <c r="EX211" s="409"/>
      <c r="EY211" s="409"/>
      <c r="EZ211" s="409"/>
      <c r="FA211" s="409">
        <v>0</v>
      </c>
      <c r="FB211" s="409"/>
      <c r="FC211" s="409"/>
      <c r="FD211" s="409"/>
      <c r="FE211" s="409"/>
      <c r="FF211" s="409">
        <v>0</v>
      </c>
      <c r="FG211" s="409">
        <v>0</v>
      </c>
      <c r="FH211" s="409">
        <v>0</v>
      </c>
      <c r="FI211" s="409">
        <v>0</v>
      </c>
    </row>
    <row r="212" spans="1:165">
      <c r="A212" s="409">
        <v>210</v>
      </c>
      <c r="B212" s="409" t="s">
        <v>2257</v>
      </c>
      <c r="C212" s="409" t="s">
        <v>2241</v>
      </c>
      <c r="D212" s="409" t="s">
        <v>2247</v>
      </c>
      <c r="E212" s="409" t="s">
        <v>973</v>
      </c>
      <c r="F212" s="409" t="s">
        <v>2254</v>
      </c>
      <c r="G212" s="409" t="s">
        <v>2255</v>
      </c>
      <c r="H212" s="409" t="s">
        <v>1323</v>
      </c>
      <c r="I212" s="409" t="s">
        <v>1323</v>
      </c>
      <c r="J212" s="409" t="s">
        <v>2242</v>
      </c>
      <c r="K212" s="838">
        <v>44501</v>
      </c>
      <c r="L212" s="409">
        <v>0</v>
      </c>
      <c r="M212" s="409">
        <v>0</v>
      </c>
      <c r="N212" s="409">
        <v>0</v>
      </c>
      <c r="O212" s="409">
        <v>0</v>
      </c>
      <c r="P212" s="409">
        <v>0</v>
      </c>
      <c r="Q212" s="409">
        <v>0</v>
      </c>
      <c r="R212" s="409"/>
      <c r="S212" s="409"/>
      <c r="T212" s="409"/>
      <c r="U212" s="409"/>
      <c r="V212" s="409"/>
      <c r="W212" s="409"/>
      <c r="X212" s="409"/>
      <c r="Y212" s="409"/>
      <c r="Z212" s="409"/>
      <c r="AA212" s="409">
        <v>0</v>
      </c>
      <c r="AB212" s="409"/>
      <c r="AC212" s="409"/>
      <c r="AD212" s="409"/>
      <c r="AE212" s="409"/>
      <c r="AF212" s="409"/>
      <c r="AG212" s="409"/>
      <c r="AH212" s="409"/>
      <c r="AI212" s="409"/>
      <c r="AJ212" s="409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>
        <v>0</v>
      </c>
      <c r="BA212" s="409"/>
      <c r="BB212" s="409"/>
      <c r="BC212" s="409"/>
      <c r="BD212" s="409"/>
      <c r="BE212" s="409"/>
      <c r="BF212" s="409"/>
      <c r="BG212" s="409"/>
      <c r="BH212" s="409"/>
      <c r="BI212" s="409">
        <v>-10.98</v>
      </c>
      <c r="BJ212" s="409">
        <v>-50.66</v>
      </c>
      <c r="BK212" s="409">
        <v>0</v>
      </c>
      <c r="BL212" s="409">
        <v>0</v>
      </c>
      <c r="BM212" s="409"/>
      <c r="BN212" s="409"/>
      <c r="BO212" s="409"/>
      <c r="BP212" s="409"/>
      <c r="BQ212" s="409"/>
      <c r="BR212" s="409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I212" s="409"/>
      <c r="CJ212" s="409">
        <v>-0.03</v>
      </c>
      <c r="CK212" s="409"/>
      <c r="CL212" s="409"/>
      <c r="CM212" s="409"/>
      <c r="CN212" s="409"/>
      <c r="CO212" s="409">
        <v>0</v>
      </c>
      <c r="CP212" s="409">
        <v>0</v>
      </c>
      <c r="CQ212" s="409">
        <v>30</v>
      </c>
      <c r="CR212" s="409"/>
      <c r="CS212" s="409"/>
      <c r="CT212" s="409"/>
      <c r="CU212" s="409"/>
      <c r="CV212" s="409"/>
      <c r="CW212" s="409"/>
      <c r="CX212" s="409"/>
      <c r="CY212" s="409"/>
      <c r="CZ212" s="409"/>
      <c r="DA212" s="409"/>
      <c r="DB212" s="409"/>
      <c r="DC212" s="409"/>
      <c r="DD212" s="409"/>
      <c r="DE212" s="409"/>
      <c r="DF212" s="409"/>
      <c r="DG212" s="409"/>
      <c r="DH212" s="409"/>
      <c r="DI212" s="409"/>
      <c r="DJ212" s="409"/>
      <c r="DK212" s="409">
        <v>0</v>
      </c>
      <c r="DL212" s="409"/>
      <c r="DM212" s="409"/>
      <c r="DN212" s="409"/>
      <c r="DO212" s="409"/>
      <c r="DP212" s="409"/>
      <c r="DQ212" s="409"/>
      <c r="DR212" s="409"/>
      <c r="DS212" s="409"/>
      <c r="DT212" s="409"/>
      <c r="DU212" s="409"/>
      <c r="DV212" s="409"/>
      <c r="DW212" s="409"/>
      <c r="DX212" s="409"/>
      <c r="DY212" s="409"/>
      <c r="DZ212" s="409"/>
      <c r="EA212" s="409"/>
      <c r="EB212" s="409"/>
      <c r="EC212" s="409"/>
      <c r="ED212" s="409"/>
      <c r="EE212" s="409"/>
      <c r="EF212" s="409"/>
      <c r="EG212" s="409"/>
      <c r="EH212" s="409"/>
      <c r="EI212" s="409"/>
      <c r="EJ212" s="409"/>
      <c r="EK212" s="409"/>
      <c r="EL212" s="409"/>
      <c r="EM212" s="409"/>
      <c r="EN212" s="409"/>
      <c r="EO212" s="409"/>
      <c r="EP212" s="409"/>
      <c r="EQ212" s="409"/>
      <c r="ER212" s="409"/>
      <c r="ES212" s="409"/>
      <c r="ET212" s="409"/>
      <c r="EU212" s="409"/>
      <c r="EV212" s="409">
        <v>210</v>
      </c>
      <c r="EW212" s="409"/>
      <c r="EX212" s="409"/>
      <c r="EY212" s="409"/>
      <c r="EZ212" s="409"/>
      <c r="FA212" s="409">
        <v>0</v>
      </c>
      <c r="FB212" s="409"/>
      <c r="FC212" s="409"/>
      <c r="FD212" s="409"/>
      <c r="FE212" s="409"/>
      <c r="FF212" s="409">
        <v>0</v>
      </c>
      <c r="FG212" s="409">
        <v>0</v>
      </c>
      <c r="FH212" s="409">
        <v>0</v>
      </c>
      <c r="FI212" s="409">
        <v>0</v>
      </c>
    </row>
    <row r="213" spans="1:165">
      <c r="A213" s="409">
        <v>211</v>
      </c>
      <c r="B213" s="409" t="s">
        <v>1035</v>
      </c>
      <c r="C213" s="409" t="s">
        <v>2241</v>
      </c>
      <c r="D213" s="409" t="s">
        <v>2247</v>
      </c>
      <c r="E213" s="409" t="s">
        <v>973</v>
      </c>
      <c r="F213" s="409" t="s">
        <v>2254</v>
      </c>
      <c r="G213" s="409" t="s">
        <v>2255</v>
      </c>
      <c r="H213" s="409" t="s">
        <v>1323</v>
      </c>
      <c r="I213" s="409" t="s">
        <v>1323</v>
      </c>
      <c r="J213" s="409" t="s">
        <v>2242</v>
      </c>
      <c r="K213" s="838">
        <v>44501</v>
      </c>
      <c r="L213" s="409">
        <v>0</v>
      </c>
      <c r="M213" s="409">
        <v>0</v>
      </c>
      <c r="N213" s="409">
        <v>8.0540000000000003</v>
      </c>
      <c r="O213" s="409">
        <v>8.0540000000000003</v>
      </c>
      <c r="P213" s="409">
        <v>8.0540000000000003</v>
      </c>
      <c r="Q213" s="409">
        <v>8.0540000000000003</v>
      </c>
      <c r="R213" s="409"/>
      <c r="S213" s="409">
        <v>358.62</v>
      </c>
      <c r="T213" s="409">
        <v>273.74</v>
      </c>
      <c r="U213" s="409"/>
      <c r="V213" s="409">
        <v>5093.0274399999998</v>
      </c>
      <c r="W213" s="409">
        <v>5093.0274399999998</v>
      </c>
      <c r="X213" s="409">
        <v>4938.2295599999998</v>
      </c>
      <c r="Y213" s="409">
        <v>0</v>
      </c>
      <c r="Z213" s="409">
        <v>486.25551577169762</v>
      </c>
      <c r="AA213" s="409">
        <v>0</v>
      </c>
      <c r="AB213" s="409">
        <v>0</v>
      </c>
      <c r="AC213" s="409">
        <v>0</v>
      </c>
      <c r="AD213" s="409">
        <v>693.35692154446724</v>
      </c>
      <c r="AE213" s="409">
        <v>1595.329812719541</v>
      </c>
      <c r="AF213" s="409">
        <v>2204.6959975412224</v>
      </c>
      <c r="AG213" s="409">
        <v>0</v>
      </c>
      <c r="AH213" s="409">
        <v>0</v>
      </c>
      <c r="AI213" s="409">
        <v>0</v>
      </c>
      <c r="AJ213" s="409">
        <v>0</v>
      </c>
      <c r="AK213" s="409">
        <v>0</v>
      </c>
      <c r="AL213" s="409">
        <v>75.196564368655828</v>
      </c>
      <c r="AM213" s="409"/>
      <c r="AN213" s="409">
        <v>8.578245903328277</v>
      </c>
      <c r="AO213" s="409">
        <v>0</v>
      </c>
      <c r="AP213" s="409">
        <v>0</v>
      </c>
      <c r="AQ213" s="409">
        <v>0</v>
      </c>
      <c r="AR213" s="409">
        <v>0</v>
      </c>
      <c r="AS213" s="409">
        <v>0</v>
      </c>
      <c r="AT213" s="409">
        <v>0</v>
      </c>
      <c r="AU213" s="409">
        <v>0</v>
      </c>
      <c r="AV213" s="409">
        <v>0</v>
      </c>
      <c r="AW213" s="409">
        <v>0</v>
      </c>
      <c r="AX213" s="409">
        <v>0</v>
      </c>
      <c r="AY213" s="409">
        <v>0</v>
      </c>
      <c r="AZ213" s="409">
        <v>0</v>
      </c>
      <c r="BA213" s="409"/>
      <c r="BB213" s="409">
        <v>0</v>
      </c>
      <c r="BC213" s="409">
        <v>0</v>
      </c>
      <c r="BD213" s="409">
        <v>0</v>
      </c>
      <c r="BE213" s="409">
        <v>0</v>
      </c>
      <c r="BF213" s="409">
        <v>0</v>
      </c>
      <c r="BG213" s="409">
        <v>29.62604492176887</v>
      </c>
      <c r="BH213" s="409">
        <v>0</v>
      </c>
      <c r="BI213" s="409">
        <v>0</v>
      </c>
      <c r="BJ213" s="409">
        <v>0</v>
      </c>
      <c r="BK213" s="409">
        <v>0</v>
      </c>
      <c r="BL213" s="409">
        <v>0</v>
      </c>
      <c r="BM213" s="409"/>
      <c r="BN213" s="409"/>
      <c r="BO213" s="409"/>
      <c r="BP213" s="409"/>
      <c r="BQ213" s="409"/>
      <c r="BR213" s="409">
        <v>691.35536000000002</v>
      </c>
      <c r="BS213" s="409"/>
      <c r="BT213" s="409"/>
      <c r="BU213" s="409"/>
      <c r="BV213" s="409">
        <v>2234.3220424629912</v>
      </c>
      <c r="BW213" s="409"/>
      <c r="BX213" s="409"/>
      <c r="BY213" s="409"/>
      <c r="BZ213" s="409"/>
      <c r="CA213" s="409"/>
      <c r="CB213" s="409"/>
      <c r="CC213" s="409"/>
      <c r="CD213" s="409"/>
      <c r="CE213" s="409"/>
      <c r="CF213" s="409"/>
      <c r="CG213" s="409"/>
      <c r="CH213" s="409"/>
      <c r="CI213" s="409">
        <v>4244.7650000000003</v>
      </c>
      <c r="CJ213" s="409">
        <v>-135.35236000000077</v>
      </c>
      <c r="CK213" s="409"/>
      <c r="CL213" s="409"/>
      <c r="CM213" s="409"/>
      <c r="CN213" s="409"/>
      <c r="CO213" s="409">
        <v>-259.49988000000025</v>
      </c>
      <c r="CP213" s="409">
        <v>104.702</v>
      </c>
      <c r="CQ213" s="409">
        <v>30</v>
      </c>
      <c r="CR213" s="409">
        <v>98.757183399543464</v>
      </c>
      <c r="CS213" s="409">
        <v>0</v>
      </c>
      <c r="CT213" s="409">
        <v>0</v>
      </c>
      <c r="CU213" s="409">
        <v>0</v>
      </c>
      <c r="CV213" s="409">
        <v>0</v>
      </c>
      <c r="CW213" s="409">
        <v>0</v>
      </c>
      <c r="CX213" s="409">
        <v>0</v>
      </c>
      <c r="CY213" s="409">
        <v>0</v>
      </c>
      <c r="CZ213" s="409">
        <v>23.767195092601128</v>
      </c>
      <c r="DA213" s="409">
        <v>0</v>
      </c>
      <c r="DB213" s="409">
        <v>0</v>
      </c>
      <c r="DC213" s="409">
        <v>118.76635710435175</v>
      </c>
      <c r="DD213" s="409">
        <v>0</v>
      </c>
      <c r="DE213" s="409">
        <v>0</v>
      </c>
      <c r="DF213" s="409">
        <v>0</v>
      </c>
      <c r="DG213" s="409">
        <v>1.5959467585066527</v>
      </c>
      <c r="DH213" s="409">
        <v>0</v>
      </c>
      <c r="DI213" s="409">
        <v>-30.994546610319844</v>
      </c>
      <c r="DJ213" s="409"/>
      <c r="DK213" s="409">
        <v>0</v>
      </c>
      <c r="DL213" s="409">
        <v>0</v>
      </c>
      <c r="DM213" s="409">
        <v>0</v>
      </c>
      <c r="DN213" s="409">
        <v>0</v>
      </c>
      <c r="DO213" s="409">
        <v>-3.9426910471653684</v>
      </c>
      <c r="DP213" s="409">
        <v>-0.56598769327158216</v>
      </c>
      <c r="DQ213" s="409">
        <v>0</v>
      </c>
      <c r="DR213" s="409">
        <v>-9.8690902051593969</v>
      </c>
      <c r="DS213" s="409"/>
      <c r="DT213" s="409"/>
      <c r="DU213" s="409"/>
      <c r="DV213" s="409">
        <v>1595.329812719541</v>
      </c>
      <c r="DW213" s="409">
        <v>0</v>
      </c>
      <c r="DX213" s="409">
        <v>0</v>
      </c>
      <c r="DY213" s="409">
        <v>-259.49987999999985</v>
      </c>
      <c r="DZ213" s="409">
        <v>104.70199999999977</v>
      </c>
      <c r="EA213" s="409">
        <v>0</v>
      </c>
      <c r="EB213" s="409">
        <v>0</v>
      </c>
      <c r="EC213" s="409">
        <v>-253.58243055532353</v>
      </c>
      <c r="ED213" s="409">
        <v>0</v>
      </c>
      <c r="EE213" s="409">
        <v>0</v>
      </c>
      <c r="EF213" s="409">
        <v>0</v>
      </c>
      <c r="EG213" s="409">
        <v>0</v>
      </c>
      <c r="EH213" s="409">
        <v>0</v>
      </c>
      <c r="EI213" s="409">
        <v>0</v>
      </c>
      <c r="EJ213" s="409">
        <v>0</v>
      </c>
      <c r="EK213" s="409">
        <v>0</v>
      </c>
      <c r="EL213" s="409">
        <v>0</v>
      </c>
      <c r="EM213" s="409">
        <v>0</v>
      </c>
      <c r="EN213" s="409">
        <v>0</v>
      </c>
      <c r="EO213" s="409">
        <v>0</v>
      </c>
      <c r="EP213" s="409">
        <v>0</v>
      </c>
      <c r="EQ213" s="409">
        <v>0</v>
      </c>
      <c r="ER213" s="409">
        <v>0</v>
      </c>
      <c r="ES213" s="409">
        <v>0</v>
      </c>
      <c r="ET213" s="409">
        <v>0</v>
      </c>
      <c r="EU213" s="409">
        <v>0</v>
      </c>
      <c r="EV213" s="409">
        <v>210</v>
      </c>
      <c r="EW213" s="409">
        <v>0</v>
      </c>
      <c r="EX213" s="409">
        <v>0</v>
      </c>
      <c r="EY213" s="409">
        <v>0</v>
      </c>
      <c r="EZ213" s="409"/>
      <c r="FA213" s="409">
        <v>0</v>
      </c>
      <c r="FB213" s="409"/>
      <c r="FC213" s="409"/>
      <c r="FD213" s="409"/>
      <c r="FE213" s="409"/>
      <c r="FF213" s="409">
        <v>0</v>
      </c>
      <c r="FG213" s="409">
        <v>0</v>
      </c>
      <c r="FH213" s="409">
        <v>0</v>
      </c>
      <c r="FI213" s="409">
        <v>0</v>
      </c>
    </row>
    <row r="214" spans="1:165">
      <c r="A214" s="409">
        <v>212</v>
      </c>
      <c r="B214" s="409" t="s">
        <v>2257</v>
      </c>
      <c r="C214" s="409" t="s">
        <v>2241</v>
      </c>
      <c r="D214" s="409" t="s">
        <v>2247</v>
      </c>
      <c r="E214" s="409" t="s">
        <v>973</v>
      </c>
      <c r="F214" s="409" t="s">
        <v>2254</v>
      </c>
      <c r="G214" s="409" t="s">
        <v>2255</v>
      </c>
      <c r="H214" s="409" t="s">
        <v>1323</v>
      </c>
      <c r="I214" s="409" t="s">
        <v>1323</v>
      </c>
      <c r="J214" s="409" t="s">
        <v>2242</v>
      </c>
      <c r="K214" s="838">
        <v>44501</v>
      </c>
      <c r="L214" s="409">
        <v>0</v>
      </c>
      <c r="M214" s="409">
        <v>0</v>
      </c>
      <c r="N214" s="409">
        <v>-2.431</v>
      </c>
      <c r="O214" s="409">
        <v>-2.431</v>
      </c>
      <c r="P214" s="409">
        <v>-2.431</v>
      </c>
      <c r="Q214" s="409">
        <v>-2.431</v>
      </c>
      <c r="R214" s="409"/>
      <c r="S214" s="409">
        <v>358.62</v>
      </c>
      <c r="T214" s="409">
        <v>273.74</v>
      </c>
      <c r="U214" s="409"/>
      <c r="V214" s="409">
        <v>-1537.2671600000001</v>
      </c>
      <c r="W214" s="409">
        <v>-1537.2671600000001</v>
      </c>
      <c r="X214" s="409">
        <v>-1490.5433400000002</v>
      </c>
      <c r="Y214" s="409">
        <v>0</v>
      </c>
      <c r="Z214" s="409">
        <v>-146.77019603190922</v>
      </c>
      <c r="AA214" s="409">
        <v>0</v>
      </c>
      <c r="AB214" s="409">
        <v>0</v>
      </c>
      <c r="AC214" s="409">
        <v>0</v>
      </c>
      <c r="AD214" s="409">
        <v>-209.28118652527934</v>
      </c>
      <c r="AE214" s="409">
        <v>-481.53051585810829</v>
      </c>
      <c r="AF214" s="409">
        <v>-665.46014030577487</v>
      </c>
      <c r="AG214" s="409">
        <v>0</v>
      </c>
      <c r="AH214" s="409">
        <v>0</v>
      </c>
      <c r="AI214" s="409">
        <v>0</v>
      </c>
      <c r="AJ214" s="409">
        <v>0</v>
      </c>
      <c r="AK214" s="409">
        <v>0</v>
      </c>
      <c r="AL214" s="409">
        <v>-22.697150233449506</v>
      </c>
      <c r="AM214" s="409"/>
      <c r="AN214" s="409">
        <v>-2.5892371232916616</v>
      </c>
      <c r="AO214" s="409">
        <v>0</v>
      </c>
      <c r="AP214" s="409">
        <v>0</v>
      </c>
      <c r="AQ214" s="409">
        <v>0</v>
      </c>
      <c r="AR214" s="409">
        <v>0</v>
      </c>
      <c r="AS214" s="409">
        <v>0</v>
      </c>
      <c r="AT214" s="409">
        <v>0</v>
      </c>
      <c r="AU214" s="409">
        <v>0</v>
      </c>
      <c r="AV214" s="409">
        <v>0</v>
      </c>
      <c r="AW214" s="409">
        <v>0</v>
      </c>
      <c r="AX214" s="409">
        <v>0</v>
      </c>
      <c r="AY214" s="409">
        <v>0</v>
      </c>
      <c r="AZ214" s="409">
        <v>0</v>
      </c>
      <c r="BA214" s="409"/>
      <c r="BB214" s="409">
        <v>0</v>
      </c>
      <c r="BC214" s="409">
        <v>0</v>
      </c>
      <c r="BD214" s="409">
        <v>0</v>
      </c>
      <c r="BE214" s="409">
        <v>0</v>
      </c>
      <c r="BF214" s="409">
        <v>0</v>
      </c>
      <c r="BG214" s="409">
        <v>-8.942254184854745</v>
      </c>
      <c r="BH214" s="409">
        <v>0</v>
      </c>
      <c r="BI214" s="409">
        <v>0</v>
      </c>
      <c r="BJ214" s="409">
        <v>0</v>
      </c>
      <c r="BK214" s="409">
        <v>0</v>
      </c>
      <c r="BL214" s="409">
        <v>0</v>
      </c>
      <c r="BM214" s="409"/>
      <c r="BN214" s="409"/>
      <c r="BO214" s="409"/>
      <c r="BP214" s="409"/>
      <c r="BQ214" s="409"/>
      <c r="BR214" s="409">
        <v>-208.67704000000001</v>
      </c>
      <c r="BS214" s="409"/>
      <c r="BT214" s="409"/>
      <c r="BU214" s="409"/>
      <c r="BV214" s="409">
        <v>-674.4023944906296</v>
      </c>
      <c r="BW214" s="409"/>
      <c r="BX214" s="409"/>
      <c r="BY214" s="409"/>
      <c r="BZ214" s="409"/>
      <c r="CA214" s="409"/>
      <c r="CB214" s="409"/>
      <c r="CC214" s="409"/>
      <c r="CD214" s="409"/>
      <c r="CE214" s="409"/>
      <c r="CF214" s="409"/>
      <c r="CG214" s="409"/>
      <c r="CH214" s="409"/>
      <c r="CI214" s="409">
        <v>-1281.3389999999999</v>
      </c>
      <c r="CJ214" s="409">
        <v>40.706040000000257</v>
      </c>
      <c r="CK214" s="409"/>
      <c r="CL214" s="409"/>
      <c r="CM214" s="409"/>
      <c r="CN214" s="409"/>
      <c r="CO214" s="409">
        <v>78.326820000000069</v>
      </c>
      <c r="CP214" s="409">
        <v>-31.603000000000002</v>
      </c>
      <c r="CQ214" s="409">
        <v>30</v>
      </c>
      <c r="CR214" s="409">
        <v>-29.808630847316863</v>
      </c>
      <c r="CS214" s="409">
        <v>0</v>
      </c>
      <c r="CT214" s="409">
        <v>0</v>
      </c>
      <c r="CU214" s="409">
        <v>0</v>
      </c>
      <c r="CV214" s="409">
        <v>0</v>
      </c>
      <c r="CW214" s="409">
        <v>0</v>
      </c>
      <c r="CX214" s="409">
        <v>0</v>
      </c>
      <c r="CY214" s="409">
        <v>0</v>
      </c>
      <c r="CZ214" s="409">
        <v>-7.1738330357727307</v>
      </c>
      <c r="DA214" s="409">
        <v>0</v>
      </c>
      <c r="DB214" s="409">
        <v>0</v>
      </c>
      <c r="DC214" s="409">
        <v>-35.848151740834396</v>
      </c>
      <c r="DD214" s="409">
        <v>0</v>
      </c>
      <c r="DE214" s="409">
        <v>0</v>
      </c>
      <c r="DF214" s="409">
        <v>0</v>
      </c>
      <c r="DG214" s="409">
        <v>-0.48171673329149201</v>
      </c>
      <c r="DH214" s="409">
        <v>0</v>
      </c>
      <c r="DI214" s="409">
        <v>9.3553194449574733</v>
      </c>
      <c r="DJ214" s="409"/>
      <c r="DK214" s="409">
        <v>0</v>
      </c>
      <c r="DL214" s="409">
        <v>0</v>
      </c>
      <c r="DM214" s="409">
        <v>0</v>
      </c>
      <c r="DN214" s="409">
        <v>0</v>
      </c>
      <c r="DO214" s="409">
        <v>1.1900523883361096</v>
      </c>
      <c r="DP214" s="409">
        <v>0.17083636483029752</v>
      </c>
      <c r="DQ214" s="409">
        <v>0</v>
      </c>
      <c r="DR214" s="409">
        <v>2.9788624644577215</v>
      </c>
      <c r="DS214" s="409"/>
      <c r="DT214" s="409"/>
      <c r="DU214" s="409"/>
      <c r="DV214" s="409">
        <v>-481.53051585810829</v>
      </c>
      <c r="DW214" s="409">
        <v>0</v>
      </c>
      <c r="DX214" s="409">
        <v>0</v>
      </c>
      <c r="DY214" s="409">
        <v>78.326820000000112</v>
      </c>
      <c r="DZ214" s="409">
        <v>-31.603000000000065</v>
      </c>
      <c r="EA214" s="409">
        <v>0</v>
      </c>
      <c r="EB214" s="409">
        <v>0</v>
      </c>
      <c r="EC214" s="409">
        <v>76.540711283833105</v>
      </c>
      <c r="ED214" s="409">
        <v>0</v>
      </c>
      <c r="EE214" s="409">
        <v>0</v>
      </c>
      <c r="EF214" s="409">
        <v>0</v>
      </c>
      <c r="EG214" s="409">
        <v>0</v>
      </c>
      <c r="EH214" s="409">
        <v>0</v>
      </c>
      <c r="EI214" s="409">
        <v>0</v>
      </c>
      <c r="EJ214" s="409">
        <v>0</v>
      </c>
      <c r="EK214" s="409">
        <v>0</v>
      </c>
      <c r="EL214" s="409">
        <v>0</v>
      </c>
      <c r="EM214" s="409">
        <v>0</v>
      </c>
      <c r="EN214" s="409">
        <v>0</v>
      </c>
      <c r="EO214" s="409">
        <v>0</v>
      </c>
      <c r="EP214" s="409">
        <v>0</v>
      </c>
      <c r="EQ214" s="409">
        <v>0</v>
      </c>
      <c r="ER214" s="409">
        <v>0</v>
      </c>
      <c r="ES214" s="409">
        <v>0</v>
      </c>
      <c r="ET214" s="409">
        <v>0</v>
      </c>
      <c r="EU214" s="409">
        <v>0</v>
      </c>
      <c r="EV214" s="409">
        <v>210</v>
      </c>
      <c r="EW214" s="409">
        <v>0</v>
      </c>
      <c r="EX214" s="409">
        <v>0</v>
      </c>
      <c r="EY214" s="409">
        <v>0</v>
      </c>
      <c r="EZ214" s="409"/>
      <c r="FA214" s="409">
        <v>0</v>
      </c>
      <c r="FB214" s="409"/>
      <c r="FC214" s="409"/>
      <c r="FD214" s="409"/>
      <c r="FE214" s="409"/>
      <c r="FF214" s="409">
        <v>0</v>
      </c>
      <c r="FG214" s="409">
        <v>0</v>
      </c>
      <c r="FH214" s="409">
        <v>0</v>
      </c>
      <c r="FI214" s="409">
        <v>0</v>
      </c>
    </row>
    <row r="215" spans="1:165">
      <c r="A215" s="409">
        <v>213</v>
      </c>
      <c r="B215" s="409" t="s">
        <v>1035</v>
      </c>
      <c r="C215" s="409" t="s">
        <v>2241</v>
      </c>
      <c r="D215" s="409" t="s">
        <v>2247</v>
      </c>
      <c r="E215" s="409" t="s">
        <v>973</v>
      </c>
      <c r="F215" s="409" t="s">
        <v>2254</v>
      </c>
      <c r="G215" s="409" t="s">
        <v>2256</v>
      </c>
      <c r="H215" s="409" t="s">
        <v>1323</v>
      </c>
      <c r="I215" s="409" t="s">
        <v>1323</v>
      </c>
      <c r="J215" s="409" t="s">
        <v>2242</v>
      </c>
      <c r="K215" s="838">
        <v>44501</v>
      </c>
      <c r="L215" s="409">
        <v>0</v>
      </c>
      <c r="M215" s="409">
        <v>0</v>
      </c>
      <c r="N215" s="409">
        <v>12.904</v>
      </c>
      <c r="O215" s="409">
        <v>5.1616</v>
      </c>
      <c r="P215" s="409">
        <v>12.904</v>
      </c>
      <c r="Q215" s="409">
        <v>5.1616</v>
      </c>
      <c r="R215" s="409"/>
      <c r="S215" s="409">
        <v>358.62</v>
      </c>
      <c r="T215" s="409">
        <v>273.74</v>
      </c>
      <c r="U215" s="409"/>
      <c r="V215" s="409">
        <v>8159.9734399999998</v>
      </c>
      <c r="W215" s="409">
        <v>8159.9734399999998</v>
      </c>
      <c r="X215" s="409">
        <v>7911.95856</v>
      </c>
      <c r="Y215" s="409">
        <v>0</v>
      </c>
      <c r="Z215" s="409">
        <v>779.07141488924583</v>
      </c>
      <c r="AA215" s="409">
        <v>0</v>
      </c>
      <c r="AB215" s="409">
        <v>0</v>
      </c>
      <c r="AC215" s="409">
        <v>0</v>
      </c>
      <c r="AD215" s="409">
        <v>1110.8862323826427</v>
      </c>
      <c r="AE215" s="409">
        <v>2556.0138941312339</v>
      </c>
      <c r="AF215" s="409">
        <v>3532.331407036495</v>
      </c>
      <c r="AG215" s="409">
        <v>0</v>
      </c>
      <c r="AH215" s="409">
        <v>0</v>
      </c>
      <c r="AI215" s="409">
        <v>0</v>
      </c>
      <c r="AJ215" s="409">
        <v>0</v>
      </c>
      <c r="AK215" s="409">
        <v>0</v>
      </c>
      <c r="AL215" s="409">
        <v>120.478826249458</v>
      </c>
      <c r="AM215" s="409"/>
      <c r="AN215" s="409">
        <v>13.743939053457673</v>
      </c>
      <c r="AO215" s="409">
        <v>0</v>
      </c>
      <c r="AP215" s="409">
        <v>0</v>
      </c>
      <c r="AQ215" s="409">
        <v>0</v>
      </c>
      <c r="AR215" s="409">
        <v>0</v>
      </c>
      <c r="AS215" s="409">
        <v>0</v>
      </c>
      <c r="AT215" s="409">
        <v>0</v>
      </c>
      <c r="AU215" s="409">
        <v>0</v>
      </c>
      <c r="AV215" s="409">
        <v>0</v>
      </c>
      <c r="AW215" s="409">
        <v>0</v>
      </c>
      <c r="AX215" s="409">
        <v>0</v>
      </c>
      <c r="AY215" s="409">
        <v>0</v>
      </c>
      <c r="AZ215" s="409">
        <v>0</v>
      </c>
      <c r="BA215" s="409"/>
      <c r="BB215" s="409">
        <v>0</v>
      </c>
      <c r="BC215" s="409">
        <v>0</v>
      </c>
      <c r="BD215" s="409">
        <v>0</v>
      </c>
      <c r="BE215" s="409">
        <v>0</v>
      </c>
      <c r="BF215" s="409">
        <v>0</v>
      </c>
      <c r="BG215" s="409">
        <v>47.466412176620992</v>
      </c>
      <c r="BH215" s="409">
        <v>0</v>
      </c>
      <c r="BI215" s="409">
        <v>0</v>
      </c>
      <c r="BJ215" s="409">
        <v>0</v>
      </c>
      <c r="BK215" s="409">
        <v>0</v>
      </c>
      <c r="BL215" s="409">
        <v>0</v>
      </c>
      <c r="BM215" s="409"/>
      <c r="BN215" s="409"/>
      <c r="BO215" s="409"/>
      <c r="BP215" s="409"/>
      <c r="BQ215" s="409"/>
      <c r="BR215" s="409"/>
      <c r="BS215" s="409">
        <v>5190.2468799999997</v>
      </c>
      <c r="BT215" s="409"/>
      <c r="BU215" s="409"/>
      <c r="BV215" s="409">
        <v>3579.7978192131159</v>
      </c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09"/>
      <c r="CI215" s="409">
        <v>2720.8679999999999</v>
      </c>
      <c r="CJ215" s="409">
        <v>-86.246544000000085</v>
      </c>
      <c r="CK215" s="409"/>
      <c r="CL215" s="409"/>
      <c r="CM215" s="409"/>
      <c r="CN215" s="409"/>
      <c r="CO215" s="409">
        <v>-415.76688000000036</v>
      </c>
      <c r="CP215" s="409">
        <v>167.75200000000001</v>
      </c>
      <c r="CQ215" s="409">
        <v>30</v>
      </c>
      <c r="CR215" s="409">
        <v>158.22730253137797</v>
      </c>
      <c r="CS215" s="409">
        <v>0</v>
      </c>
      <c r="CT215" s="409">
        <v>0</v>
      </c>
      <c r="CU215" s="409">
        <v>0</v>
      </c>
      <c r="CV215" s="409">
        <v>0</v>
      </c>
      <c r="CW215" s="409">
        <v>0</v>
      </c>
      <c r="CX215" s="409">
        <v>0</v>
      </c>
      <c r="CY215" s="409">
        <v>0</v>
      </c>
      <c r="CZ215" s="409">
        <v>38.079449400909652</v>
      </c>
      <c r="DA215" s="409">
        <v>0</v>
      </c>
      <c r="DB215" s="409">
        <v>0</v>
      </c>
      <c r="DC215" s="409">
        <v>190.28570549721371</v>
      </c>
      <c r="DD215" s="409">
        <v>0</v>
      </c>
      <c r="DE215" s="409">
        <v>0</v>
      </c>
      <c r="DF215" s="409">
        <v>0</v>
      </c>
      <c r="DG215" s="409">
        <v>2.5570023555711288</v>
      </c>
      <c r="DH215" s="409">
        <v>0</v>
      </c>
      <c r="DI215" s="409">
        <v>-49.659005396022735</v>
      </c>
      <c r="DJ215" s="409"/>
      <c r="DK215" s="409">
        <v>0</v>
      </c>
      <c r="DL215" s="409">
        <v>0</v>
      </c>
      <c r="DM215" s="409">
        <v>0</v>
      </c>
      <c r="DN215" s="409">
        <v>0</v>
      </c>
      <c r="DO215" s="409">
        <v>-6.3169214393620337</v>
      </c>
      <c r="DP215" s="409">
        <v>-0.90681713359529503</v>
      </c>
      <c r="DQ215" s="409">
        <v>0</v>
      </c>
      <c r="DR215" s="409">
        <v>-15.81211075333708</v>
      </c>
      <c r="DS215" s="409"/>
      <c r="DT215" s="409"/>
      <c r="DU215" s="409"/>
      <c r="DV215" s="409">
        <v>2556.0138941312339</v>
      </c>
      <c r="DW215" s="409">
        <v>0</v>
      </c>
      <c r="DX215" s="409">
        <v>0</v>
      </c>
      <c r="DY215" s="409">
        <v>-415.76688000000013</v>
      </c>
      <c r="DZ215" s="409">
        <v>167.75199999999995</v>
      </c>
      <c r="EA215" s="409">
        <v>0</v>
      </c>
      <c r="EB215" s="409">
        <v>0</v>
      </c>
      <c r="EC215" s="409">
        <v>-406.28602978469053</v>
      </c>
      <c r="ED215" s="409">
        <v>0</v>
      </c>
      <c r="EE215" s="409">
        <v>0</v>
      </c>
      <c r="EF215" s="409">
        <v>0</v>
      </c>
      <c r="EG215" s="409">
        <v>0</v>
      </c>
      <c r="EH215" s="409">
        <v>0</v>
      </c>
      <c r="EI215" s="409">
        <v>0</v>
      </c>
      <c r="EJ215" s="409">
        <v>0</v>
      </c>
      <c r="EK215" s="409">
        <v>0</v>
      </c>
      <c r="EL215" s="409">
        <v>0</v>
      </c>
      <c r="EM215" s="409">
        <v>0</v>
      </c>
      <c r="EN215" s="409">
        <v>0</v>
      </c>
      <c r="EO215" s="409">
        <v>0</v>
      </c>
      <c r="EP215" s="409">
        <v>0</v>
      </c>
      <c r="EQ215" s="409">
        <v>0</v>
      </c>
      <c r="ER215" s="409">
        <v>0</v>
      </c>
      <c r="ES215" s="409">
        <v>0</v>
      </c>
      <c r="ET215" s="409">
        <v>0</v>
      </c>
      <c r="EU215" s="409">
        <v>0</v>
      </c>
      <c r="EV215" s="409">
        <v>210</v>
      </c>
      <c r="EW215" s="409">
        <v>0</v>
      </c>
      <c r="EX215" s="409">
        <v>0</v>
      </c>
      <c r="EY215" s="409">
        <v>0</v>
      </c>
      <c r="EZ215" s="409"/>
      <c r="FA215" s="409">
        <v>0</v>
      </c>
      <c r="FB215" s="409"/>
      <c r="FC215" s="409"/>
      <c r="FD215" s="409"/>
      <c r="FE215" s="409"/>
      <c r="FF215" s="409">
        <v>0</v>
      </c>
      <c r="FG215" s="409">
        <v>0</v>
      </c>
      <c r="FH215" s="409">
        <v>0</v>
      </c>
      <c r="FI215" s="409">
        <v>0</v>
      </c>
    </row>
    <row r="216" spans="1:165">
      <c r="A216" s="409">
        <v>214</v>
      </c>
      <c r="B216" s="409" t="s">
        <v>1035</v>
      </c>
      <c r="C216" s="409" t="s">
        <v>2241</v>
      </c>
      <c r="D216" s="409" t="s">
        <v>1989</v>
      </c>
      <c r="E216" s="409" t="s">
        <v>968</v>
      </c>
      <c r="F216" s="409" t="s">
        <v>968</v>
      </c>
      <c r="G216" s="409" t="s">
        <v>1323</v>
      </c>
      <c r="H216" s="409" t="s">
        <v>1323</v>
      </c>
      <c r="I216" s="409" t="s">
        <v>1323</v>
      </c>
      <c r="J216" s="409" t="s">
        <v>2242</v>
      </c>
      <c r="K216" s="838">
        <v>44531</v>
      </c>
      <c r="L216" s="409">
        <v>0</v>
      </c>
      <c r="M216" s="409">
        <v>0</v>
      </c>
      <c r="N216" s="409">
        <v>102.16800000000001</v>
      </c>
      <c r="O216" s="409">
        <v>102.16800000000001</v>
      </c>
      <c r="P216" s="409">
        <v>102.16800000000001</v>
      </c>
      <c r="Q216" s="409">
        <v>102.16800000000001</v>
      </c>
      <c r="R216" s="409"/>
      <c r="S216" s="409">
        <v>358.62</v>
      </c>
      <c r="T216" s="409">
        <v>273.74</v>
      </c>
      <c r="U216" s="409"/>
      <c r="V216" s="409">
        <v>64606.956480000008</v>
      </c>
      <c r="W216" s="409">
        <v>64606.956480000008</v>
      </c>
      <c r="X216" s="409">
        <v>62643.287519999998</v>
      </c>
      <c r="Y216" s="409">
        <v>0</v>
      </c>
      <c r="Z216" s="409">
        <v>6168.3329445446743</v>
      </c>
      <c r="AA216" s="409">
        <v>0</v>
      </c>
      <c r="AB216" s="409">
        <v>0</v>
      </c>
      <c r="AC216" s="409">
        <v>0</v>
      </c>
      <c r="AD216" s="409">
        <v>8795.4916762298399</v>
      </c>
      <c r="AE216" s="409">
        <v>20237.35489271543</v>
      </c>
      <c r="AF216" s="409">
        <v>27967.392683982071</v>
      </c>
      <c r="AG216" s="409">
        <v>0</v>
      </c>
      <c r="AH216" s="409">
        <v>0</v>
      </c>
      <c r="AI216" s="409">
        <v>0</v>
      </c>
      <c r="AJ216" s="409">
        <v>0</v>
      </c>
      <c r="AK216" s="409">
        <v>0</v>
      </c>
      <c r="AL216" s="409">
        <v>953.89652202841182</v>
      </c>
      <c r="AM216" s="409"/>
      <c r="AN216" s="409">
        <v>108.81825520874641</v>
      </c>
      <c r="AO216" s="409">
        <v>0</v>
      </c>
      <c r="AP216" s="409">
        <v>0</v>
      </c>
      <c r="AQ216" s="409">
        <v>0</v>
      </c>
      <c r="AR216" s="409">
        <v>0</v>
      </c>
      <c r="AS216" s="409">
        <v>0</v>
      </c>
      <c r="AT216" s="409">
        <v>0</v>
      </c>
      <c r="AU216" s="409">
        <v>0</v>
      </c>
      <c r="AV216" s="409">
        <v>0</v>
      </c>
      <c r="AW216" s="409">
        <v>0</v>
      </c>
      <c r="AX216" s="409">
        <v>0</v>
      </c>
      <c r="AY216" s="409">
        <v>0</v>
      </c>
      <c r="AZ216" s="409">
        <v>0</v>
      </c>
      <c r="BA216" s="409"/>
      <c r="BB216" s="409">
        <v>0</v>
      </c>
      <c r="BC216" s="409">
        <v>0</v>
      </c>
      <c r="BD216" s="409">
        <v>0</v>
      </c>
      <c r="BE216" s="409">
        <v>0</v>
      </c>
      <c r="BF216" s="409">
        <v>0</v>
      </c>
      <c r="BG216" s="409">
        <v>375.81745189561485</v>
      </c>
      <c r="BH216" s="409">
        <v>0</v>
      </c>
      <c r="BI216" s="409">
        <v>619.37</v>
      </c>
      <c r="BJ216" s="409">
        <v>2872.74</v>
      </c>
      <c r="BK216" s="409">
        <v>16529.509999999998</v>
      </c>
      <c r="BL216" s="409">
        <v>741</v>
      </c>
      <c r="BM216" s="409"/>
      <c r="BN216" s="409"/>
      <c r="BO216" s="409"/>
      <c r="BP216" s="409"/>
      <c r="BQ216" s="409"/>
      <c r="BR216" s="409"/>
      <c r="BS216" s="409"/>
      <c r="BT216" s="409"/>
      <c r="BU216" s="409"/>
      <c r="BV216" s="409">
        <v>28343.210135877685</v>
      </c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09"/>
      <c r="CI216" s="409">
        <v>62644.513800000001</v>
      </c>
      <c r="CJ216" s="409">
        <v>-1962.4726800000135</v>
      </c>
      <c r="CK216" s="409"/>
      <c r="CL216" s="409"/>
      <c r="CM216" s="409"/>
      <c r="CN216" s="409"/>
      <c r="CO216" s="409">
        <v>-3291.8529600000029</v>
      </c>
      <c r="CP216" s="409">
        <v>1328.1840000000002</v>
      </c>
      <c r="CQ216" s="409"/>
      <c r="CR216" s="409">
        <v>1252.7717796827201</v>
      </c>
      <c r="CS216" s="409">
        <v>0</v>
      </c>
      <c r="CT216" s="409">
        <v>0</v>
      </c>
      <c r="CU216" s="409">
        <v>0</v>
      </c>
      <c r="CV216" s="409">
        <v>0</v>
      </c>
      <c r="CW216" s="409">
        <v>0</v>
      </c>
      <c r="CX216" s="409">
        <v>0</v>
      </c>
      <c r="CY216" s="409">
        <v>0</v>
      </c>
      <c r="CZ216" s="409">
        <v>301.49575220025872</v>
      </c>
      <c r="DA216" s="409">
        <v>0</v>
      </c>
      <c r="DB216" s="409">
        <v>0</v>
      </c>
      <c r="DC216" s="409">
        <v>1506.5956261034808</v>
      </c>
      <c r="DD216" s="409">
        <v>0</v>
      </c>
      <c r="DE216" s="409">
        <v>0</v>
      </c>
      <c r="DF216" s="409">
        <v>0</v>
      </c>
      <c r="DG216" s="409">
        <v>20.245181080594477</v>
      </c>
      <c r="DH216" s="409">
        <v>0</v>
      </c>
      <c r="DI216" s="409">
        <v>-393.17740726138072</v>
      </c>
      <c r="DJ216" s="409"/>
      <c r="DK216" s="409">
        <v>0</v>
      </c>
      <c r="DL216" s="409">
        <v>0</v>
      </c>
      <c r="DM216" s="409">
        <v>0</v>
      </c>
      <c r="DN216" s="409">
        <v>0</v>
      </c>
      <c r="DO216" s="409">
        <v>-50.014509424731955</v>
      </c>
      <c r="DP216" s="409">
        <v>-7.179765414225372</v>
      </c>
      <c r="DQ216" s="409">
        <v>0</v>
      </c>
      <c r="DR216" s="409">
        <v>-125.19309760128201</v>
      </c>
      <c r="DS216" s="409"/>
      <c r="DT216" s="409"/>
      <c r="DU216" s="409"/>
      <c r="DV216" s="409">
        <v>20237.35489271543</v>
      </c>
      <c r="DW216" s="409">
        <v>0</v>
      </c>
      <c r="DX216" s="409">
        <v>0</v>
      </c>
      <c r="DY216" s="409">
        <v>-3291.8529600000038</v>
      </c>
      <c r="DZ216" s="409">
        <v>1328.1839999999975</v>
      </c>
      <c r="EA216" s="409">
        <v>0</v>
      </c>
      <c r="EB216" s="409">
        <v>0</v>
      </c>
      <c r="EC216" s="409">
        <v>-3216.7879022816378</v>
      </c>
      <c r="ED216" s="409">
        <v>0</v>
      </c>
      <c r="EE216" s="409">
        <v>0</v>
      </c>
      <c r="EF216" s="409">
        <v>0</v>
      </c>
      <c r="EG216" s="409">
        <v>0</v>
      </c>
      <c r="EH216" s="409">
        <v>0</v>
      </c>
      <c r="EI216" s="409">
        <v>0</v>
      </c>
      <c r="EJ216" s="409">
        <v>0</v>
      </c>
      <c r="EK216" s="409">
        <v>0</v>
      </c>
      <c r="EL216" s="409">
        <v>0</v>
      </c>
      <c r="EM216" s="409">
        <v>0</v>
      </c>
      <c r="EN216" s="409">
        <v>0</v>
      </c>
      <c r="EO216" s="409">
        <v>0</v>
      </c>
      <c r="EP216" s="409">
        <v>0</v>
      </c>
      <c r="EQ216" s="409">
        <v>0</v>
      </c>
      <c r="ER216" s="409">
        <v>0</v>
      </c>
      <c r="ES216" s="409">
        <v>0</v>
      </c>
      <c r="ET216" s="409">
        <v>0</v>
      </c>
      <c r="EU216" s="409">
        <v>0</v>
      </c>
      <c r="EV216" s="409">
        <v>210</v>
      </c>
      <c r="EW216" s="409">
        <v>0</v>
      </c>
      <c r="EX216" s="409">
        <v>0</v>
      </c>
      <c r="EY216" s="409">
        <v>0</v>
      </c>
      <c r="EZ216" s="409"/>
      <c r="FA216" s="409">
        <v>0</v>
      </c>
      <c r="FB216" s="409"/>
      <c r="FC216" s="409"/>
      <c r="FD216" s="409"/>
      <c r="FE216" s="409"/>
      <c r="FF216" s="409">
        <v>0</v>
      </c>
      <c r="FG216" s="409">
        <v>0</v>
      </c>
      <c r="FH216" s="409">
        <v>0</v>
      </c>
      <c r="FI216" s="409">
        <v>0</v>
      </c>
    </row>
    <row r="217" spans="1:165">
      <c r="A217" s="409">
        <v>215</v>
      </c>
      <c r="B217" s="409" t="s">
        <v>2240</v>
      </c>
      <c r="C217" s="409" t="s">
        <v>2241</v>
      </c>
      <c r="D217" s="409" t="s">
        <v>1989</v>
      </c>
      <c r="E217" s="409" t="s">
        <v>968</v>
      </c>
      <c r="F217" s="409" t="s">
        <v>968</v>
      </c>
      <c r="G217" s="409" t="s">
        <v>1323</v>
      </c>
      <c r="H217" s="409" t="s">
        <v>1323</v>
      </c>
      <c r="I217" s="409" t="s">
        <v>1323</v>
      </c>
      <c r="J217" s="409" t="s">
        <v>2242</v>
      </c>
      <c r="K217" s="838">
        <v>44531</v>
      </c>
      <c r="L217" s="409">
        <v>0</v>
      </c>
      <c r="M217" s="409">
        <v>0</v>
      </c>
      <c r="N217" s="409">
        <v>0.3</v>
      </c>
      <c r="O217" s="409">
        <v>0.3</v>
      </c>
      <c r="P217" s="409">
        <v>0.3</v>
      </c>
      <c r="Q217" s="409">
        <v>0.3</v>
      </c>
      <c r="R217" s="409"/>
      <c r="S217" s="409">
        <v>358.62</v>
      </c>
      <c r="T217" s="409">
        <v>273.74</v>
      </c>
      <c r="U217" s="409"/>
      <c r="V217" s="409">
        <v>189.708</v>
      </c>
      <c r="W217" s="409">
        <v>189.708</v>
      </c>
      <c r="X217" s="409">
        <v>183.94200000000001</v>
      </c>
      <c r="Y217" s="409">
        <v>0</v>
      </c>
      <c r="Z217" s="409">
        <v>18.11232365675556</v>
      </c>
      <c r="AA217" s="409">
        <v>0</v>
      </c>
      <c r="AB217" s="409">
        <v>0</v>
      </c>
      <c r="AC217" s="409">
        <v>0</v>
      </c>
      <c r="AD217" s="409">
        <v>25.826555309577866</v>
      </c>
      <c r="AE217" s="409">
        <v>59.423757613094395</v>
      </c>
      <c r="AF217" s="409">
        <v>82.121777906924095</v>
      </c>
      <c r="AG217" s="409">
        <v>0</v>
      </c>
      <c r="AH217" s="409">
        <v>0</v>
      </c>
      <c r="AI217" s="409">
        <v>0</v>
      </c>
      <c r="AJ217" s="409">
        <v>0</v>
      </c>
      <c r="AK217" s="409">
        <v>0</v>
      </c>
      <c r="AL217" s="409">
        <v>2.800964652420753</v>
      </c>
      <c r="AM217" s="409"/>
      <c r="AN217" s="409">
        <v>0.31952741134821</v>
      </c>
      <c r="AO217" s="409">
        <v>0</v>
      </c>
      <c r="AP217" s="409">
        <v>0</v>
      </c>
      <c r="AQ217" s="409">
        <v>0</v>
      </c>
      <c r="AR217" s="409">
        <v>0</v>
      </c>
      <c r="AS217" s="409">
        <v>0</v>
      </c>
      <c r="AT217" s="409">
        <v>0</v>
      </c>
      <c r="AU217" s="409">
        <v>0</v>
      </c>
      <c r="AV217" s="409">
        <v>0</v>
      </c>
      <c r="AW217" s="409">
        <v>0</v>
      </c>
      <c r="AX217" s="409">
        <v>0</v>
      </c>
      <c r="AY217" s="409">
        <v>0</v>
      </c>
      <c r="AZ217" s="409">
        <v>0</v>
      </c>
      <c r="BA217" s="409"/>
      <c r="BB217" s="409">
        <v>0</v>
      </c>
      <c r="BC217" s="409">
        <v>0</v>
      </c>
      <c r="BD217" s="409">
        <v>0</v>
      </c>
      <c r="BE217" s="409">
        <v>0</v>
      </c>
      <c r="BF217" s="409">
        <v>0</v>
      </c>
      <c r="BG217" s="409">
        <v>1.1035278714341521</v>
      </c>
      <c r="BH217" s="409">
        <v>0</v>
      </c>
      <c r="BI217" s="409">
        <v>1.94</v>
      </c>
      <c r="BJ217" s="409">
        <v>9.0399999999999991</v>
      </c>
      <c r="BK217" s="409">
        <v>188.23</v>
      </c>
      <c r="BL217" s="409">
        <v>4</v>
      </c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09">
        <v>83.225305778358248</v>
      </c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>
        <v>183.94200000000001</v>
      </c>
      <c r="CJ217" s="409">
        <v>-5.7959999999999923</v>
      </c>
      <c r="CK217" s="409"/>
      <c r="CL217" s="409"/>
      <c r="CM217" s="409"/>
      <c r="CN217" s="409"/>
      <c r="CO217" s="409">
        <v>-9.6660000000000075</v>
      </c>
      <c r="CP217" s="409">
        <v>3.9</v>
      </c>
      <c r="CQ217" s="409"/>
      <c r="CR217" s="409">
        <v>3.6785640700102817</v>
      </c>
      <c r="CS217" s="409">
        <v>0</v>
      </c>
      <c r="CT217" s="409">
        <v>0</v>
      </c>
      <c r="CU217" s="409">
        <v>0</v>
      </c>
      <c r="CV217" s="409">
        <v>0</v>
      </c>
      <c r="CW217" s="409">
        <v>0</v>
      </c>
      <c r="CX217" s="409">
        <v>0</v>
      </c>
      <c r="CY217" s="409">
        <v>0</v>
      </c>
      <c r="CZ217" s="409">
        <v>0.88529408092629325</v>
      </c>
      <c r="DA217" s="409">
        <v>0</v>
      </c>
      <c r="DB217" s="409">
        <v>0</v>
      </c>
      <c r="DC217" s="409">
        <v>4.4238772201770047</v>
      </c>
      <c r="DD217" s="409">
        <v>0</v>
      </c>
      <c r="DE217" s="409">
        <v>0</v>
      </c>
      <c r="DF217" s="409">
        <v>0</v>
      </c>
      <c r="DG217" s="409">
        <v>5.9446737962750795E-2</v>
      </c>
      <c r="DH217" s="409">
        <v>0</v>
      </c>
      <c r="DI217" s="409">
        <v>-1.1545026053012108</v>
      </c>
      <c r="DJ217" s="409"/>
      <c r="DK217" s="409">
        <v>0</v>
      </c>
      <c r="DL217" s="409">
        <v>0</v>
      </c>
      <c r="DM217" s="409">
        <v>0</v>
      </c>
      <c r="DN217" s="409">
        <v>0</v>
      </c>
      <c r="DO217" s="409">
        <v>-0.14685961188845376</v>
      </c>
      <c r="DP217" s="409">
        <v>-2.1082233422085317E-2</v>
      </c>
      <c r="DQ217" s="409">
        <v>0</v>
      </c>
      <c r="DR217" s="409">
        <v>-0.36760951844398049</v>
      </c>
      <c r="DS217" s="409"/>
      <c r="DT217" s="409"/>
      <c r="DU217" s="409"/>
      <c r="DV217" s="409">
        <v>59.423757613094395</v>
      </c>
      <c r="DW217" s="409">
        <v>0</v>
      </c>
      <c r="DX217" s="409">
        <v>0</v>
      </c>
      <c r="DY217" s="409">
        <v>-9.666000000000011</v>
      </c>
      <c r="DZ217" s="409">
        <v>3.9000000000000057</v>
      </c>
      <c r="EA217" s="409">
        <v>0</v>
      </c>
      <c r="EB217" s="409">
        <v>0</v>
      </c>
      <c r="EC217" s="409">
        <v>-9.4455834574865989</v>
      </c>
      <c r="ED217" s="409">
        <v>0</v>
      </c>
      <c r="EE217" s="409">
        <v>0</v>
      </c>
      <c r="EF217" s="409">
        <v>0</v>
      </c>
      <c r="EG217" s="409">
        <v>0</v>
      </c>
      <c r="EH217" s="409">
        <v>0</v>
      </c>
      <c r="EI217" s="409">
        <v>0</v>
      </c>
      <c r="EJ217" s="409">
        <v>0</v>
      </c>
      <c r="EK217" s="409">
        <v>0</v>
      </c>
      <c r="EL217" s="409">
        <v>0</v>
      </c>
      <c r="EM217" s="409">
        <v>0</v>
      </c>
      <c r="EN217" s="409">
        <v>0</v>
      </c>
      <c r="EO217" s="409">
        <v>0</v>
      </c>
      <c r="EP217" s="409">
        <v>0</v>
      </c>
      <c r="EQ217" s="409">
        <v>0</v>
      </c>
      <c r="ER217" s="409">
        <v>0</v>
      </c>
      <c r="ES217" s="409">
        <v>0</v>
      </c>
      <c r="ET217" s="409">
        <v>0</v>
      </c>
      <c r="EU217" s="409">
        <v>0</v>
      </c>
      <c r="EV217" s="409">
        <v>210</v>
      </c>
      <c r="EW217" s="409">
        <v>0</v>
      </c>
      <c r="EX217" s="409">
        <v>0</v>
      </c>
      <c r="EY217" s="409">
        <v>0</v>
      </c>
      <c r="EZ217" s="409"/>
      <c r="FA217" s="409">
        <v>0</v>
      </c>
      <c r="FB217" s="409"/>
      <c r="FC217" s="409"/>
      <c r="FD217" s="409"/>
      <c r="FE217" s="409"/>
      <c r="FF217" s="409">
        <v>0</v>
      </c>
      <c r="FG217" s="409">
        <v>0</v>
      </c>
      <c r="FH217" s="409">
        <v>0</v>
      </c>
      <c r="FI217" s="409">
        <v>0</v>
      </c>
    </row>
    <row r="218" spans="1:165">
      <c r="A218" s="409">
        <v>216</v>
      </c>
      <c r="B218" s="409" t="s">
        <v>1035</v>
      </c>
      <c r="C218" s="409" t="s">
        <v>2241</v>
      </c>
      <c r="D218" s="409" t="s">
        <v>1989</v>
      </c>
      <c r="E218" s="409" t="s">
        <v>968</v>
      </c>
      <c r="F218" s="409" t="s">
        <v>2243</v>
      </c>
      <c r="G218" s="409" t="s">
        <v>1323</v>
      </c>
      <c r="H218" s="409" t="s">
        <v>1323</v>
      </c>
      <c r="I218" s="409" t="s">
        <v>1323</v>
      </c>
      <c r="J218" s="409" t="s">
        <v>2242</v>
      </c>
      <c r="K218" s="838">
        <v>44531</v>
      </c>
      <c r="L218" s="409">
        <v>0</v>
      </c>
      <c r="M218" s="409">
        <v>0</v>
      </c>
      <c r="N218" s="409">
        <v>0.3</v>
      </c>
      <c r="O218" s="409">
        <v>0.3</v>
      </c>
      <c r="P218" s="409">
        <v>0.3</v>
      </c>
      <c r="Q218" s="409">
        <v>0.3</v>
      </c>
      <c r="R218" s="409"/>
      <c r="S218" s="409">
        <v>288.91000000000003</v>
      </c>
      <c r="T218" s="409">
        <v>273.74</v>
      </c>
      <c r="U218" s="409"/>
      <c r="V218" s="409">
        <v>168.79500000000002</v>
      </c>
      <c r="W218" s="409">
        <v>168.79500000000002</v>
      </c>
      <c r="X218" s="409">
        <v>164.298</v>
      </c>
      <c r="Y218" s="409">
        <v>0</v>
      </c>
      <c r="Z218" s="409">
        <v>0</v>
      </c>
      <c r="AA218" s="409">
        <v>0</v>
      </c>
      <c r="AB218" s="409">
        <v>0</v>
      </c>
      <c r="AC218" s="409">
        <v>0</v>
      </c>
      <c r="AD218" s="409">
        <v>25.826555309577866</v>
      </c>
      <c r="AE218" s="409">
        <v>59.423757613094395</v>
      </c>
      <c r="AF218" s="409">
        <v>82.121777906924095</v>
      </c>
      <c r="AG218" s="409">
        <v>0</v>
      </c>
      <c r="AH218" s="409">
        <v>0</v>
      </c>
      <c r="AI218" s="409">
        <v>0</v>
      </c>
      <c r="AJ218" s="409">
        <v>0</v>
      </c>
      <c r="AK218" s="409">
        <v>0</v>
      </c>
      <c r="AL218" s="409">
        <v>0</v>
      </c>
      <c r="AM218" s="409"/>
      <c r="AN218" s="409">
        <v>0.31952741134821</v>
      </c>
      <c r="AO218" s="409">
        <v>0</v>
      </c>
      <c r="AP218" s="409">
        <v>0</v>
      </c>
      <c r="AQ218" s="409">
        <v>0</v>
      </c>
      <c r="AR218" s="409">
        <v>0</v>
      </c>
      <c r="AS218" s="409">
        <v>0</v>
      </c>
      <c r="AT218" s="409">
        <v>0</v>
      </c>
      <c r="AU218" s="409">
        <v>0</v>
      </c>
      <c r="AV218" s="409">
        <v>0</v>
      </c>
      <c r="AW218" s="409">
        <v>0</v>
      </c>
      <c r="AX218" s="409">
        <v>0</v>
      </c>
      <c r="AY218" s="409">
        <v>0</v>
      </c>
      <c r="AZ218" s="409">
        <v>0</v>
      </c>
      <c r="BA218" s="409"/>
      <c r="BB218" s="409">
        <v>0</v>
      </c>
      <c r="BC218" s="409">
        <v>0</v>
      </c>
      <c r="BD218" s="409">
        <v>0</v>
      </c>
      <c r="BE218" s="409">
        <v>0</v>
      </c>
      <c r="BF218" s="409">
        <v>0</v>
      </c>
      <c r="BG218" s="409">
        <v>1.1035278714341521</v>
      </c>
      <c r="BH218" s="409">
        <v>0</v>
      </c>
      <c r="BI218" s="409">
        <v>0.45</v>
      </c>
      <c r="BJ218" s="409">
        <v>2.17</v>
      </c>
      <c r="BK218" s="409">
        <v>13.29</v>
      </c>
      <c r="BL218" s="409">
        <v>0</v>
      </c>
      <c r="BM218" s="409"/>
      <c r="BN218" s="409"/>
      <c r="BO218" s="409"/>
      <c r="BP218" s="409"/>
      <c r="BQ218" s="409"/>
      <c r="BR218" s="409"/>
      <c r="BS218" s="409"/>
      <c r="BT218" s="409">
        <v>106.794</v>
      </c>
      <c r="BU218" s="409"/>
      <c r="BV218" s="409">
        <v>83.225305778358248</v>
      </c>
      <c r="BW218" s="409"/>
      <c r="BX218" s="409"/>
      <c r="BY218" s="409"/>
      <c r="BZ218" s="409"/>
      <c r="CA218" s="409"/>
      <c r="CB218" s="409"/>
      <c r="CC218" s="409"/>
      <c r="CD218" s="409"/>
      <c r="CE218" s="409"/>
      <c r="CF218" s="409"/>
      <c r="CG218" s="409"/>
      <c r="CH218" s="409"/>
      <c r="CI218" s="409">
        <v>57.503999999999991</v>
      </c>
      <c r="CJ218" s="409">
        <v>-1.6050000000000111</v>
      </c>
      <c r="CK218" s="409"/>
      <c r="CL218" s="409"/>
      <c r="CM218" s="409"/>
      <c r="CN218" s="409"/>
      <c r="CO218" s="409">
        <v>-8.397000000000002</v>
      </c>
      <c r="CP218" s="409">
        <v>3.9</v>
      </c>
      <c r="CQ218" s="409"/>
      <c r="CR218" s="409">
        <v>4.9497422794861308</v>
      </c>
      <c r="CS218" s="409">
        <v>0</v>
      </c>
      <c r="CT218" s="409">
        <v>0</v>
      </c>
      <c r="CU218" s="409">
        <v>0</v>
      </c>
      <c r="CV218" s="409">
        <v>0</v>
      </c>
      <c r="CW218" s="409">
        <v>0</v>
      </c>
      <c r="CX218" s="409">
        <v>0</v>
      </c>
      <c r="CY218" s="409">
        <v>0</v>
      </c>
      <c r="CZ218" s="409">
        <v>0.88529408092629325</v>
      </c>
      <c r="DA218" s="409">
        <v>0</v>
      </c>
      <c r="DB218" s="409">
        <v>0</v>
      </c>
      <c r="DC218" s="409">
        <v>4.4238772201770047</v>
      </c>
      <c r="DD218" s="409">
        <v>0</v>
      </c>
      <c r="DE218" s="409">
        <v>0</v>
      </c>
      <c r="DF218" s="409">
        <v>0</v>
      </c>
      <c r="DG218" s="409">
        <v>5.9446737962750795E-2</v>
      </c>
      <c r="DH218" s="409">
        <v>0</v>
      </c>
      <c r="DI218" s="409">
        <v>0</v>
      </c>
      <c r="DJ218" s="409"/>
      <c r="DK218" s="409">
        <v>0</v>
      </c>
      <c r="DL218" s="409">
        <v>0</v>
      </c>
      <c r="DM218" s="409">
        <v>0</v>
      </c>
      <c r="DN218" s="409">
        <v>0</v>
      </c>
      <c r="DO218" s="409">
        <v>0</v>
      </c>
      <c r="DP218" s="409">
        <v>-2.1082233422085317E-2</v>
      </c>
      <c r="DQ218" s="409">
        <v>0</v>
      </c>
      <c r="DR218" s="409">
        <v>-0.39779352615783092</v>
      </c>
      <c r="DS218" s="409"/>
      <c r="DT218" s="409"/>
      <c r="DU218" s="409"/>
      <c r="DV218" s="409">
        <v>59.423757613094395</v>
      </c>
      <c r="DW218" s="409">
        <v>0</v>
      </c>
      <c r="DX218" s="409">
        <v>0</v>
      </c>
      <c r="DY218" s="409">
        <v>-8.3970000000000056</v>
      </c>
      <c r="DZ218" s="409">
        <v>3.9000000000000057</v>
      </c>
      <c r="EA218" s="409">
        <v>0</v>
      </c>
      <c r="EB218" s="409">
        <v>0</v>
      </c>
      <c r="EC218" s="409">
        <v>-9.4455834574865989</v>
      </c>
      <c r="ED218" s="409">
        <v>0</v>
      </c>
      <c r="EE218" s="409">
        <v>0</v>
      </c>
      <c r="EF218" s="409">
        <v>0</v>
      </c>
      <c r="EG218" s="409">
        <v>0</v>
      </c>
      <c r="EH218" s="409">
        <v>0</v>
      </c>
      <c r="EI218" s="409">
        <v>0</v>
      </c>
      <c r="EJ218" s="409">
        <v>0</v>
      </c>
      <c r="EK218" s="409">
        <v>0</v>
      </c>
      <c r="EL218" s="409">
        <v>0</v>
      </c>
      <c r="EM218" s="409">
        <v>0</v>
      </c>
      <c r="EN218" s="409">
        <v>0</v>
      </c>
      <c r="EO218" s="409">
        <v>0</v>
      </c>
      <c r="EP218" s="409">
        <v>0</v>
      </c>
      <c r="EQ218" s="409">
        <v>0</v>
      </c>
      <c r="ER218" s="409">
        <v>0</v>
      </c>
      <c r="ES218" s="409">
        <v>0</v>
      </c>
      <c r="ET218" s="409">
        <v>0</v>
      </c>
      <c r="EU218" s="409">
        <v>0</v>
      </c>
      <c r="EV218" s="409">
        <v>210</v>
      </c>
      <c r="EW218" s="409">
        <v>0</v>
      </c>
      <c r="EX218" s="409">
        <v>0</v>
      </c>
      <c r="EY218" s="409">
        <v>0</v>
      </c>
      <c r="EZ218" s="409"/>
      <c r="FA218" s="409">
        <v>0</v>
      </c>
      <c r="FB218" s="409"/>
      <c r="FC218" s="409"/>
      <c r="FD218" s="409"/>
      <c r="FE218" s="409"/>
      <c r="FF218" s="409">
        <v>0</v>
      </c>
      <c r="FG218" s="409">
        <v>0</v>
      </c>
      <c r="FH218" s="409">
        <v>0</v>
      </c>
      <c r="FI218" s="409">
        <v>0</v>
      </c>
    </row>
    <row r="219" spans="1:165">
      <c r="A219" s="409">
        <v>217</v>
      </c>
      <c r="B219" s="409" t="s">
        <v>1035</v>
      </c>
      <c r="C219" s="409" t="s">
        <v>2241</v>
      </c>
      <c r="D219" s="409" t="s">
        <v>1989</v>
      </c>
      <c r="E219" s="409" t="s">
        <v>968</v>
      </c>
      <c r="F219" s="409" t="s">
        <v>2244</v>
      </c>
      <c r="G219" s="409" t="s">
        <v>1323</v>
      </c>
      <c r="H219" s="409" t="s">
        <v>1323</v>
      </c>
      <c r="I219" s="409" t="s">
        <v>1323</v>
      </c>
      <c r="J219" s="409" t="s">
        <v>2242</v>
      </c>
      <c r="K219" s="838">
        <v>44531</v>
      </c>
      <c r="L219" s="409">
        <v>0</v>
      </c>
      <c r="M219" s="409">
        <v>0</v>
      </c>
      <c r="N219" s="409">
        <v>0.63600000000000001</v>
      </c>
      <c r="O219" s="409">
        <v>0.63600000000000001</v>
      </c>
      <c r="P219" s="409">
        <v>0.63600000000000001</v>
      </c>
      <c r="Q219" s="409">
        <v>0.63600000000000001</v>
      </c>
      <c r="R219" s="409"/>
      <c r="S219" s="409">
        <v>288.91000000000003</v>
      </c>
      <c r="T219" s="409">
        <v>273.74</v>
      </c>
      <c r="U219" s="409"/>
      <c r="V219" s="409">
        <v>357.84540000000004</v>
      </c>
      <c r="W219" s="409">
        <v>357.84540000000004</v>
      </c>
      <c r="X219" s="409">
        <v>348.31176000000005</v>
      </c>
      <c r="Y219" s="409">
        <v>0</v>
      </c>
      <c r="Z219" s="409">
        <v>0</v>
      </c>
      <c r="AA219" s="409">
        <v>0</v>
      </c>
      <c r="AB219" s="409">
        <v>0</v>
      </c>
      <c r="AC219" s="409">
        <v>0</v>
      </c>
      <c r="AD219" s="409">
        <v>54.752297256305084</v>
      </c>
      <c r="AE219" s="409">
        <v>125.97836613976013</v>
      </c>
      <c r="AF219" s="409">
        <v>174.09816916267908</v>
      </c>
      <c r="AG219" s="409">
        <v>0</v>
      </c>
      <c r="AH219" s="409">
        <v>0</v>
      </c>
      <c r="AI219" s="409">
        <v>0</v>
      </c>
      <c r="AJ219" s="409">
        <v>0</v>
      </c>
      <c r="AK219" s="409">
        <v>0</v>
      </c>
      <c r="AL219" s="409">
        <v>0</v>
      </c>
      <c r="AM219" s="409"/>
      <c r="AN219" s="409">
        <v>0.67739811205820522</v>
      </c>
      <c r="AO219" s="409">
        <v>0</v>
      </c>
      <c r="AP219" s="409">
        <v>0</v>
      </c>
      <c r="AQ219" s="409">
        <v>0</v>
      </c>
      <c r="AR219" s="409">
        <v>0</v>
      </c>
      <c r="AS219" s="409">
        <v>0</v>
      </c>
      <c r="AT219" s="409">
        <v>0</v>
      </c>
      <c r="AU219" s="409">
        <v>0</v>
      </c>
      <c r="AV219" s="409">
        <v>0</v>
      </c>
      <c r="AW219" s="409">
        <v>0</v>
      </c>
      <c r="AX219" s="409">
        <v>0</v>
      </c>
      <c r="AY219" s="409">
        <v>0</v>
      </c>
      <c r="AZ219" s="409">
        <v>0</v>
      </c>
      <c r="BA219" s="409"/>
      <c r="BB219" s="409">
        <v>0</v>
      </c>
      <c r="BC219" s="409">
        <v>0</v>
      </c>
      <c r="BD219" s="409">
        <v>0</v>
      </c>
      <c r="BE219" s="409">
        <v>0</v>
      </c>
      <c r="BF219" s="409">
        <v>0</v>
      </c>
      <c r="BG219" s="409">
        <v>2.3394790874404023</v>
      </c>
      <c r="BH219" s="409">
        <v>0</v>
      </c>
      <c r="BI219" s="409">
        <v>1.77</v>
      </c>
      <c r="BJ219" s="409">
        <v>8.2200000000000006</v>
      </c>
      <c r="BK219" s="409">
        <v>53.38</v>
      </c>
      <c r="BL219" s="409">
        <v>1</v>
      </c>
      <c r="BM219" s="409"/>
      <c r="BN219" s="409"/>
      <c r="BO219" s="409"/>
      <c r="BP219" s="409"/>
      <c r="BQ219" s="409"/>
      <c r="BR219" s="409"/>
      <c r="BS219" s="409"/>
      <c r="BT219" s="409">
        <v>139.32216</v>
      </c>
      <c r="BU219" s="409"/>
      <c r="BV219" s="409">
        <v>176.43764825011948</v>
      </c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I219" s="409">
        <v>210.30400000000003</v>
      </c>
      <c r="CJ219" s="409">
        <v>-4.4332399999999552</v>
      </c>
      <c r="CK219" s="409"/>
      <c r="CL219" s="409"/>
      <c r="CM219" s="409"/>
      <c r="CN219" s="409"/>
      <c r="CO219" s="409">
        <v>-17.801640000000006</v>
      </c>
      <c r="CP219" s="409">
        <v>8.2680000000000007</v>
      </c>
      <c r="CQ219" s="409"/>
      <c r="CR219" s="409">
        <v>10.493453632510608</v>
      </c>
      <c r="CS219" s="409">
        <v>0</v>
      </c>
      <c r="CT219" s="409">
        <v>0</v>
      </c>
      <c r="CU219" s="409">
        <v>0</v>
      </c>
      <c r="CV219" s="409">
        <v>0</v>
      </c>
      <c r="CW219" s="409">
        <v>0</v>
      </c>
      <c r="CX219" s="409">
        <v>0</v>
      </c>
      <c r="CY219" s="409">
        <v>0</v>
      </c>
      <c r="CZ219" s="409">
        <v>1.8768234515637374</v>
      </c>
      <c r="DA219" s="409">
        <v>0</v>
      </c>
      <c r="DB219" s="409">
        <v>0</v>
      </c>
      <c r="DC219" s="409">
        <v>9.3786197067752539</v>
      </c>
      <c r="DD219" s="409">
        <v>0</v>
      </c>
      <c r="DE219" s="409">
        <v>0</v>
      </c>
      <c r="DF219" s="409">
        <v>0</v>
      </c>
      <c r="DG219" s="409">
        <v>0.12602708448103206</v>
      </c>
      <c r="DH219" s="409">
        <v>0</v>
      </c>
      <c r="DI219" s="409">
        <v>0</v>
      </c>
      <c r="DJ219" s="409"/>
      <c r="DK219" s="409">
        <v>0</v>
      </c>
      <c r="DL219" s="409">
        <v>0</v>
      </c>
      <c r="DM219" s="409">
        <v>0</v>
      </c>
      <c r="DN219" s="409">
        <v>0</v>
      </c>
      <c r="DO219" s="409">
        <v>0</v>
      </c>
      <c r="DP219" s="409">
        <v>-4.4694334854820883E-2</v>
      </c>
      <c r="DQ219" s="409">
        <v>0</v>
      </c>
      <c r="DR219" s="409">
        <v>-0.84332227545460148</v>
      </c>
      <c r="DS219" s="409"/>
      <c r="DT219" s="409"/>
      <c r="DU219" s="409"/>
      <c r="DV219" s="409">
        <v>125.97836613976013</v>
      </c>
      <c r="DW219" s="409">
        <v>0</v>
      </c>
      <c r="DX219" s="409">
        <v>0</v>
      </c>
      <c r="DY219" s="409">
        <v>-17.80164000000002</v>
      </c>
      <c r="DZ219" s="409">
        <v>8.2680000000000007</v>
      </c>
      <c r="EA219" s="409">
        <v>0</v>
      </c>
      <c r="EB219" s="409">
        <v>0</v>
      </c>
      <c r="EC219" s="409">
        <v>-20.02463692987159</v>
      </c>
      <c r="ED219" s="409">
        <v>0</v>
      </c>
      <c r="EE219" s="409">
        <v>0</v>
      </c>
      <c r="EF219" s="409">
        <v>0</v>
      </c>
      <c r="EG219" s="409">
        <v>0</v>
      </c>
      <c r="EH219" s="409">
        <v>0</v>
      </c>
      <c r="EI219" s="409">
        <v>0</v>
      </c>
      <c r="EJ219" s="409">
        <v>0</v>
      </c>
      <c r="EK219" s="409">
        <v>0</v>
      </c>
      <c r="EL219" s="409">
        <v>0</v>
      </c>
      <c r="EM219" s="409">
        <v>0</v>
      </c>
      <c r="EN219" s="409">
        <v>0</v>
      </c>
      <c r="EO219" s="409">
        <v>0</v>
      </c>
      <c r="EP219" s="409">
        <v>0</v>
      </c>
      <c r="EQ219" s="409">
        <v>0</v>
      </c>
      <c r="ER219" s="409">
        <v>0</v>
      </c>
      <c r="ES219" s="409">
        <v>0</v>
      </c>
      <c r="ET219" s="409">
        <v>0</v>
      </c>
      <c r="EU219" s="409">
        <v>0</v>
      </c>
      <c r="EV219" s="409">
        <v>210</v>
      </c>
      <c r="EW219" s="409">
        <v>0</v>
      </c>
      <c r="EX219" s="409">
        <v>0</v>
      </c>
      <c r="EY219" s="409">
        <v>0</v>
      </c>
      <c r="EZ219" s="409"/>
      <c r="FA219" s="409">
        <v>0</v>
      </c>
      <c r="FB219" s="409"/>
      <c r="FC219" s="409"/>
      <c r="FD219" s="409"/>
      <c r="FE219" s="409"/>
      <c r="FF219" s="409">
        <v>0</v>
      </c>
      <c r="FG219" s="409">
        <v>0</v>
      </c>
      <c r="FH219" s="409">
        <v>0</v>
      </c>
      <c r="FI219" s="409">
        <v>0</v>
      </c>
    </row>
    <row r="220" spans="1:165">
      <c r="A220" s="409">
        <v>218</v>
      </c>
      <c r="B220" s="409" t="s">
        <v>1035</v>
      </c>
      <c r="C220" s="409" t="s">
        <v>2241</v>
      </c>
      <c r="D220" s="409" t="s">
        <v>1989</v>
      </c>
      <c r="E220" s="409" t="s">
        <v>968</v>
      </c>
      <c r="F220" s="409" t="s">
        <v>2245</v>
      </c>
      <c r="G220" s="409" t="s">
        <v>1323</v>
      </c>
      <c r="H220" s="409" t="s">
        <v>1323</v>
      </c>
      <c r="I220" s="409" t="s">
        <v>1323</v>
      </c>
      <c r="J220" s="409" t="s">
        <v>2242</v>
      </c>
      <c r="K220" s="838">
        <v>44531</v>
      </c>
      <c r="L220" s="409">
        <v>0</v>
      </c>
      <c r="M220" s="409">
        <v>0</v>
      </c>
      <c r="N220" s="409">
        <v>0.80800000000000005</v>
      </c>
      <c r="O220" s="409">
        <v>0.80800000000000005</v>
      </c>
      <c r="P220" s="409">
        <v>0.80800000000000005</v>
      </c>
      <c r="Q220" s="409">
        <v>0.80800000000000005</v>
      </c>
      <c r="R220" s="409"/>
      <c r="S220" s="409">
        <v>288.91000000000003</v>
      </c>
      <c r="T220" s="409">
        <v>273.74</v>
      </c>
      <c r="U220" s="409"/>
      <c r="V220" s="409">
        <v>454.62120000000004</v>
      </c>
      <c r="W220" s="409">
        <v>454.62120000000004</v>
      </c>
      <c r="X220" s="409">
        <v>442.50928000000005</v>
      </c>
      <c r="Y220" s="409">
        <v>0</v>
      </c>
      <c r="Z220" s="409">
        <v>0</v>
      </c>
      <c r="AA220" s="409">
        <v>0</v>
      </c>
      <c r="AB220" s="409">
        <v>0</v>
      </c>
      <c r="AC220" s="409">
        <v>0</v>
      </c>
      <c r="AD220" s="409">
        <v>69.559522300463058</v>
      </c>
      <c r="AE220" s="409">
        <v>160.04798717126758</v>
      </c>
      <c r="AF220" s="409">
        <v>221.18132182931558</v>
      </c>
      <c r="AG220" s="409">
        <v>0</v>
      </c>
      <c r="AH220" s="409">
        <v>0</v>
      </c>
      <c r="AI220" s="409">
        <v>0</v>
      </c>
      <c r="AJ220" s="409">
        <v>0</v>
      </c>
      <c r="AK220" s="409">
        <v>0</v>
      </c>
      <c r="AL220" s="409">
        <v>0</v>
      </c>
      <c r="AM220" s="409"/>
      <c r="AN220" s="409">
        <v>0.86059382789784566</v>
      </c>
      <c r="AO220" s="409">
        <v>0</v>
      </c>
      <c r="AP220" s="409">
        <v>0</v>
      </c>
      <c r="AQ220" s="409">
        <v>0</v>
      </c>
      <c r="AR220" s="409">
        <v>0</v>
      </c>
      <c r="AS220" s="409">
        <v>0</v>
      </c>
      <c r="AT220" s="409">
        <v>0</v>
      </c>
      <c r="AU220" s="409">
        <v>0</v>
      </c>
      <c r="AV220" s="409">
        <v>0</v>
      </c>
      <c r="AW220" s="409">
        <v>0</v>
      </c>
      <c r="AX220" s="409">
        <v>0</v>
      </c>
      <c r="AY220" s="409">
        <v>0</v>
      </c>
      <c r="AZ220" s="409">
        <v>0</v>
      </c>
      <c r="BA220" s="409"/>
      <c r="BB220" s="409">
        <v>0</v>
      </c>
      <c r="BC220" s="409">
        <v>0</v>
      </c>
      <c r="BD220" s="409">
        <v>0</v>
      </c>
      <c r="BE220" s="409">
        <v>0</v>
      </c>
      <c r="BF220" s="409">
        <v>0</v>
      </c>
      <c r="BG220" s="409">
        <v>2.972168400395983</v>
      </c>
      <c r="BH220" s="409">
        <v>0</v>
      </c>
      <c r="BI220" s="409">
        <v>3.55</v>
      </c>
      <c r="BJ220" s="409">
        <v>16.52</v>
      </c>
      <c r="BK220" s="409">
        <v>117.97</v>
      </c>
      <c r="BL220" s="409">
        <v>6</v>
      </c>
      <c r="BM220" s="409"/>
      <c r="BN220" s="409"/>
      <c r="BO220" s="409"/>
      <c r="BP220" s="409"/>
      <c r="BQ220" s="409"/>
      <c r="BR220" s="409"/>
      <c r="BS220" s="409"/>
      <c r="BT220" s="409">
        <v>44.246080000000021</v>
      </c>
      <c r="BU220" s="409"/>
      <c r="BV220" s="409">
        <v>224.15349022971157</v>
      </c>
      <c r="BW220" s="409"/>
      <c r="BX220" s="409"/>
      <c r="BY220" s="409"/>
      <c r="BZ220" s="409"/>
      <c r="CA220" s="409"/>
      <c r="CB220" s="409"/>
      <c r="CC220" s="409"/>
      <c r="CD220" s="409"/>
      <c r="CE220" s="409"/>
      <c r="CF220" s="409"/>
      <c r="CG220" s="409"/>
      <c r="CH220" s="409"/>
      <c r="CI220" s="409">
        <v>399.24900000000002</v>
      </c>
      <c r="CJ220" s="409">
        <v>-9.9441199999999981</v>
      </c>
      <c r="CK220" s="409"/>
      <c r="CL220" s="409"/>
      <c r="CM220" s="409"/>
      <c r="CN220" s="409"/>
      <c r="CO220" s="409">
        <v>-22.61592000000001</v>
      </c>
      <c r="CP220" s="409">
        <v>10.504000000000001</v>
      </c>
      <c r="CQ220" s="409"/>
      <c r="CR220" s="409">
        <v>13.33130587274934</v>
      </c>
      <c r="CS220" s="409">
        <v>0</v>
      </c>
      <c r="CT220" s="409">
        <v>0</v>
      </c>
      <c r="CU220" s="409">
        <v>0</v>
      </c>
      <c r="CV220" s="409">
        <v>0</v>
      </c>
      <c r="CW220" s="409">
        <v>0</v>
      </c>
      <c r="CX220" s="409">
        <v>0</v>
      </c>
      <c r="CY220" s="409">
        <v>0</v>
      </c>
      <c r="CZ220" s="409">
        <v>2.3843920579614917</v>
      </c>
      <c r="DA220" s="409">
        <v>0</v>
      </c>
      <c r="DB220" s="409">
        <v>0</v>
      </c>
      <c r="DC220" s="409">
        <v>11.91497597967674</v>
      </c>
      <c r="DD220" s="409">
        <v>0</v>
      </c>
      <c r="DE220" s="409">
        <v>0</v>
      </c>
      <c r="DF220" s="409">
        <v>0</v>
      </c>
      <c r="DG220" s="409">
        <v>0.16010988091300948</v>
      </c>
      <c r="DH220" s="409">
        <v>0</v>
      </c>
      <c r="DI220" s="409">
        <v>0</v>
      </c>
      <c r="DJ220" s="409"/>
      <c r="DK220" s="409">
        <v>0</v>
      </c>
      <c r="DL220" s="409">
        <v>0</v>
      </c>
      <c r="DM220" s="409">
        <v>0</v>
      </c>
      <c r="DN220" s="409">
        <v>0</v>
      </c>
      <c r="DO220" s="409">
        <v>0</v>
      </c>
      <c r="DP220" s="409">
        <v>-5.6781482016816431E-2</v>
      </c>
      <c r="DQ220" s="409">
        <v>0</v>
      </c>
      <c r="DR220" s="409">
        <v>-1.0713905637850911</v>
      </c>
      <c r="DS220" s="409"/>
      <c r="DT220" s="409"/>
      <c r="DU220" s="409"/>
      <c r="DV220" s="409">
        <v>160.04798717126758</v>
      </c>
      <c r="DW220" s="409">
        <v>0</v>
      </c>
      <c r="DX220" s="409">
        <v>0</v>
      </c>
      <c r="DY220" s="409">
        <v>-22.615919999999988</v>
      </c>
      <c r="DZ220" s="409">
        <v>10.503999999999991</v>
      </c>
      <c r="EA220" s="409">
        <v>0</v>
      </c>
      <c r="EB220" s="409">
        <v>0</v>
      </c>
      <c r="EC220" s="409">
        <v>-25.440104778830573</v>
      </c>
      <c r="ED220" s="409">
        <v>0</v>
      </c>
      <c r="EE220" s="409">
        <v>0</v>
      </c>
      <c r="EF220" s="409">
        <v>0</v>
      </c>
      <c r="EG220" s="409">
        <v>0</v>
      </c>
      <c r="EH220" s="409">
        <v>0</v>
      </c>
      <c r="EI220" s="409">
        <v>0</v>
      </c>
      <c r="EJ220" s="409">
        <v>0</v>
      </c>
      <c r="EK220" s="409">
        <v>0</v>
      </c>
      <c r="EL220" s="409">
        <v>0</v>
      </c>
      <c r="EM220" s="409">
        <v>0</v>
      </c>
      <c r="EN220" s="409">
        <v>0</v>
      </c>
      <c r="EO220" s="409">
        <v>0</v>
      </c>
      <c r="EP220" s="409">
        <v>0</v>
      </c>
      <c r="EQ220" s="409">
        <v>0</v>
      </c>
      <c r="ER220" s="409">
        <v>0</v>
      </c>
      <c r="ES220" s="409">
        <v>0</v>
      </c>
      <c r="ET220" s="409">
        <v>0</v>
      </c>
      <c r="EU220" s="409">
        <v>0</v>
      </c>
      <c r="EV220" s="409">
        <v>210</v>
      </c>
      <c r="EW220" s="409">
        <v>0</v>
      </c>
      <c r="EX220" s="409">
        <v>0</v>
      </c>
      <c r="EY220" s="409">
        <v>0</v>
      </c>
      <c r="EZ220" s="409"/>
      <c r="FA220" s="409">
        <v>0</v>
      </c>
      <c r="FB220" s="409"/>
      <c r="FC220" s="409"/>
      <c r="FD220" s="409"/>
      <c r="FE220" s="409"/>
      <c r="FF220" s="409">
        <v>0</v>
      </c>
      <c r="FG220" s="409">
        <v>0</v>
      </c>
      <c r="FH220" s="409">
        <v>0</v>
      </c>
      <c r="FI220" s="409">
        <v>0</v>
      </c>
    </row>
    <row r="221" spans="1:165">
      <c r="A221" s="409">
        <v>219</v>
      </c>
      <c r="B221" s="409" t="s">
        <v>1035</v>
      </c>
      <c r="C221" s="409" t="s">
        <v>2241</v>
      </c>
      <c r="D221" s="409" t="s">
        <v>1989</v>
      </c>
      <c r="E221" s="409" t="s">
        <v>968</v>
      </c>
      <c r="F221" s="409" t="s">
        <v>2258</v>
      </c>
      <c r="G221" s="409" t="s">
        <v>1323</v>
      </c>
      <c r="H221" s="409" t="s">
        <v>1323</v>
      </c>
      <c r="I221" s="409" t="s">
        <v>1323</v>
      </c>
      <c r="J221" s="409" t="s">
        <v>2242</v>
      </c>
      <c r="K221" s="838">
        <v>44531</v>
      </c>
      <c r="L221" s="409">
        <v>0</v>
      </c>
      <c r="M221" s="409">
        <v>0</v>
      </c>
      <c r="N221" s="409">
        <v>0.114</v>
      </c>
      <c r="O221" s="409">
        <v>0.114</v>
      </c>
      <c r="P221" s="409">
        <v>0.114</v>
      </c>
      <c r="Q221" s="409">
        <v>0.114</v>
      </c>
      <c r="R221" s="409"/>
      <c r="S221" s="409">
        <v>288.91000000000003</v>
      </c>
      <c r="T221" s="409">
        <v>273.74</v>
      </c>
      <c r="U221" s="409"/>
      <c r="V221" s="409">
        <v>64.142099999999999</v>
      </c>
      <c r="W221" s="409">
        <v>64.142099999999999</v>
      </c>
      <c r="X221" s="409">
        <v>62.433240000000005</v>
      </c>
      <c r="Y221" s="409">
        <v>0</v>
      </c>
      <c r="Z221" s="409">
        <v>0</v>
      </c>
      <c r="AA221" s="409">
        <v>0</v>
      </c>
      <c r="AB221" s="409">
        <v>0</v>
      </c>
      <c r="AC221" s="409">
        <v>0</v>
      </c>
      <c r="AD221" s="409">
        <v>9.8140910176395906</v>
      </c>
      <c r="AE221" s="409">
        <v>22.581027892975872</v>
      </c>
      <c r="AF221" s="409">
        <v>31.206275604631156</v>
      </c>
      <c r="AG221" s="409">
        <v>0</v>
      </c>
      <c r="AH221" s="409">
        <v>0</v>
      </c>
      <c r="AI221" s="409">
        <v>0</v>
      </c>
      <c r="AJ221" s="409">
        <v>0</v>
      </c>
      <c r="AK221" s="409">
        <v>0</v>
      </c>
      <c r="AL221" s="409">
        <v>0</v>
      </c>
      <c r="AM221" s="409"/>
      <c r="AN221" s="409">
        <v>0.1214204163123198</v>
      </c>
      <c r="AO221" s="409">
        <v>0</v>
      </c>
      <c r="AP221" s="409">
        <v>0</v>
      </c>
      <c r="AQ221" s="409">
        <v>0</v>
      </c>
      <c r="AR221" s="409">
        <v>0</v>
      </c>
      <c r="AS221" s="409">
        <v>0</v>
      </c>
      <c r="AT221" s="409">
        <v>0</v>
      </c>
      <c r="AU221" s="409">
        <v>0</v>
      </c>
      <c r="AV221" s="409">
        <v>0</v>
      </c>
      <c r="AW221" s="409">
        <v>0</v>
      </c>
      <c r="AX221" s="409">
        <v>0</v>
      </c>
      <c r="AY221" s="409">
        <v>0</v>
      </c>
      <c r="AZ221" s="409">
        <v>0</v>
      </c>
      <c r="BA221" s="409"/>
      <c r="BB221" s="409">
        <v>0</v>
      </c>
      <c r="BC221" s="409">
        <v>0</v>
      </c>
      <c r="BD221" s="409">
        <v>0</v>
      </c>
      <c r="BE221" s="409">
        <v>0</v>
      </c>
      <c r="BF221" s="409">
        <v>0</v>
      </c>
      <c r="BG221" s="409">
        <v>0.41934059114497779</v>
      </c>
      <c r="BH221" s="409">
        <v>0</v>
      </c>
      <c r="BI221" s="409">
        <v>0.69</v>
      </c>
      <c r="BJ221" s="409">
        <v>3.16</v>
      </c>
      <c r="BK221" s="409">
        <v>26.32</v>
      </c>
      <c r="BL221" s="409">
        <v>3</v>
      </c>
      <c r="BM221" s="409"/>
      <c r="BN221" s="409"/>
      <c r="BO221" s="409"/>
      <c r="BP221" s="409"/>
      <c r="BQ221" s="409"/>
      <c r="BR221" s="409"/>
      <c r="BS221" s="409"/>
      <c r="BT221" s="409"/>
      <c r="BU221" s="409"/>
      <c r="BV221" s="409">
        <v>31.625616195776132</v>
      </c>
      <c r="BW221" s="409"/>
      <c r="BX221" s="409"/>
      <c r="BY221" s="409"/>
      <c r="BZ221" s="409"/>
      <c r="CA221" s="409"/>
      <c r="CB221" s="409"/>
      <c r="CC221" s="409"/>
      <c r="CD221" s="409"/>
      <c r="CE221" s="409"/>
      <c r="CF221" s="409"/>
      <c r="CG221" s="409"/>
      <c r="CH221" s="409"/>
      <c r="CI221" s="409">
        <v>60.242600000000003</v>
      </c>
      <c r="CJ221" s="409">
        <v>-3.9295000000000115</v>
      </c>
      <c r="CK221" s="409"/>
      <c r="CL221" s="409"/>
      <c r="CM221" s="409"/>
      <c r="CN221" s="409"/>
      <c r="CO221" s="409">
        <v>-3.1908600000000011</v>
      </c>
      <c r="CP221" s="409">
        <v>1.482</v>
      </c>
      <c r="CQ221" s="409"/>
      <c r="CR221" s="409">
        <v>1.8809020662047331</v>
      </c>
      <c r="CS221" s="409">
        <v>0</v>
      </c>
      <c r="CT221" s="409">
        <v>0</v>
      </c>
      <c r="CU221" s="409">
        <v>0</v>
      </c>
      <c r="CV221" s="409">
        <v>0</v>
      </c>
      <c r="CW221" s="409">
        <v>0</v>
      </c>
      <c r="CX221" s="409">
        <v>0</v>
      </c>
      <c r="CY221" s="409">
        <v>0</v>
      </c>
      <c r="CZ221" s="409">
        <v>0.33641175075199214</v>
      </c>
      <c r="DA221" s="409">
        <v>0</v>
      </c>
      <c r="DB221" s="409">
        <v>0</v>
      </c>
      <c r="DC221" s="409">
        <v>1.6810733436672614</v>
      </c>
      <c r="DD221" s="409">
        <v>0</v>
      </c>
      <c r="DE221" s="409">
        <v>0</v>
      </c>
      <c r="DF221" s="409">
        <v>0</v>
      </c>
      <c r="DG221" s="409">
        <v>2.2589760425845373E-2</v>
      </c>
      <c r="DH221" s="409">
        <v>0</v>
      </c>
      <c r="DI221" s="409">
        <v>0</v>
      </c>
      <c r="DJ221" s="409"/>
      <c r="DK221" s="409">
        <v>0</v>
      </c>
      <c r="DL221" s="409">
        <v>0</v>
      </c>
      <c r="DM221" s="409">
        <v>0</v>
      </c>
      <c r="DN221" s="409">
        <v>0</v>
      </c>
      <c r="DO221" s="409">
        <v>0</v>
      </c>
      <c r="DP221" s="409">
        <v>-8.0112487003924093E-3</v>
      </c>
      <c r="DQ221" s="409">
        <v>0</v>
      </c>
      <c r="DR221" s="409">
        <v>-0.15116153993997575</v>
      </c>
      <c r="DS221" s="409"/>
      <c r="DT221" s="409"/>
      <c r="DU221" s="409"/>
      <c r="DV221" s="409">
        <v>22.581027892975872</v>
      </c>
      <c r="DW221" s="409">
        <v>0</v>
      </c>
      <c r="DX221" s="409">
        <v>0</v>
      </c>
      <c r="DY221" s="409">
        <v>-3.1908600000000007</v>
      </c>
      <c r="DZ221" s="409">
        <v>1.4819999999999993</v>
      </c>
      <c r="EA221" s="409">
        <v>0</v>
      </c>
      <c r="EB221" s="409">
        <v>0</v>
      </c>
      <c r="EC221" s="409">
        <v>-3.5893217138449067</v>
      </c>
      <c r="ED221" s="409">
        <v>0</v>
      </c>
      <c r="EE221" s="409">
        <v>0</v>
      </c>
      <c r="EF221" s="409">
        <v>0</v>
      </c>
      <c r="EG221" s="409">
        <v>0</v>
      </c>
      <c r="EH221" s="409">
        <v>0</v>
      </c>
      <c r="EI221" s="409">
        <v>0</v>
      </c>
      <c r="EJ221" s="409">
        <v>0</v>
      </c>
      <c r="EK221" s="409">
        <v>0</v>
      </c>
      <c r="EL221" s="409">
        <v>0</v>
      </c>
      <c r="EM221" s="409">
        <v>0</v>
      </c>
      <c r="EN221" s="409">
        <v>0</v>
      </c>
      <c r="EO221" s="409">
        <v>0</v>
      </c>
      <c r="EP221" s="409">
        <v>0</v>
      </c>
      <c r="EQ221" s="409">
        <v>0</v>
      </c>
      <c r="ER221" s="409">
        <v>0</v>
      </c>
      <c r="ES221" s="409">
        <v>0</v>
      </c>
      <c r="ET221" s="409">
        <v>0</v>
      </c>
      <c r="EU221" s="409">
        <v>0</v>
      </c>
      <c r="EV221" s="409">
        <v>210</v>
      </c>
      <c r="EW221" s="409">
        <v>0</v>
      </c>
      <c r="EX221" s="409">
        <v>0</v>
      </c>
      <c r="EY221" s="409">
        <v>0</v>
      </c>
      <c r="EZ221" s="409"/>
      <c r="FA221" s="409">
        <v>0</v>
      </c>
      <c r="FB221" s="409"/>
      <c r="FC221" s="409"/>
      <c r="FD221" s="409"/>
      <c r="FE221" s="409"/>
      <c r="FF221" s="409">
        <v>0</v>
      </c>
      <c r="FG221" s="409">
        <v>0</v>
      </c>
      <c r="FH221" s="409">
        <v>0</v>
      </c>
      <c r="FI221" s="409">
        <v>0</v>
      </c>
    </row>
    <row r="222" spans="1:165">
      <c r="A222" s="409">
        <v>220</v>
      </c>
      <c r="B222" s="409" t="s">
        <v>1035</v>
      </c>
      <c r="C222" s="409" t="s">
        <v>2241</v>
      </c>
      <c r="D222" s="409" t="s">
        <v>1992</v>
      </c>
      <c r="E222" s="409" t="s">
        <v>969</v>
      </c>
      <c r="F222" s="409" t="s">
        <v>1323</v>
      </c>
      <c r="G222" s="409" t="s">
        <v>1323</v>
      </c>
      <c r="H222" s="409" t="s">
        <v>1323</v>
      </c>
      <c r="I222" s="409" t="s">
        <v>1323</v>
      </c>
      <c r="J222" s="409" t="s">
        <v>2242</v>
      </c>
      <c r="K222" s="838">
        <v>44531</v>
      </c>
      <c r="L222" s="409">
        <v>0</v>
      </c>
      <c r="M222" s="409">
        <v>0</v>
      </c>
      <c r="N222" s="409">
        <v>30.902000000000001</v>
      </c>
      <c r="O222" s="409">
        <v>30.902000000000001</v>
      </c>
      <c r="P222" s="409">
        <v>30.902000000000001</v>
      </c>
      <c r="Q222" s="409">
        <v>30.902000000000001</v>
      </c>
      <c r="R222" s="409"/>
      <c r="S222" s="409">
        <v>358.62</v>
      </c>
      <c r="T222" s="409">
        <v>273.74</v>
      </c>
      <c r="U222" s="409"/>
      <c r="V222" s="409">
        <v>19541.188719999998</v>
      </c>
      <c r="W222" s="409">
        <v>19541.188719999998</v>
      </c>
      <c r="X222" s="409">
        <v>18947.252280000001</v>
      </c>
      <c r="Y222" s="409">
        <v>0</v>
      </c>
      <c r="Z222" s="409">
        <v>1865.6900854702012</v>
      </c>
      <c r="AA222" s="409">
        <v>0</v>
      </c>
      <c r="AB222" s="409">
        <v>0</v>
      </c>
      <c r="AC222" s="409">
        <v>0</v>
      </c>
      <c r="AD222" s="409">
        <v>2660.3073739219176</v>
      </c>
      <c r="AE222" s="409">
        <v>6121.0431925328103</v>
      </c>
      <c r="AF222" s="409">
        <v>8459.0906029325615</v>
      </c>
      <c r="AG222" s="409">
        <v>0</v>
      </c>
      <c r="AH222" s="409">
        <v>0</v>
      </c>
      <c r="AI222" s="409">
        <v>0</v>
      </c>
      <c r="AJ222" s="409">
        <v>0</v>
      </c>
      <c r="AK222" s="409">
        <v>0</v>
      </c>
      <c r="AL222" s="409">
        <v>288.5180322970204</v>
      </c>
      <c r="AM222" s="409"/>
      <c r="AN222" s="409">
        <v>32.913453551607951</v>
      </c>
      <c r="AO222" s="409">
        <v>0</v>
      </c>
      <c r="AP222" s="409">
        <v>0</v>
      </c>
      <c r="AQ222" s="409">
        <v>0</v>
      </c>
      <c r="AR222" s="409">
        <v>0</v>
      </c>
      <c r="AS222" s="409">
        <v>0</v>
      </c>
      <c r="AT222" s="409">
        <v>0</v>
      </c>
      <c r="AU222" s="409">
        <v>0</v>
      </c>
      <c r="AV222" s="409">
        <v>0</v>
      </c>
      <c r="AW222" s="409">
        <v>0</v>
      </c>
      <c r="AX222" s="409">
        <v>0</v>
      </c>
      <c r="AY222" s="409">
        <v>0</v>
      </c>
      <c r="AZ222" s="409">
        <v>0</v>
      </c>
      <c r="BA222" s="409"/>
      <c r="BB222" s="409">
        <v>0</v>
      </c>
      <c r="BC222" s="409">
        <v>0</v>
      </c>
      <c r="BD222" s="409">
        <v>0</v>
      </c>
      <c r="BE222" s="409">
        <v>0</v>
      </c>
      <c r="BF222" s="409">
        <v>0</v>
      </c>
      <c r="BG222" s="409">
        <v>113.67072761019389</v>
      </c>
      <c r="BH222" s="409">
        <v>0</v>
      </c>
      <c r="BI222" s="409">
        <v>193.53</v>
      </c>
      <c r="BJ222" s="409">
        <v>893.5</v>
      </c>
      <c r="BK222" s="409">
        <v>5360.92</v>
      </c>
      <c r="BL222" s="409">
        <v>12</v>
      </c>
      <c r="BM222" s="409"/>
      <c r="BN222" s="409"/>
      <c r="BO222" s="409"/>
      <c r="BP222" s="409"/>
      <c r="BQ222" s="409"/>
      <c r="BR222" s="409"/>
      <c r="BS222" s="409"/>
      <c r="BT222" s="409"/>
      <c r="BU222" s="409"/>
      <c r="BV222" s="409">
        <v>8572.7613305427549</v>
      </c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09"/>
      <c r="CI222" s="409">
        <v>18946.025999999998</v>
      </c>
      <c r="CJ222" s="409">
        <v>-595.19272000000274</v>
      </c>
      <c r="CK222" s="409"/>
      <c r="CL222" s="409"/>
      <c r="CM222" s="409"/>
      <c r="CN222" s="409"/>
      <c r="CO222" s="409">
        <v>-995.66244000000086</v>
      </c>
      <c r="CP222" s="409">
        <v>401.726</v>
      </c>
      <c r="CQ222" s="409"/>
      <c r="CR222" s="409">
        <v>378.91662297153016</v>
      </c>
      <c r="CS222" s="409">
        <v>0</v>
      </c>
      <c r="CT222" s="409">
        <v>0</v>
      </c>
      <c r="CU222" s="409">
        <v>0</v>
      </c>
      <c r="CV222" s="409">
        <v>0</v>
      </c>
      <c r="CW222" s="409">
        <v>0</v>
      </c>
      <c r="CX222" s="409">
        <v>0</v>
      </c>
      <c r="CY222" s="409">
        <v>0</v>
      </c>
      <c r="CZ222" s="409">
        <v>91.191192295947985</v>
      </c>
      <c r="DA222" s="409">
        <v>0</v>
      </c>
      <c r="DB222" s="409">
        <v>0</v>
      </c>
      <c r="DC222" s="409">
        <v>455.68884619303208</v>
      </c>
      <c r="DD222" s="409">
        <v>0</v>
      </c>
      <c r="DE222" s="409">
        <v>0</v>
      </c>
      <c r="DF222" s="409">
        <v>0</v>
      </c>
      <c r="DG222" s="409">
        <v>6.1234103217497591</v>
      </c>
      <c r="DH222" s="409">
        <v>0</v>
      </c>
      <c r="DI222" s="409">
        <v>-118.92146503006006</v>
      </c>
      <c r="DJ222" s="409"/>
      <c r="DK222" s="409">
        <v>0</v>
      </c>
      <c r="DL222" s="409">
        <v>0</v>
      </c>
      <c r="DM222" s="409">
        <v>0</v>
      </c>
      <c r="DN222" s="409">
        <v>0</v>
      </c>
      <c r="DO222" s="409">
        <v>-15.12751908859002</v>
      </c>
      <c r="DP222" s="409">
        <v>-2.1716105906975969</v>
      </c>
      <c r="DQ222" s="409">
        <v>0</v>
      </c>
      <c r="DR222" s="409">
        <v>-37.866231129852949</v>
      </c>
      <c r="DS222" s="409"/>
      <c r="DT222" s="409"/>
      <c r="DU222" s="409"/>
      <c r="DV222" s="409">
        <v>6121.0431925328103</v>
      </c>
      <c r="DW222" s="409">
        <v>0</v>
      </c>
      <c r="DX222" s="409">
        <v>0</v>
      </c>
      <c r="DY222" s="409">
        <v>-995.66244000000006</v>
      </c>
      <c r="DZ222" s="409">
        <v>401.72600000000057</v>
      </c>
      <c r="EA222" s="409">
        <v>0</v>
      </c>
      <c r="EB222" s="409">
        <v>0</v>
      </c>
      <c r="EC222" s="409">
        <v>-972.95806667750276</v>
      </c>
      <c r="ED222" s="409">
        <v>0</v>
      </c>
      <c r="EE222" s="409">
        <v>0</v>
      </c>
      <c r="EF222" s="409">
        <v>0</v>
      </c>
      <c r="EG222" s="409">
        <v>0</v>
      </c>
      <c r="EH222" s="409">
        <v>0</v>
      </c>
      <c r="EI222" s="409">
        <v>0</v>
      </c>
      <c r="EJ222" s="409">
        <v>0</v>
      </c>
      <c r="EK222" s="409">
        <v>0</v>
      </c>
      <c r="EL222" s="409">
        <v>0</v>
      </c>
      <c r="EM222" s="409">
        <v>0</v>
      </c>
      <c r="EN222" s="409">
        <v>0</v>
      </c>
      <c r="EO222" s="409">
        <v>0</v>
      </c>
      <c r="EP222" s="409">
        <v>0</v>
      </c>
      <c r="EQ222" s="409">
        <v>0</v>
      </c>
      <c r="ER222" s="409">
        <v>0</v>
      </c>
      <c r="ES222" s="409">
        <v>0</v>
      </c>
      <c r="ET222" s="409">
        <v>0</v>
      </c>
      <c r="EU222" s="409">
        <v>0</v>
      </c>
      <c r="EV222" s="409">
        <v>210</v>
      </c>
      <c r="EW222" s="409">
        <v>0</v>
      </c>
      <c r="EX222" s="409">
        <v>0</v>
      </c>
      <c r="EY222" s="409">
        <v>0</v>
      </c>
      <c r="EZ222" s="409"/>
      <c r="FA222" s="409">
        <v>0</v>
      </c>
      <c r="FB222" s="409"/>
      <c r="FC222" s="409"/>
      <c r="FD222" s="409"/>
      <c r="FE222" s="409"/>
      <c r="FF222" s="409">
        <v>0</v>
      </c>
      <c r="FG222" s="409">
        <v>0</v>
      </c>
      <c r="FH222" s="409">
        <v>0</v>
      </c>
      <c r="FI222" s="409">
        <v>0</v>
      </c>
    </row>
    <row r="223" spans="1:165">
      <c r="A223" s="409">
        <v>221</v>
      </c>
      <c r="B223" s="409" t="s">
        <v>2240</v>
      </c>
      <c r="C223" s="409" t="s">
        <v>2241</v>
      </c>
      <c r="D223" s="409" t="s">
        <v>1992</v>
      </c>
      <c r="E223" s="409" t="s">
        <v>969</v>
      </c>
      <c r="F223" s="409" t="s">
        <v>1323</v>
      </c>
      <c r="G223" s="409" t="s">
        <v>1323</v>
      </c>
      <c r="H223" s="409" t="s">
        <v>1323</v>
      </c>
      <c r="I223" s="409" t="s">
        <v>1323</v>
      </c>
      <c r="J223" s="409" t="s">
        <v>2242</v>
      </c>
      <c r="K223" s="838">
        <v>44531</v>
      </c>
      <c r="L223" s="409">
        <v>0</v>
      </c>
      <c r="M223" s="409">
        <v>0</v>
      </c>
      <c r="N223" s="409">
        <v>0.1</v>
      </c>
      <c r="O223" s="409">
        <v>0.1</v>
      </c>
      <c r="P223" s="409">
        <v>0.1</v>
      </c>
      <c r="Q223" s="409">
        <v>0.1</v>
      </c>
      <c r="R223" s="409"/>
      <c r="S223" s="409">
        <v>358.62</v>
      </c>
      <c r="T223" s="409">
        <v>273.74</v>
      </c>
      <c r="U223" s="409"/>
      <c r="V223" s="409">
        <v>63.236000000000004</v>
      </c>
      <c r="W223" s="409">
        <v>63.236000000000004</v>
      </c>
      <c r="X223" s="409">
        <v>61.314000000000007</v>
      </c>
      <c r="Y223" s="409">
        <v>0</v>
      </c>
      <c r="Z223" s="409">
        <v>6.03744121891852</v>
      </c>
      <c r="AA223" s="409">
        <v>0</v>
      </c>
      <c r="AB223" s="409">
        <v>0</v>
      </c>
      <c r="AC223" s="409">
        <v>0</v>
      </c>
      <c r="AD223" s="409">
        <v>8.6088517698592906</v>
      </c>
      <c r="AE223" s="409">
        <v>19.807919204364801</v>
      </c>
      <c r="AF223" s="409">
        <v>27.373925968974699</v>
      </c>
      <c r="AG223" s="409">
        <v>0</v>
      </c>
      <c r="AH223" s="409">
        <v>0</v>
      </c>
      <c r="AI223" s="409">
        <v>0</v>
      </c>
      <c r="AJ223" s="409">
        <v>0</v>
      </c>
      <c r="AK223" s="409">
        <v>0</v>
      </c>
      <c r="AL223" s="409">
        <v>0.93365488414025111</v>
      </c>
      <c r="AM223" s="409"/>
      <c r="AN223" s="409">
        <v>0.10650913711607</v>
      </c>
      <c r="AO223" s="409">
        <v>0</v>
      </c>
      <c r="AP223" s="409">
        <v>0</v>
      </c>
      <c r="AQ223" s="409">
        <v>0</v>
      </c>
      <c r="AR223" s="409">
        <v>0</v>
      </c>
      <c r="AS223" s="409">
        <v>0</v>
      </c>
      <c r="AT223" s="409">
        <v>0</v>
      </c>
      <c r="AU223" s="409">
        <v>0</v>
      </c>
      <c r="AV223" s="409">
        <v>0</v>
      </c>
      <c r="AW223" s="409">
        <v>0</v>
      </c>
      <c r="AX223" s="409">
        <v>0</v>
      </c>
      <c r="AY223" s="409">
        <v>0</v>
      </c>
      <c r="AZ223" s="409">
        <v>0</v>
      </c>
      <c r="BA223" s="409"/>
      <c r="BB223" s="409">
        <v>0</v>
      </c>
      <c r="BC223" s="409">
        <v>0</v>
      </c>
      <c r="BD223" s="409">
        <v>0</v>
      </c>
      <c r="BE223" s="409">
        <v>0</v>
      </c>
      <c r="BF223" s="409">
        <v>0</v>
      </c>
      <c r="BG223" s="409">
        <v>0.36784262381138405</v>
      </c>
      <c r="BH223" s="409">
        <v>0</v>
      </c>
      <c r="BI223" s="409">
        <v>0.62</v>
      </c>
      <c r="BJ223" s="409">
        <v>2.89</v>
      </c>
      <c r="BK223" s="409">
        <v>185.5</v>
      </c>
      <c r="BL223" s="409">
        <v>1</v>
      </c>
      <c r="BM223" s="409"/>
      <c r="BN223" s="409"/>
      <c r="BO223" s="409"/>
      <c r="BP223" s="409"/>
      <c r="BQ223" s="409"/>
      <c r="BR223" s="409"/>
      <c r="BS223" s="409"/>
      <c r="BT223" s="409"/>
      <c r="BU223" s="409"/>
      <c r="BV223" s="409">
        <v>27.741768592786084</v>
      </c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09"/>
      <c r="CI223" s="409">
        <v>61.314000000000007</v>
      </c>
      <c r="CJ223" s="409">
        <v>-1.9519999999999911</v>
      </c>
      <c r="CK223" s="409"/>
      <c r="CL223" s="409"/>
      <c r="CM223" s="409"/>
      <c r="CN223" s="409"/>
      <c r="CO223" s="409">
        <v>-3.2220000000000031</v>
      </c>
      <c r="CP223" s="409">
        <v>1.3</v>
      </c>
      <c r="CQ223" s="409"/>
      <c r="CR223" s="409">
        <v>1.2261880233367748</v>
      </c>
      <c r="CS223" s="409">
        <v>0</v>
      </c>
      <c r="CT223" s="409">
        <v>0</v>
      </c>
      <c r="CU223" s="409">
        <v>0</v>
      </c>
      <c r="CV223" s="409">
        <v>0</v>
      </c>
      <c r="CW223" s="409">
        <v>0</v>
      </c>
      <c r="CX223" s="409">
        <v>0</v>
      </c>
      <c r="CY223" s="409">
        <v>0</v>
      </c>
      <c r="CZ223" s="409">
        <v>0.29509802697543108</v>
      </c>
      <c r="DA223" s="409">
        <v>0</v>
      </c>
      <c r="DB223" s="409">
        <v>0</v>
      </c>
      <c r="DC223" s="409">
        <v>1.4746257400590004</v>
      </c>
      <c r="DD223" s="409">
        <v>0</v>
      </c>
      <c r="DE223" s="409">
        <v>0</v>
      </c>
      <c r="DF223" s="409">
        <v>0</v>
      </c>
      <c r="DG223" s="409">
        <v>1.9815579320916987E-2</v>
      </c>
      <c r="DH223" s="409">
        <v>0</v>
      </c>
      <c r="DI223" s="409">
        <v>-0.38483420176707028</v>
      </c>
      <c r="DJ223" s="409"/>
      <c r="DK223" s="409">
        <v>0</v>
      </c>
      <c r="DL223" s="409">
        <v>0</v>
      </c>
      <c r="DM223" s="409">
        <v>0</v>
      </c>
      <c r="DN223" s="409">
        <v>0</v>
      </c>
      <c r="DO223" s="409">
        <v>-4.8953203962817993E-2</v>
      </c>
      <c r="DP223" s="409">
        <v>-7.0274111406950918E-3</v>
      </c>
      <c r="DQ223" s="409">
        <v>0</v>
      </c>
      <c r="DR223" s="409">
        <v>-0.12253650614799351</v>
      </c>
      <c r="DS223" s="409"/>
      <c r="DT223" s="409"/>
      <c r="DU223" s="409"/>
      <c r="DV223" s="409">
        <v>19.807919204364801</v>
      </c>
      <c r="DW223" s="409">
        <v>0</v>
      </c>
      <c r="DX223" s="409">
        <v>0</v>
      </c>
      <c r="DY223" s="409">
        <v>-3.2220000000000013</v>
      </c>
      <c r="DZ223" s="409">
        <v>1.3000000000000007</v>
      </c>
      <c r="EA223" s="409">
        <v>0</v>
      </c>
      <c r="EB223" s="409">
        <v>0</v>
      </c>
      <c r="EC223" s="409">
        <v>-3.1485278191622008</v>
      </c>
      <c r="ED223" s="409">
        <v>0</v>
      </c>
      <c r="EE223" s="409">
        <v>0</v>
      </c>
      <c r="EF223" s="409">
        <v>0</v>
      </c>
      <c r="EG223" s="409">
        <v>0</v>
      </c>
      <c r="EH223" s="409">
        <v>0</v>
      </c>
      <c r="EI223" s="409">
        <v>0</v>
      </c>
      <c r="EJ223" s="409">
        <v>0</v>
      </c>
      <c r="EK223" s="409">
        <v>0</v>
      </c>
      <c r="EL223" s="409">
        <v>0</v>
      </c>
      <c r="EM223" s="409">
        <v>0</v>
      </c>
      <c r="EN223" s="409">
        <v>0</v>
      </c>
      <c r="EO223" s="409">
        <v>0</v>
      </c>
      <c r="EP223" s="409">
        <v>0</v>
      </c>
      <c r="EQ223" s="409">
        <v>0</v>
      </c>
      <c r="ER223" s="409">
        <v>0</v>
      </c>
      <c r="ES223" s="409">
        <v>0</v>
      </c>
      <c r="ET223" s="409">
        <v>0</v>
      </c>
      <c r="EU223" s="409">
        <v>0</v>
      </c>
      <c r="EV223" s="409">
        <v>210</v>
      </c>
      <c r="EW223" s="409">
        <v>0</v>
      </c>
      <c r="EX223" s="409">
        <v>0</v>
      </c>
      <c r="EY223" s="409">
        <v>0</v>
      </c>
      <c r="EZ223" s="409"/>
      <c r="FA223" s="409">
        <v>0</v>
      </c>
      <c r="FB223" s="409"/>
      <c r="FC223" s="409"/>
      <c r="FD223" s="409"/>
      <c r="FE223" s="409"/>
      <c r="FF223" s="409">
        <v>0</v>
      </c>
      <c r="FG223" s="409">
        <v>0</v>
      </c>
      <c r="FH223" s="409">
        <v>0</v>
      </c>
      <c r="FI223" s="409">
        <v>0</v>
      </c>
    </row>
    <row r="224" spans="1:165">
      <c r="A224" s="409">
        <v>222</v>
      </c>
      <c r="B224" s="409" t="s">
        <v>1035</v>
      </c>
      <c r="C224" s="409" t="s">
        <v>2246</v>
      </c>
      <c r="D224" s="409" t="s">
        <v>595</v>
      </c>
      <c r="E224" s="409" t="s">
        <v>969</v>
      </c>
      <c r="F224" s="409" t="s">
        <v>1323</v>
      </c>
      <c r="G224" s="409" t="s">
        <v>1323</v>
      </c>
      <c r="H224" s="409" t="s">
        <v>1323</v>
      </c>
      <c r="I224" s="409" t="s">
        <v>972</v>
      </c>
      <c r="J224" s="409" t="s">
        <v>2242</v>
      </c>
      <c r="K224" s="838">
        <v>44531</v>
      </c>
      <c r="L224" s="409">
        <v>0</v>
      </c>
      <c r="M224" s="409">
        <v>0</v>
      </c>
      <c r="N224" s="409">
        <v>9.7449999999999992</v>
      </c>
      <c r="O224" s="409">
        <v>9.7449999999999992</v>
      </c>
      <c r="P224" s="409">
        <v>9.7449999999999992</v>
      </c>
      <c r="Q224" s="409">
        <v>9.7449999999999992</v>
      </c>
      <c r="R224" s="409"/>
      <c r="S224" s="409">
        <v>1856.88</v>
      </c>
      <c r="T224" s="409">
        <v>273.74</v>
      </c>
      <c r="U224" s="409"/>
      <c r="V224" s="409">
        <v>20762.891900000002</v>
      </c>
      <c r="W224" s="409">
        <v>20762.891900000002</v>
      </c>
      <c r="X224" s="409">
        <v>19024.871149999999</v>
      </c>
      <c r="Y224" s="409">
        <v>0</v>
      </c>
      <c r="Z224" s="409">
        <v>511.86332270174023</v>
      </c>
      <c r="AA224" s="409">
        <v>0</v>
      </c>
      <c r="AB224" s="409">
        <v>0</v>
      </c>
      <c r="AC224" s="409">
        <v>0</v>
      </c>
      <c r="AD224" s="409">
        <v>4775.9452772949962</v>
      </c>
      <c r="AE224" s="409">
        <v>12691.707921759973</v>
      </c>
      <c r="AF224" s="409">
        <v>2667.5890856765841</v>
      </c>
      <c r="AG224" s="409">
        <v>0</v>
      </c>
      <c r="AH224" s="409">
        <v>0</v>
      </c>
      <c r="AI224" s="409">
        <v>0</v>
      </c>
      <c r="AJ224" s="409">
        <v>0</v>
      </c>
      <c r="AK224" s="409">
        <v>0</v>
      </c>
      <c r="AL224" s="409">
        <v>90.984668459467457</v>
      </c>
      <c r="AM224" s="409"/>
      <c r="AN224" s="409">
        <v>8.4595166845809224</v>
      </c>
      <c r="AO224" s="409">
        <v>0</v>
      </c>
      <c r="AP224" s="409">
        <v>0</v>
      </c>
      <c r="AQ224" s="409">
        <v>0</v>
      </c>
      <c r="AR224" s="409">
        <v>0</v>
      </c>
      <c r="AS224" s="409">
        <v>0</v>
      </c>
      <c r="AT224" s="409">
        <v>0</v>
      </c>
      <c r="AU224" s="409">
        <v>0</v>
      </c>
      <c r="AV224" s="409">
        <v>0</v>
      </c>
      <c r="AW224" s="409">
        <v>0</v>
      </c>
      <c r="AX224" s="409">
        <v>0</v>
      </c>
      <c r="AY224" s="409">
        <v>0</v>
      </c>
      <c r="AZ224" s="409">
        <v>0</v>
      </c>
      <c r="BA224" s="409"/>
      <c r="BB224" s="409">
        <v>0</v>
      </c>
      <c r="BC224" s="409">
        <v>0</v>
      </c>
      <c r="BD224" s="409">
        <v>0</v>
      </c>
      <c r="BE224" s="409">
        <v>0</v>
      </c>
      <c r="BF224" s="409">
        <v>0</v>
      </c>
      <c r="BG224" s="409">
        <v>16.306560632644118</v>
      </c>
      <c r="BH224" s="409">
        <v>0</v>
      </c>
      <c r="BI224" s="409">
        <v>0</v>
      </c>
      <c r="BJ224" s="409">
        <v>0</v>
      </c>
      <c r="BK224" s="409">
        <v>0</v>
      </c>
      <c r="BL224" s="409">
        <v>0</v>
      </c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09">
        <v>2683.8956463092281</v>
      </c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>
        <v>19034.6325</v>
      </c>
      <c r="CJ224" s="409">
        <v>-1728.2893999999978</v>
      </c>
      <c r="CK224" s="409"/>
      <c r="CL224" s="409"/>
      <c r="CM224" s="409"/>
      <c r="CN224" s="409"/>
      <c r="CO224" s="409">
        <v>-1864.7057500000012</v>
      </c>
      <c r="CP224" s="409">
        <v>126.68499999999999</v>
      </c>
      <c r="CQ224" s="409"/>
      <c r="CR224" s="409">
        <v>279.46881917674091</v>
      </c>
      <c r="CS224" s="409">
        <v>0</v>
      </c>
      <c r="CT224" s="409">
        <v>0</v>
      </c>
      <c r="CU224" s="409">
        <v>0</v>
      </c>
      <c r="CV224" s="409">
        <v>0</v>
      </c>
      <c r="CW224" s="409">
        <v>0</v>
      </c>
      <c r="CX224" s="409">
        <v>0</v>
      </c>
      <c r="CY224" s="409">
        <v>0</v>
      </c>
      <c r="CZ224" s="409">
        <v>163.71196367984066</v>
      </c>
      <c r="DA224" s="409">
        <v>0</v>
      </c>
      <c r="DB224" s="409">
        <v>0</v>
      </c>
      <c r="DC224" s="409">
        <v>143.70227836874983</v>
      </c>
      <c r="DD224" s="409">
        <v>0</v>
      </c>
      <c r="DE224" s="409">
        <v>0</v>
      </c>
      <c r="DF224" s="409">
        <v>0</v>
      </c>
      <c r="DG224" s="409">
        <v>0.87842986307430593</v>
      </c>
      <c r="DH224" s="409">
        <v>0</v>
      </c>
      <c r="DI224" s="409">
        <v>-32.626820877114767</v>
      </c>
      <c r="DJ224" s="409"/>
      <c r="DK224" s="409">
        <v>0</v>
      </c>
      <c r="DL224" s="409">
        <v>0</v>
      </c>
      <c r="DM224" s="409">
        <v>0</v>
      </c>
      <c r="DN224" s="409">
        <v>0</v>
      </c>
      <c r="DO224" s="409">
        <v>-4.7704897261766206</v>
      </c>
      <c r="DP224" s="409">
        <v>-0.55815400822686012</v>
      </c>
      <c r="DQ224" s="409">
        <v>0</v>
      </c>
      <c r="DR224" s="409">
        <v>9.1316118765957519</v>
      </c>
      <c r="DS224" s="409"/>
      <c r="DT224" s="409"/>
      <c r="DU224" s="409"/>
      <c r="DV224" s="409">
        <v>12691.707921759973</v>
      </c>
      <c r="DW224" s="409">
        <v>0</v>
      </c>
      <c r="DX224" s="409">
        <v>0</v>
      </c>
      <c r="DY224" s="409">
        <v>-1864.7057500000028</v>
      </c>
      <c r="DZ224" s="409">
        <v>126.68499999999995</v>
      </c>
      <c r="EA224" s="409">
        <v>0</v>
      </c>
      <c r="EB224" s="409">
        <v>0</v>
      </c>
      <c r="EC224" s="409">
        <v>-2017.384817257087</v>
      </c>
      <c r="ED224" s="409">
        <v>0</v>
      </c>
      <c r="EE224" s="409">
        <v>0</v>
      </c>
      <c r="EF224" s="409">
        <v>0</v>
      </c>
      <c r="EG224" s="409">
        <v>0</v>
      </c>
      <c r="EH224" s="409">
        <v>0</v>
      </c>
      <c r="EI224" s="409">
        <v>0</v>
      </c>
      <c r="EJ224" s="409">
        <v>0</v>
      </c>
      <c r="EK224" s="409">
        <v>0</v>
      </c>
      <c r="EL224" s="409">
        <v>0</v>
      </c>
      <c r="EM224" s="409">
        <v>0</v>
      </c>
      <c r="EN224" s="409">
        <v>0</v>
      </c>
      <c r="EO224" s="409">
        <v>0</v>
      </c>
      <c r="EP224" s="409">
        <v>0</v>
      </c>
      <c r="EQ224" s="409">
        <v>0</v>
      </c>
      <c r="ER224" s="409">
        <v>0</v>
      </c>
      <c r="ES224" s="409">
        <v>0</v>
      </c>
      <c r="ET224" s="409">
        <v>0</v>
      </c>
      <c r="EU224" s="409">
        <v>0</v>
      </c>
      <c r="EV224" s="409">
        <v>210</v>
      </c>
      <c r="EW224" s="409">
        <v>0</v>
      </c>
      <c r="EX224" s="409">
        <v>0</v>
      </c>
      <c r="EY224" s="409">
        <v>0</v>
      </c>
      <c r="EZ224" s="409"/>
      <c r="FA224" s="409">
        <v>0</v>
      </c>
      <c r="FB224" s="409"/>
      <c r="FC224" s="409"/>
      <c r="FD224" s="409"/>
      <c r="FE224" s="409"/>
      <c r="FF224" s="409">
        <v>0</v>
      </c>
      <c r="FG224" s="409">
        <v>0</v>
      </c>
      <c r="FH224" s="409">
        <v>0</v>
      </c>
      <c r="FI224" s="409">
        <v>0</v>
      </c>
    </row>
    <row r="225" spans="1:165">
      <c r="A225" s="409">
        <v>223</v>
      </c>
      <c r="B225" s="409" t="s">
        <v>1035</v>
      </c>
      <c r="C225" s="409" t="s">
        <v>2246</v>
      </c>
      <c r="D225" s="409" t="s">
        <v>595</v>
      </c>
      <c r="E225" s="409" t="s">
        <v>969</v>
      </c>
      <c r="F225" s="409" t="s">
        <v>1323</v>
      </c>
      <c r="G225" s="409" t="s">
        <v>1323</v>
      </c>
      <c r="H225" s="409" t="s">
        <v>1323</v>
      </c>
      <c r="I225" s="409" t="s">
        <v>2234</v>
      </c>
      <c r="J225" s="409" t="s">
        <v>2242</v>
      </c>
      <c r="K225" s="838">
        <v>44531</v>
      </c>
      <c r="L225" s="409">
        <v>0</v>
      </c>
      <c r="M225" s="409">
        <v>0</v>
      </c>
      <c r="N225" s="409">
        <v>83.694999999999993</v>
      </c>
      <c r="O225" s="409">
        <v>83.694999999999993</v>
      </c>
      <c r="P225" s="409">
        <v>83.694999999999993</v>
      </c>
      <c r="Q225" s="409">
        <v>83.694999999999993</v>
      </c>
      <c r="R225" s="409"/>
      <c r="S225" s="409">
        <v>64.400000000000006</v>
      </c>
      <c r="T225" s="409">
        <v>273.74</v>
      </c>
      <c r="U225" s="409"/>
      <c r="V225" s="409">
        <v>28300.627299999996</v>
      </c>
      <c r="W225" s="409">
        <v>28300.627299999996</v>
      </c>
      <c r="X225" s="409">
        <v>29078.153849999995</v>
      </c>
      <c r="Y225" s="409">
        <v>0</v>
      </c>
      <c r="Z225" s="409">
        <v>4396.1416925112517</v>
      </c>
      <c r="AA225" s="409">
        <v>0</v>
      </c>
      <c r="AB225" s="409">
        <v>0</v>
      </c>
      <c r="AC225" s="409">
        <v>0</v>
      </c>
      <c r="AD225" s="409">
        <v>0</v>
      </c>
      <c r="AE225" s="409">
        <v>0</v>
      </c>
      <c r="AF225" s="409">
        <v>22910.607339733371</v>
      </c>
      <c r="AG225" s="409">
        <v>0</v>
      </c>
      <c r="AH225" s="409">
        <v>0</v>
      </c>
      <c r="AI225" s="409">
        <v>0</v>
      </c>
      <c r="AJ225" s="409">
        <v>0</v>
      </c>
      <c r="AK225" s="409">
        <v>0</v>
      </c>
      <c r="AL225" s="409">
        <v>781.42245528118303</v>
      </c>
      <c r="AM225" s="409"/>
      <c r="AN225" s="409">
        <v>72.654617641457193</v>
      </c>
      <c r="AO225" s="409">
        <v>0</v>
      </c>
      <c r="AP225" s="409">
        <v>0</v>
      </c>
      <c r="AQ225" s="409">
        <v>0</v>
      </c>
      <c r="AR225" s="409">
        <v>0</v>
      </c>
      <c r="AS225" s="409">
        <v>0</v>
      </c>
      <c r="AT225" s="409">
        <v>0</v>
      </c>
      <c r="AU225" s="409">
        <v>0</v>
      </c>
      <c r="AV225" s="409">
        <v>0</v>
      </c>
      <c r="AW225" s="409">
        <v>0</v>
      </c>
      <c r="AX225" s="409">
        <v>0</v>
      </c>
      <c r="AY225" s="409">
        <v>0</v>
      </c>
      <c r="AZ225" s="409">
        <v>0</v>
      </c>
      <c r="BA225" s="409"/>
      <c r="BB225" s="409">
        <v>0</v>
      </c>
      <c r="BC225" s="409">
        <v>0</v>
      </c>
      <c r="BD225" s="409">
        <v>0</v>
      </c>
      <c r="BE225" s="409">
        <v>0</v>
      </c>
      <c r="BF225" s="409">
        <v>0</v>
      </c>
      <c r="BG225" s="409">
        <v>140.04900894296046</v>
      </c>
      <c r="BH225" s="409">
        <v>0</v>
      </c>
      <c r="BI225" s="409">
        <v>0</v>
      </c>
      <c r="BJ225" s="409">
        <v>0</v>
      </c>
      <c r="BK225" s="409">
        <v>0</v>
      </c>
      <c r="BL225" s="409">
        <v>0</v>
      </c>
      <c r="BM225" s="409"/>
      <c r="BN225" s="409"/>
      <c r="BO225" s="409"/>
      <c r="BP225" s="409"/>
      <c r="BQ225" s="409"/>
      <c r="BR225" s="409"/>
      <c r="BS225" s="409"/>
      <c r="BT225" s="409"/>
      <c r="BU225" s="409"/>
      <c r="BV225" s="409">
        <v>23050.656348676333</v>
      </c>
      <c r="BW225" s="409"/>
      <c r="BX225" s="409"/>
      <c r="BY225" s="409"/>
      <c r="BZ225" s="409"/>
      <c r="CA225" s="409"/>
      <c r="CB225" s="409"/>
      <c r="CC225" s="409"/>
      <c r="CD225" s="409"/>
      <c r="CE225" s="409"/>
      <c r="CF225" s="409"/>
      <c r="CG225" s="409"/>
      <c r="CH225" s="409"/>
      <c r="CI225" s="409">
        <v>29079.891000000003</v>
      </c>
      <c r="CJ225" s="409">
        <v>779.23370000000796</v>
      </c>
      <c r="CK225" s="409"/>
      <c r="CL225" s="409"/>
      <c r="CM225" s="409"/>
      <c r="CN225" s="409"/>
      <c r="CO225" s="409">
        <v>-310.50845000000066</v>
      </c>
      <c r="CP225" s="409">
        <v>1088.0349999999999</v>
      </c>
      <c r="CQ225" s="409"/>
      <c r="CR225" s="409">
        <v>777.65417226450154</v>
      </c>
      <c r="CS225" s="409">
        <v>0</v>
      </c>
      <c r="CT225" s="409">
        <v>0</v>
      </c>
      <c r="CU225" s="409">
        <v>0</v>
      </c>
      <c r="CV225" s="409">
        <v>0</v>
      </c>
      <c r="CW225" s="409">
        <v>0</v>
      </c>
      <c r="CX225" s="409">
        <v>0</v>
      </c>
      <c r="CY225" s="409">
        <v>0</v>
      </c>
      <c r="CZ225" s="409">
        <v>0</v>
      </c>
      <c r="DA225" s="409">
        <v>0</v>
      </c>
      <c r="DB225" s="409">
        <v>0</v>
      </c>
      <c r="DC225" s="409">
        <v>1234.1880131423823</v>
      </c>
      <c r="DD225" s="409">
        <v>0</v>
      </c>
      <c r="DE225" s="409">
        <v>0</v>
      </c>
      <c r="DF225" s="409">
        <v>0</v>
      </c>
      <c r="DG225" s="409">
        <v>7.5444009635714622</v>
      </c>
      <c r="DH225" s="409">
        <v>0</v>
      </c>
      <c r="DI225" s="409">
        <v>-280.21567709698502</v>
      </c>
      <c r="DJ225" s="409"/>
      <c r="DK225" s="409">
        <v>0</v>
      </c>
      <c r="DL225" s="409">
        <v>0</v>
      </c>
      <c r="DM225" s="409">
        <v>0</v>
      </c>
      <c r="DN225" s="409">
        <v>0</v>
      </c>
      <c r="DO225" s="409">
        <v>-40.971384056680449</v>
      </c>
      <c r="DP225" s="409">
        <v>-4.7937095657821516</v>
      </c>
      <c r="DQ225" s="409">
        <v>0</v>
      </c>
      <c r="DR225" s="409">
        <v>-138.09747112200085</v>
      </c>
      <c r="DS225" s="409"/>
      <c r="DT225" s="409"/>
      <c r="DU225" s="409"/>
      <c r="DV225" s="409">
        <v>0</v>
      </c>
      <c r="DW225" s="409">
        <v>0</v>
      </c>
      <c r="DX225" s="409">
        <v>0</v>
      </c>
      <c r="DY225" s="409">
        <v>-310.50845000000027</v>
      </c>
      <c r="DZ225" s="409">
        <v>1088.0349999999999</v>
      </c>
      <c r="EA225" s="409">
        <v>0</v>
      </c>
      <c r="EB225" s="409">
        <v>0</v>
      </c>
      <c r="EC225" s="409">
        <v>0</v>
      </c>
      <c r="ED225" s="409">
        <v>0</v>
      </c>
      <c r="EE225" s="409">
        <v>0</v>
      </c>
      <c r="EF225" s="409">
        <v>0</v>
      </c>
      <c r="EG225" s="409">
        <v>0</v>
      </c>
      <c r="EH225" s="409">
        <v>0</v>
      </c>
      <c r="EI225" s="409">
        <v>0</v>
      </c>
      <c r="EJ225" s="409">
        <v>0</v>
      </c>
      <c r="EK225" s="409">
        <v>0</v>
      </c>
      <c r="EL225" s="409">
        <v>0</v>
      </c>
      <c r="EM225" s="409">
        <v>0</v>
      </c>
      <c r="EN225" s="409">
        <v>0</v>
      </c>
      <c r="EO225" s="409">
        <v>0</v>
      </c>
      <c r="EP225" s="409">
        <v>0</v>
      </c>
      <c r="EQ225" s="409">
        <v>0</v>
      </c>
      <c r="ER225" s="409">
        <v>0</v>
      </c>
      <c r="ES225" s="409">
        <v>0</v>
      </c>
      <c r="ET225" s="409">
        <v>0</v>
      </c>
      <c r="EU225" s="409">
        <v>0</v>
      </c>
      <c r="EV225" s="409">
        <v>210</v>
      </c>
      <c r="EW225" s="409">
        <v>0</v>
      </c>
      <c r="EX225" s="409">
        <v>0</v>
      </c>
      <c r="EY225" s="409">
        <v>0</v>
      </c>
      <c r="EZ225" s="409"/>
      <c r="FA225" s="409">
        <v>0</v>
      </c>
      <c r="FB225" s="409"/>
      <c r="FC225" s="409"/>
      <c r="FD225" s="409"/>
      <c r="FE225" s="409"/>
      <c r="FF225" s="409">
        <v>0</v>
      </c>
      <c r="FG225" s="409">
        <v>0</v>
      </c>
      <c r="FH225" s="409">
        <v>0</v>
      </c>
      <c r="FI225" s="409">
        <v>0</v>
      </c>
    </row>
    <row r="226" spans="1:165">
      <c r="A226" s="409">
        <v>224</v>
      </c>
      <c r="B226" s="409" t="s">
        <v>1035</v>
      </c>
      <c r="C226" s="409" t="s">
        <v>2246</v>
      </c>
      <c r="D226" s="409" t="s">
        <v>595</v>
      </c>
      <c r="E226" s="409" t="s">
        <v>969</v>
      </c>
      <c r="F226" s="409" t="s">
        <v>1323</v>
      </c>
      <c r="G226" s="409" t="s">
        <v>1323</v>
      </c>
      <c r="H226" s="409" t="s">
        <v>1323</v>
      </c>
      <c r="I226" s="409" t="s">
        <v>1323</v>
      </c>
      <c r="J226" s="409" t="s">
        <v>2242</v>
      </c>
      <c r="K226" s="838">
        <v>44531</v>
      </c>
      <c r="L226" s="409">
        <v>843</v>
      </c>
      <c r="M226" s="409">
        <v>843</v>
      </c>
      <c r="N226" s="409">
        <v>0</v>
      </c>
      <c r="O226" s="409">
        <v>0</v>
      </c>
      <c r="P226" s="409">
        <v>0</v>
      </c>
      <c r="Q226" s="409">
        <v>0</v>
      </c>
      <c r="R226" s="409">
        <v>33.6</v>
      </c>
      <c r="S226" s="409"/>
      <c r="T226" s="409"/>
      <c r="U226" s="409">
        <v>28324.800000000003</v>
      </c>
      <c r="V226" s="409"/>
      <c r="W226" s="409">
        <v>28324.800000000003</v>
      </c>
      <c r="X226" s="409">
        <v>26773.68</v>
      </c>
      <c r="Y226" s="409">
        <v>0</v>
      </c>
      <c r="Z226" s="409">
        <v>0</v>
      </c>
      <c r="AA226" s="409">
        <v>0</v>
      </c>
      <c r="AB226" s="409">
        <v>0</v>
      </c>
      <c r="AC226" s="409">
        <v>0</v>
      </c>
      <c r="AD226" s="409">
        <v>15043.769038745078</v>
      </c>
      <c r="AE226" s="409">
        <v>13281.591460987915</v>
      </c>
      <c r="AF226" s="409"/>
      <c r="AG226" s="409"/>
      <c r="AH226" s="409"/>
      <c r="AI226" s="409">
        <v>0</v>
      </c>
      <c r="AJ226" s="409">
        <v>0</v>
      </c>
      <c r="AK226" s="409">
        <v>0</v>
      </c>
      <c r="AL226" s="409">
        <v>0</v>
      </c>
      <c r="AM226" s="409"/>
      <c r="AN226" s="409">
        <v>0</v>
      </c>
      <c r="AO226" s="409">
        <v>0</v>
      </c>
      <c r="AP226" s="409">
        <v>0</v>
      </c>
      <c r="AQ226" s="409">
        <v>0</v>
      </c>
      <c r="AR226" s="409">
        <v>0</v>
      </c>
      <c r="AS226" s="409"/>
      <c r="AT226" s="409"/>
      <c r="AU226" s="409">
        <v>0</v>
      </c>
      <c r="AV226" s="409">
        <v>0</v>
      </c>
      <c r="AW226" s="409">
        <v>0</v>
      </c>
      <c r="AX226" s="409"/>
      <c r="AY226" s="409"/>
      <c r="AZ226" s="409">
        <v>0</v>
      </c>
      <c r="BA226" s="409"/>
      <c r="BB226" s="409">
        <v>0</v>
      </c>
      <c r="BC226" s="409">
        <v>0</v>
      </c>
      <c r="BD226" s="409">
        <v>0</v>
      </c>
      <c r="BE226" s="409">
        <v>0</v>
      </c>
      <c r="BF226" s="409"/>
      <c r="BG226" s="409">
        <v>0</v>
      </c>
      <c r="BH226" s="409">
        <v>0</v>
      </c>
      <c r="BI226" s="409">
        <v>641.97</v>
      </c>
      <c r="BJ226" s="409">
        <v>2960.48</v>
      </c>
      <c r="BK226" s="409">
        <v>16248.04</v>
      </c>
      <c r="BL226" s="409">
        <v>3</v>
      </c>
      <c r="BM226" s="409"/>
      <c r="BN226" s="409"/>
      <c r="BO226" s="409"/>
      <c r="BP226" s="409"/>
      <c r="BQ226" s="409"/>
      <c r="BR226" s="409"/>
      <c r="BS226" s="409"/>
      <c r="BT226" s="409"/>
      <c r="BU226" s="409"/>
      <c r="BV226" s="409">
        <v>0</v>
      </c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I226" s="409">
        <v>26773.68</v>
      </c>
      <c r="CJ226" s="409">
        <v>-1551.1499999999978</v>
      </c>
      <c r="CK226" s="409"/>
      <c r="CL226" s="409"/>
      <c r="CM226" s="409"/>
      <c r="CN226" s="409"/>
      <c r="CO226" s="409">
        <v>-1551.12</v>
      </c>
      <c r="CP226" s="409">
        <v>0</v>
      </c>
      <c r="CQ226" s="409"/>
      <c r="CR226" s="409">
        <v>556.55876744722991</v>
      </c>
      <c r="CS226" s="409">
        <v>0</v>
      </c>
      <c r="CT226" s="409">
        <v>0</v>
      </c>
      <c r="CU226" s="409">
        <v>0</v>
      </c>
      <c r="CV226" s="409">
        <v>0</v>
      </c>
      <c r="CW226" s="409"/>
      <c r="CX226" s="409"/>
      <c r="CY226" s="409"/>
      <c r="CZ226" s="409">
        <v>515.67696602117758</v>
      </c>
      <c r="DA226" s="409">
        <v>0</v>
      </c>
      <c r="DB226" s="409">
        <v>0</v>
      </c>
      <c r="DC226" s="409"/>
      <c r="DD226" s="409"/>
      <c r="DE226" s="409">
        <v>0</v>
      </c>
      <c r="DF226" s="409">
        <v>0</v>
      </c>
      <c r="DG226" s="409">
        <v>0</v>
      </c>
      <c r="DH226" s="409">
        <v>0</v>
      </c>
      <c r="DI226" s="409">
        <v>0</v>
      </c>
      <c r="DJ226" s="409"/>
      <c r="DK226" s="409">
        <v>0</v>
      </c>
      <c r="DL226" s="409">
        <v>0</v>
      </c>
      <c r="DM226" s="409"/>
      <c r="DN226" s="409">
        <v>0</v>
      </c>
      <c r="DO226" s="409">
        <v>0</v>
      </c>
      <c r="DP226" s="409">
        <v>0</v>
      </c>
      <c r="DQ226" s="409">
        <v>0</v>
      </c>
      <c r="DR226" s="409">
        <v>40.881801426052682</v>
      </c>
      <c r="DS226" s="409"/>
      <c r="DT226" s="409"/>
      <c r="DU226" s="409">
        <v>13281.591460987915</v>
      </c>
      <c r="DV226" s="409"/>
      <c r="DW226" s="409">
        <v>0</v>
      </c>
      <c r="DX226" s="409">
        <v>0</v>
      </c>
      <c r="DY226" s="409">
        <v>-1551.1200000000026</v>
      </c>
      <c r="DZ226" s="409"/>
      <c r="EA226" s="409">
        <v>0</v>
      </c>
      <c r="EB226" s="409"/>
      <c r="EC226" s="409">
        <v>-2111.1485646837755</v>
      </c>
      <c r="ED226" s="409"/>
      <c r="EE226" s="409">
        <v>0</v>
      </c>
      <c r="EF226" s="409">
        <v>0</v>
      </c>
      <c r="EG226" s="409"/>
      <c r="EH226" s="409">
        <v>0</v>
      </c>
      <c r="EI226" s="409">
        <v>0</v>
      </c>
      <c r="EJ226" s="409">
        <v>0</v>
      </c>
      <c r="EK226" s="409">
        <v>0</v>
      </c>
      <c r="EL226" s="409">
        <v>0</v>
      </c>
      <c r="EM226" s="409"/>
      <c r="EN226" s="409"/>
      <c r="EO226" s="409">
        <v>0</v>
      </c>
      <c r="EP226" s="409">
        <v>0</v>
      </c>
      <c r="EQ226" s="409"/>
      <c r="ER226" s="409">
        <v>0</v>
      </c>
      <c r="ES226" s="409"/>
      <c r="ET226" s="409">
        <v>0</v>
      </c>
      <c r="EU226" s="409"/>
      <c r="EV226" s="409">
        <v>210</v>
      </c>
      <c r="EW226" s="409"/>
      <c r="EX226" s="409"/>
      <c r="EY226" s="409"/>
      <c r="EZ226" s="409"/>
      <c r="FA226" s="409">
        <v>0</v>
      </c>
      <c r="FB226" s="409"/>
      <c r="FC226" s="409"/>
      <c r="FD226" s="409"/>
      <c r="FE226" s="409"/>
      <c r="FF226" s="409">
        <v>0</v>
      </c>
      <c r="FG226" s="409">
        <v>0</v>
      </c>
      <c r="FH226" s="409">
        <v>0</v>
      </c>
      <c r="FI226" s="409">
        <v>0</v>
      </c>
    </row>
    <row r="227" spans="1:165">
      <c r="A227" s="409">
        <v>225</v>
      </c>
      <c r="B227" s="409" t="s">
        <v>1035</v>
      </c>
      <c r="C227" s="409" t="s">
        <v>2241</v>
      </c>
      <c r="D227" s="409" t="s">
        <v>1992</v>
      </c>
      <c r="E227" s="409" t="s">
        <v>997</v>
      </c>
      <c r="F227" s="409" t="s">
        <v>1323</v>
      </c>
      <c r="G227" s="409" t="s">
        <v>1323</v>
      </c>
      <c r="H227" s="409" t="s">
        <v>1323</v>
      </c>
      <c r="I227" s="409" t="s">
        <v>1323</v>
      </c>
      <c r="J227" s="409" t="s">
        <v>2242</v>
      </c>
      <c r="K227" s="838">
        <v>44531</v>
      </c>
      <c r="L227" s="409">
        <v>0</v>
      </c>
      <c r="M227" s="409">
        <v>0</v>
      </c>
      <c r="N227" s="409">
        <v>73.397000000000006</v>
      </c>
      <c r="O227" s="409">
        <v>73.397000000000006</v>
      </c>
      <c r="P227" s="409">
        <v>73.397000000000006</v>
      </c>
      <c r="Q227" s="409">
        <v>73.397000000000006</v>
      </c>
      <c r="R227" s="409"/>
      <c r="S227" s="409">
        <v>358.62</v>
      </c>
      <c r="T227" s="409">
        <v>273.74</v>
      </c>
      <c r="U227" s="409"/>
      <c r="V227" s="409">
        <v>46413.326920000007</v>
      </c>
      <c r="W227" s="409">
        <v>46413.326920000007</v>
      </c>
      <c r="X227" s="409">
        <v>45002.636580000006</v>
      </c>
      <c r="Y227" s="409">
        <v>0</v>
      </c>
      <c r="Z227" s="409">
        <v>4431.3007314496263</v>
      </c>
      <c r="AA227" s="409">
        <v>0</v>
      </c>
      <c r="AB227" s="409">
        <v>0</v>
      </c>
      <c r="AC227" s="409">
        <v>0</v>
      </c>
      <c r="AD227" s="409">
        <v>6318.6389335236236</v>
      </c>
      <c r="AE227" s="409">
        <v>14538.418458427634</v>
      </c>
      <c r="AF227" s="409">
        <v>20091.640443448359</v>
      </c>
      <c r="AG227" s="409">
        <v>0</v>
      </c>
      <c r="AH227" s="409">
        <v>0</v>
      </c>
      <c r="AI227" s="409">
        <v>0</v>
      </c>
      <c r="AJ227" s="409">
        <v>0</v>
      </c>
      <c r="AK227" s="409">
        <v>0</v>
      </c>
      <c r="AL227" s="409">
        <v>685.27467531242019</v>
      </c>
      <c r="AM227" s="409"/>
      <c r="AN227" s="409">
        <v>78.174511369081898</v>
      </c>
      <c r="AO227" s="409">
        <v>0</v>
      </c>
      <c r="AP227" s="409">
        <v>0</v>
      </c>
      <c r="AQ227" s="409">
        <v>0</v>
      </c>
      <c r="AR227" s="409">
        <v>0</v>
      </c>
      <c r="AS227" s="409">
        <v>0</v>
      </c>
      <c r="AT227" s="409">
        <v>0</v>
      </c>
      <c r="AU227" s="409">
        <v>0</v>
      </c>
      <c r="AV227" s="409">
        <v>0</v>
      </c>
      <c r="AW227" s="409">
        <v>0</v>
      </c>
      <c r="AX227" s="409">
        <v>0</v>
      </c>
      <c r="AY227" s="409">
        <v>0</v>
      </c>
      <c r="AZ227" s="409">
        <v>0</v>
      </c>
      <c r="BA227" s="409"/>
      <c r="BB227" s="409">
        <v>0</v>
      </c>
      <c r="BC227" s="409">
        <v>0</v>
      </c>
      <c r="BD227" s="409">
        <v>0</v>
      </c>
      <c r="BE227" s="409">
        <v>0</v>
      </c>
      <c r="BF227" s="409">
        <v>0</v>
      </c>
      <c r="BG227" s="409">
        <v>269.98545059884157</v>
      </c>
      <c r="BH227" s="409">
        <v>0</v>
      </c>
      <c r="BI227" s="409">
        <v>398.43</v>
      </c>
      <c r="BJ227" s="409">
        <v>1838.12</v>
      </c>
      <c r="BK227" s="409">
        <v>12656.89</v>
      </c>
      <c r="BL227" s="409">
        <v>71</v>
      </c>
      <c r="BM227" s="409"/>
      <c r="BN227" s="409"/>
      <c r="BO227" s="409"/>
      <c r="BP227" s="409"/>
      <c r="BQ227" s="409"/>
      <c r="BR227" s="409"/>
      <c r="BS227" s="409"/>
      <c r="BT227" s="409"/>
      <c r="BU227" s="409"/>
      <c r="BV227" s="409">
        <v>20361.6258940472</v>
      </c>
      <c r="BW227" s="409"/>
      <c r="BX227" s="409"/>
      <c r="BY227" s="409"/>
      <c r="BZ227" s="409"/>
      <c r="CA227" s="409"/>
      <c r="CB227" s="409"/>
      <c r="CC227" s="409"/>
      <c r="CD227" s="409"/>
      <c r="CE227" s="409"/>
      <c r="CF227" s="409"/>
      <c r="CG227" s="409"/>
      <c r="CH227" s="409"/>
      <c r="CI227" s="409">
        <v>45004.476000000002</v>
      </c>
      <c r="CJ227" s="409">
        <v>-1408.880919999996</v>
      </c>
      <c r="CK227" s="409"/>
      <c r="CL227" s="409"/>
      <c r="CM227" s="409"/>
      <c r="CN227" s="409"/>
      <c r="CO227" s="409">
        <v>-2364.851340000002</v>
      </c>
      <c r="CP227" s="409">
        <v>954.16100000000006</v>
      </c>
      <c r="CQ227" s="409"/>
      <c r="CR227" s="409">
        <v>899.98522348849656</v>
      </c>
      <c r="CS227" s="409">
        <v>0</v>
      </c>
      <c r="CT227" s="409">
        <v>0</v>
      </c>
      <c r="CU227" s="409">
        <v>0</v>
      </c>
      <c r="CV227" s="409">
        <v>0</v>
      </c>
      <c r="CW227" s="409">
        <v>0</v>
      </c>
      <c r="CX227" s="409">
        <v>0</v>
      </c>
      <c r="CY227" s="409">
        <v>0</v>
      </c>
      <c r="CZ227" s="409">
        <v>216.59309885915718</v>
      </c>
      <c r="DA227" s="409">
        <v>0</v>
      </c>
      <c r="DB227" s="409">
        <v>0</v>
      </c>
      <c r="DC227" s="409">
        <v>1082.3310544311062</v>
      </c>
      <c r="DD227" s="409">
        <v>0</v>
      </c>
      <c r="DE227" s="409">
        <v>0</v>
      </c>
      <c r="DF227" s="409">
        <v>0</v>
      </c>
      <c r="DG227" s="409">
        <v>14.544040754173409</v>
      </c>
      <c r="DH227" s="409">
        <v>0</v>
      </c>
      <c r="DI227" s="409">
        <v>-282.45675907097666</v>
      </c>
      <c r="DJ227" s="409"/>
      <c r="DK227" s="409">
        <v>0</v>
      </c>
      <c r="DL227" s="409">
        <v>0</v>
      </c>
      <c r="DM227" s="409">
        <v>0</v>
      </c>
      <c r="DN227" s="409">
        <v>0</v>
      </c>
      <c r="DO227" s="409">
        <v>-35.930183112589589</v>
      </c>
      <c r="DP227" s="409">
        <v>-5.1579089549359765</v>
      </c>
      <c r="DQ227" s="409">
        <v>0</v>
      </c>
      <c r="DR227" s="409">
        <v>-89.938119417442778</v>
      </c>
      <c r="DS227" s="409"/>
      <c r="DT227" s="409"/>
      <c r="DU227" s="409"/>
      <c r="DV227" s="409">
        <v>14538.418458427634</v>
      </c>
      <c r="DW227" s="409">
        <v>0</v>
      </c>
      <c r="DX227" s="409">
        <v>0</v>
      </c>
      <c r="DY227" s="409">
        <v>-2364.8513400000011</v>
      </c>
      <c r="DZ227" s="409">
        <v>954.16100000000006</v>
      </c>
      <c r="EA227" s="409">
        <v>0</v>
      </c>
      <c r="EB227" s="409">
        <v>0</v>
      </c>
      <c r="EC227" s="409">
        <v>-2310.9249634304815</v>
      </c>
      <c r="ED227" s="409">
        <v>0</v>
      </c>
      <c r="EE227" s="409">
        <v>0</v>
      </c>
      <c r="EF227" s="409">
        <v>0</v>
      </c>
      <c r="EG227" s="409">
        <v>0</v>
      </c>
      <c r="EH227" s="409">
        <v>0</v>
      </c>
      <c r="EI227" s="409">
        <v>0</v>
      </c>
      <c r="EJ227" s="409">
        <v>0</v>
      </c>
      <c r="EK227" s="409">
        <v>0</v>
      </c>
      <c r="EL227" s="409">
        <v>0</v>
      </c>
      <c r="EM227" s="409">
        <v>0</v>
      </c>
      <c r="EN227" s="409">
        <v>0</v>
      </c>
      <c r="EO227" s="409">
        <v>0</v>
      </c>
      <c r="EP227" s="409">
        <v>0</v>
      </c>
      <c r="EQ227" s="409">
        <v>0</v>
      </c>
      <c r="ER227" s="409">
        <v>0</v>
      </c>
      <c r="ES227" s="409">
        <v>0</v>
      </c>
      <c r="ET227" s="409">
        <v>0</v>
      </c>
      <c r="EU227" s="409">
        <v>0</v>
      </c>
      <c r="EV227" s="409">
        <v>210</v>
      </c>
      <c r="EW227" s="409">
        <v>0</v>
      </c>
      <c r="EX227" s="409">
        <v>0</v>
      </c>
      <c r="EY227" s="409">
        <v>0</v>
      </c>
      <c r="EZ227" s="409"/>
      <c r="FA227" s="409">
        <v>0</v>
      </c>
      <c r="FB227" s="409"/>
      <c r="FC227" s="409"/>
      <c r="FD227" s="409"/>
      <c r="FE227" s="409"/>
      <c r="FF227" s="409">
        <v>0</v>
      </c>
      <c r="FG227" s="409">
        <v>0</v>
      </c>
      <c r="FH227" s="409">
        <v>0</v>
      </c>
      <c r="FI227" s="409">
        <v>0</v>
      </c>
    </row>
    <row r="228" spans="1:165">
      <c r="A228" s="409">
        <v>226</v>
      </c>
      <c r="B228" s="409" t="s">
        <v>2240</v>
      </c>
      <c r="C228" s="409" t="s">
        <v>2241</v>
      </c>
      <c r="D228" s="409" t="s">
        <v>1992</v>
      </c>
      <c r="E228" s="409" t="s">
        <v>997</v>
      </c>
      <c r="F228" s="409" t="s">
        <v>1323</v>
      </c>
      <c r="G228" s="409" t="s">
        <v>1323</v>
      </c>
      <c r="H228" s="409" t="s">
        <v>1323</v>
      </c>
      <c r="I228" s="409" t="s">
        <v>1323</v>
      </c>
      <c r="J228" s="409" t="s">
        <v>2242</v>
      </c>
      <c r="K228" s="838">
        <v>44531</v>
      </c>
      <c r="L228" s="409">
        <v>0</v>
      </c>
      <c r="M228" s="409">
        <v>0</v>
      </c>
      <c r="N228" s="409">
        <v>0.1</v>
      </c>
      <c r="O228" s="409">
        <v>0.1</v>
      </c>
      <c r="P228" s="409">
        <v>0.1</v>
      </c>
      <c r="Q228" s="409">
        <v>0.1</v>
      </c>
      <c r="R228" s="409"/>
      <c r="S228" s="409">
        <v>358.62</v>
      </c>
      <c r="T228" s="409">
        <v>273.74</v>
      </c>
      <c r="U228" s="409"/>
      <c r="V228" s="409">
        <v>63.236000000000004</v>
      </c>
      <c r="W228" s="409">
        <v>63.236000000000004</v>
      </c>
      <c r="X228" s="409">
        <v>61.314000000000007</v>
      </c>
      <c r="Y228" s="409">
        <v>0</v>
      </c>
      <c r="Z228" s="409">
        <v>6.03744121891852</v>
      </c>
      <c r="AA228" s="409">
        <v>0</v>
      </c>
      <c r="AB228" s="409">
        <v>0</v>
      </c>
      <c r="AC228" s="409">
        <v>0</v>
      </c>
      <c r="AD228" s="409">
        <v>8.6088517698592906</v>
      </c>
      <c r="AE228" s="409">
        <v>19.807919204364801</v>
      </c>
      <c r="AF228" s="409">
        <v>27.373925968974699</v>
      </c>
      <c r="AG228" s="409">
        <v>0</v>
      </c>
      <c r="AH228" s="409">
        <v>0</v>
      </c>
      <c r="AI228" s="409">
        <v>0</v>
      </c>
      <c r="AJ228" s="409">
        <v>0</v>
      </c>
      <c r="AK228" s="409">
        <v>0</v>
      </c>
      <c r="AL228" s="409">
        <v>0.93365488414025111</v>
      </c>
      <c r="AM228" s="409"/>
      <c r="AN228" s="409">
        <v>0.10650913711607</v>
      </c>
      <c r="AO228" s="409">
        <v>0</v>
      </c>
      <c r="AP228" s="409">
        <v>0</v>
      </c>
      <c r="AQ228" s="409">
        <v>0</v>
      </c>
      <c r="AR228" s="409">
        <v>0</v>
      </c>
      <c r="AS228" s="409">
        <v>0</v>
      </c>
      <c r="AT228" s="409">
        <v>0</v>
      </c>
      <c r="AU228" s="409">
        <v>0</v>
      </c>
      <c r="AV228" s="409">
        <v>0</v>
      </c>
      <c r="AW228" s="409">
        <v>0</v>
      </c>
      <c r="AX228" s="409">
        <v>0</v>
      </c>
      <c r="AY228" s="409">
        <v>0</v>
      </c>
      <c r="AZ228" s="409">
        <v>0</v>
      </c>
      <c r="BA228" s="409"/>
      <c r="BB228" s="409">
        <v>0</v>
      </c>
      <c r="BC228" s="409">
        <v>0</v>
      </c>
      <c r="BD228" s="409">
        <v>0</v>
      </c>
      <c r="BE228" s="409">
        <v>0</v>
      </c>
      <c r="BF228" s="409">
        <v>0</v>
      </c>
      <c r="BG228" s="409">
        <v>0.36784262381138405</v>
      </c>
      <c r="BH228" s="409">
        <v>0</v>
      </c>
      <c r="BI228" s="409">
        <v>0.62</v>
      </c>
      <c r="BJ228" s="409">
        <v>2.89</v>
      </c>
      <c r="BK228" s="409">
        <v>187.36</v>
      </c>
      <c r="BL228" s="409">
        <v>1</v>
      </c>
      <c r="BM228" s="409"/>
      <c r="BN228" s="409"/>
      <c r="BO228" s="409"/>
      <c r="BP228" s="409"/>
      <c r="BQ228" s="409"/>
      <c r="BR228" s="409"/>
      <c r="BS228" s="409"/>
      <c r="BT228" s="409"/>
      <c r="BU228" s="409"/>
      <c r="BV228" s="409">
        <v>27.741768592786084</v>
      </c>
      <c r="BW228" s="409"/>
      <c r="BX228" s="409"/>
      <c r="BY228" s="409"/>
      <c r="BZ228" s="409"/>
      <c r="CA228" s="409"/>
      <c r="CB228" s="409"/>
      <c r="CC228" s="409"/>
      <c r="CD228" s="409"/>
      <c r="CE228" s="409"/>
      <c r="CF228" s="409"/>
      <c r="CG228" s="409"/>
      <c r="CH228" s="409"/>
      <c r="CI228" s="409">
        <v>61.314000000000007</v>
      </c>
      <c r="CJ228" s="409">
        <v>-1.9519999999999911</v>
      </c>
      <c r="CK228" s="409"/>
      <c r="CL228" s="409"/>
      <c r="CM228" s="409"/>
      <c r="CN228" s="409"/>
      <c r="CO228" s="409">
        <v>-3.2220000000000031</v>
      </c>
      <c r="CP228" s="409">
        <v>1.3</v>
      </c>
      <c r="CQ228" s="409"/>
      <c r="CR228" s="409">
        <v>1.2261880233367748</v>
      </c>
      <c r="CS228" s="409">
        <v>0</v>
      </c>
      <c r="CT228" s="409">
        <v>0</v>
      </c>
      <c r="CU228" s="409">
        <v>0</v>
      </c>
      <c r="CV228" s="409">
        <v>0</v>
      </c>
      <c r="CW228" s="409">
        <v>0</v>
      </c>
      <c r="CX228" s="409">
        <v>0</v>
      </c>
      <c r="CY228" s="409">
        <v>0</v>
      </c>
      <c r="CZ228" s="409">
        <v>0.29509802697543108</v>
      </c>
      <c r="DA228" s="409">
        <v>0</v>
      </c>
      <c r="DB228" s="409">
        <v>0</v>
      </c>
      <c r="DC228" s="409">
        <v>1.4746257400590004</v>
      </c>
      <c r="DD228" s="409">
        <v>0</v>
      </c>
      <c r="DE228" s="409">
        <v>0</v>
      </c>
      <c r="DF228" s="409">
        <v>0</v>
      </c>
      <c r="DG228" s="409">
        <v>1.9815579320916987E-2</v>
      </c>
      <c r="DH228" s="409">
        <v>0</v>
      </c>
      <c r="DI228" s="409">
        <v>-0.38483420176707028</v>
      </c>
      <c r="DJ228" s="409"/>
      <c r="DK228" s="409">
        <v>0</v>
      </c>
      <c r="DL228" s="409">
        <v>0</v>
      </c>
      <c r="DM228" s="409">
        <v>0</v>
      </c>
      <c r="DN228" s="409">
        <v>0</v>
      </c>
      <c r="DO228" s="409">
        <v>-4.8953203962817993E-2</v>
      </c>
      <c r="DP228" s="409">
        <v>-7.0274111406950918E-3</v>
      </c>
      <c r="DQ228" s="409">
        <v>0</v>
      </c>
      <c r="DR228" s="409">
        <v>-0.12253650614799351</v>
      </c>
      <c r="DS228" s="409"/>
      <c r="DT228" s="409"/>
      <c r="DU228" s="409"/>
      <c r="DV228" s="409">
        <v>19.807919204364801</v>
      </c>
      <c r="DW228" s="409">
        <v>0</v>
      </c>
      <c r="DX228" s="409">
        <v>0</v>
      </c>
      <c r="DY228" s="409">
        <v>-3.2220000000000013</v>
      </c>
      <c r="DZ228" s="409">
        <v>1.3000000000000007</v>
      </c>
      <c r="EA228" s="409">
        <v>0</v>
      </c>
      <c r="EB228" s="409">
        <v>0</v>
      </c>
      <c r="EC228" s="409">
        <v>-3.1485278191622008</v>
      </c>
      <c r="ED228" s="409">
        <v>0</v>
      </c>
      <c r="EE228" s="409">
        <v>0</v>
      </c>
      <c r="EF228" s="409">
        <v>0</v>
      </c>
      <c r="EG228" s="409">
        <v>0</v>
      </c>
      <c r="EH228" s="409">
        <v>0</v>
      </c>
      <c r="EI228" s="409">
        <v>0</v>
      </c>
      <c r="EJ228" s="409">
        <v>0</v>
      </c>
      <c r="EK228" s="409">
        <v>0</v>
      </c>
      <c r="EL228" s="409">
        <v>0</v>
      </c>
      <c r="EM228" s="409">
        <v>0</v>
      </c>
      <c r="EN228" s="409">
        <v>0</v>
      </c>
      <c r="EO228" s="409">
        <v>0</v>
      </c>
      <c r="EP228" s="409">
        <v>0</v>
      </c>
      <c r="EQ228" s="409">
        <v>0</v>
      </c>
      <c r="ER228" s="409">
        <v>0</v>
      </c>
      <c r="ES228" s="409">
        <v>0</v>
      </c>
      <c r="ET228" s="409">
        <v>0</v>
      </c>
      <c r="EU228" s="409">
        <v>0</v>
      </c>
      <c r="EV228" s="409">
        <v>210</v>
      </c>
      <c r="EW228" s="409">
        <v>0</v>
      </c>
      <c r="EX228" s="409">
        <v>0</v>
      </c>
      <c r="EY228" s="409">
        <v>0</v>
      </c>
      <c r="EZ228" s="409"/>
      <c r="FA228" s="409">
        <v>0</v>
      </c>
      <c r="FB228" s="409"/>
      <c r="FC228" s="409"/>
      <c r="FD228" s="409"/>
      <c r="FE228" s="409"/>
      <c r="FF228" s="409">
        <v>0</v>
      </c>
      <c r="FG228" s="409">
        <v>0</v>
      </c>
      <c r="FH228" s="409">
        <v>0</v>
      </c>
      <c r="FI228" s="409">
        <v>0</v>
      </c>
    </row>
    <row r="229" spans="1:165">
      <c r="A229" s="409">
        <v>227</v>
      </c>
      <c r="B229" s="409" t="s">
        <v>1035</v>
      </c>
      <c r="C229" s="409" t="s">
        <v>2246</v>
      </c>
      <c r="D229" s="409" t="s">
        <v>595</v>
      </c>
      <c r="E229" s="409" t="s">
        <v>997</v>
      </c>
      <c r="F229" s="409" t="s">
        <v>1323</v>
      </c>
      <c r="G229" s="409" t="s">
        <v>1323</v>
      </c>
      <c r="H229" s="409" t="s">
        <v>1323</v>
      </c>
      <c r="I229" s="409" t="s">
        <v>972</v>
      </c>
      <c r="J229" s="409" t="s">
        <v>2242</v>
      </c>
      <c r="K229" s="838">
        <v>44531</v>
      </c>
      <c r="L229" s="409">
        <v>0</v>
      </c>
      <c r="M229" s="409">
        <v>0</v>
      </c>
      <c r="N229" s="409">
        <v>0.27500000000000002</v>
      </c>
      <c r="O229" s="409">
        <v>0.27500000000000002</v>
      </c>
      <c r="P229" s="409">
        <v>0.27500000000000002</v>
      </c>
      <c r="Q229" s="409">
        <v>0.27500000000000002</v>
      </c>
      <c r="R229" s="409"/>
      <c r="S229" s="409">
        <v>1856.88</v>
      </c>
      <c r="T229" s="409">
        <v>273.74</v>
      </c>
      <c r="U229" s="409"/>
      <c r="V229" s="409">
        <v>585.92050000000006</v>
      </c>
      <c r="W229" s="409">
        <v>585.92050000000006</v>
      </c>
      <c r="X229" s="409">
        <v>536.87425000000007</v>
      </c>
      <c r="Y229" s="409">
        <v>0</v>
      </c>
      <c r="Z229" s="409">
        <v>14.444578116262553</v>
      </c>
      <c r="AA229" s="409">
        <v>0</v>
      </c>
      <c r="AB229" s="409">
        <v>0</v>
      </c>
      <c r="AC229" s="409">
        <v>0</v>
      </c>
      <c r="AD229" s="409">
        <v>134.77526436697016</v>
      </c>
      <c r="AE229" s="409">
        <v>358.15491826413478</v>
      </c>
      <c r="AF229" s="409">
        <v>75.278296414680426</v>
      </c>
      <c r="AG229" s="409">
        <v>0</v>
      </c>
      <c r="AH229" s="409">
        <v>0</v>
      </c>
      <c r="AI229" s="409">
        <v>0</v>
      </c>
      <c r="AJ229" s="409">
        <v>0</v>
      </c>
      <c r="AK229" s="409">
        <v>0</v>
      </c>
      <c r="AL229" s="409">
        <v>2.5675509313856906</v>
      </c>
      <c r="AM229" s="409"/>
      <c r="AN229" s="409">
        <v>0.23872417529602402</v>
      </c>
      <c r="AO229" s="409">
        <v>0</v>
      </c>
      <c r="AP229" s="409">
        <v>0</v>
      </c>
      <c r="AQ229" s="409">
        <v>0</v>
      </c>
      <c r="AR229" s="409">
        <v>0</v>
      </c>
      <c r="AS229" s="409">
        <v>0</v>
      </c>
      <c r="AT229" s="409">
        <v>0</v>
      </c>
      <c r="AU229" s="409">
        <v>0</v>
      </c>
      <c r="AV229" s="409">
        <v>0</v>
      </c>
      <c r="AW229" s="409">
        <v>0</v>
      </c>
      <c r="AX229" s="409">
        <v>0</v>
      </c>
      <c r="AY229" s="409">
        <v>0</v>
      </c>
      <c r="AZ229" s="409">
        <v>0</v>
      </c>
      <c r="BA229" s="409"/>
      <c r="BB229" s="409">
        <v>0</v>
      </c>
      <c r="BC229" s="409">
        <v>0</v>
      </c>
      <c r="BD229" s="409">
        <v>0</v>
      </c>
      <c r="BE229" s="409">
        <v>0</v>
      </c>
      <c r="BF229" s="409">
        <v>0</v>
      </c>
      <c r="BG229" s="409">
        <v>0.46016461508231232</v>
      </c>
      <c r="BH229" s="409">
        <v>0</v>
      </c>
      <c r="BI229" s="409">
        <v>0</v>
      </c>
      <c r="BJ229" s="409">
        <v>0</v>
      </c>
      <c r="BK229" s="409">
        <v>0</v>
      </c>
      <c r="BL229" s="409">
        <v>0</v>
      </c>
      <c r="BM229" s="409"/>
      <c r="BN229" s="409"/>
      <c r="BO229" s="409"/>
      <c r="BP229" s="409"/>
      <c r="BQ229" s="409"/>
      <c r="BR229" s="409"/>
      <c r="BS229" s="409"/>
      <c r="BT229" s="409"/>
      <c r="BU229" s="409"/>
      <c r="BV229" s="409">
        <v>75.738461029762732</v>
      </c>
      <c r="BW229" s="409"/>
      <c r="BX229" s="409"/>
      <c r="BY229" s="409"/>
      <c r="BZ229" s="409"/>
      <c r="CA229" s="409"/>
      <c r="CB229" s="409"/>
      <c r="CC229" s="409"/>
      <c r="CD229" s="409"/>
      <c r="CE229" s="409"/>
      <c r="CF229" s="409"/>
      <c r="CG229" s="409"/>
      <c r="CH229" s="409"/>
      <c r="CI229" s="409">
        <v>546.63560000000007</v>
      </c>
      <c r="CJ229" s="409">
        <v>-39.314899999999966</v>
      </c>
      <c r="CK229" s="409"/>
      <c r="CL229" s="409"/>
      <c r="CM229" s="409"/>
      <c r="CN229" s="409"/>
      <c r="CO229" s="409">
        <v>-52.621250000000039</v>
      </c>
      <c r="CP229" s="409">
        <v>3.5750000000000002</v>
      </c>
      <c r="CQ229" s="409"/>
      <c r="CR229" s="409">
        <v>7.8864982322836852</v>
      </c>
      <c r="CS229" s="409">
        <v>0</v>
      </c>
      <c r="CT229" s="409">
        <v>0</v>
      </c>
      <c r="CU229" s="409">
        <v>0</v>
      </c>
      <c r="CV229" s="409">
        <v>0</v>
      </c>
      <c r="CW229" s="409">
        <v>0</v>
      </c>
      <c r="CX229" s="409">
        <v>0</v>
      </c>
      <c r="CY229" s="409">
        <v>0</v>
      </c>
      <c r="CZ229" s="409">
        <v>4.6198860966604514</v>
      </c>
      <c r="DA229" s="409">
        <v>0</v>
      </c>
      <c r="DB229" s="409">
        <v>0</v>
      </c>
      <c r="DC229" s="409">
        <v>4.0552207851622484</v>
      </c>
      <c r="DD229" s="409">
        <v>0</v>
      </c>
      <c r="DE229" s="409">
        <v>0</v>
      </c>
      <c r="DF229" s="409">
        <v>0</v>
      </c>
      <c r="DG229" s="409">
        <v>2.4788939183728431E-2</v>
      </c>
      <c r="DH229" s="409">
        <v>0</v>
      </c>
      <c r="DI229" s="409">
        <v>-0.92071582772771343</v>
      </c>
      <c r="DJ229" s="409"/>
      <c r="DK229" s="409">
        <v>0</v>
      </c>
      <c r="DL229" s="409">
        <v>0</v>
      </c>
      <c r="DM229" s="409">
        <v>0</v>
      </c>
      <c r="DN229" s="409">
        <v>0</v>
      </c>
      <c r="DO229" s="409">
        <v>-0.13462131089774942</v>
      </c>
      <c r="DP229" s="409">
        <v>-1.5750882736006833E-2</v>
      </c>
      <c r="DQ229" s="409">
        <v>0</v>
      </c>
      <c r="DR229" s="409">
        <v>0.25769043263866936</v>
      </c>
      <c r="DS229" s="409"/>
      <c r="DT229" s="409"/>
      <c r="DU229" s="409"/>
      <c r="DV229" s="409">
        <v>358.15491826413478</v>
      </c>
      <c r="DW229" s="409">
        <v>0</v>
      </c>
      <c r="DX229" s="409">
        <v>0</v>
      </c>
      <c r="DY229" s="409">
        <v>-52.621250000000032</v>
      </c>
      <c r="DZ229" s="409">
        <v>3.5750000000000028</v>
      </c>
      <c r="EA229" s="409">
        <v>0</v>
      </c>
      <c r="EB229" s="409">
        <v>0</v>
      </c>
      <c r="EC229" s="409">
        <v>-56.929792175033299</v>
      </c>
      <c r="ED229" s="409">
        <v>0</v>
      </c>
      <c r="EE229" s="409">
        <v>0</v>
      </c>
      <c r="EF229" s="409">
        <v>0</v>
      </c>
      <c r="EG229" s="409">
        <v>0</v>
      </c>
      <c r="EH229" s="409">
        <v>0</v>
      </c>
      <c r="EI229" s="409">
        <v>0</v>
      </c>
      <c r="EJ229" s="409">
        <v>0</v>
      </c>
      <c r="EK229" s="409">
        <v>0</v>
      </c>
      <c r="EL229" s="409">
        <v>0</v>
      </c>
      <c r="EM229" s="409">
        <v>0</v>
      </c>
      <c r="EN229" s="409">
        <v>0</v>
      </c>
      <c r="EO229" s="409">
        <v>0</v>
      </c>
      <c r="EP229" s="409">
        <v>0</v>
      </c>
      <c r="EQ229" s="409">
        <v>0</v>
      </c>
      <c r="ER229" s="409">
        <v>0</v>
      </c>
      <c r="ES229" s="409">
        <v>0</v>
      </c>
      <c r="ET229" s="409">
        <v>0</v>
      </c>
      <c r="EU229" s="409">
        <v>0</v>
      </c>
      <c r="EV229" s="409">
        <v>210</v>
      </c>
      <c r="EW229" s="409">
        <v>0</v>
      </c>
      <c r="EX229" s="409">
        <v>0</v>
      </c>
      <c r="EY229" s="409">
        <v>0</v>
      </c>
      <c r="EZ229" s="409"/>
      <c r="FA229" s="409">
        <v>0</v>
      </c>
      <c r="FB229" s="409"/>
      <c r="FC229" s="409"/>
      <c r="FD229" s="409"/>
      <c r="FE229" s="409"/>
      <c r="FF229" s="409">
        <v>0</v>
      </c>
      <c r="FG229" s="409">
        <v>0</v>
      </c>
      <c r="FH229" s="409">
        <v>0</v>
      </c>
      <c r="FI229" s="409">
        <v>0</v>
      </c>
    </row>
    <row r="230" spans="1:165">
      <c r="A230" s="409">
        <v>228</v>
      </c>
      <c r="B230" s="409" t="s">
        <v>1035</v>
      </c>
      <c r="C230" s="409" t="s">
        <v>2246</v>
      </c>
      <c r="D230" s="409" t="s">
        <v>595</v>
      </c>
      <c r="E230" s="409" t="s">
        <v>997</v>
      </c>
      <c r="F230" s="409" t="s">
        <v>1323</v>
      </c>
      <c r="G230" s="409" t="s">
        <v>1323</v>
      </c>
      <c r="H230" s="409" t="s">
        <v>1323</v>
      </c>
      <c r="I230" s="409" t="s">
        <v>2234</v>
      </c>
      <c r="J230" s="409" t="s">
        <v>2242</v>
      </c>
      <c r="K230" s="838">
        <v>44531</v>
      </c>
      <c r="L230" s="409">
        <v>0</v>
      </c>
      <c r="M230" s="409">
        <v>0</v>
      </c>
      <c r="N230" s="409">
        <v>20.452999999999999</v>
      </c>
      <c r="O230" s="409">
        <v>20.452999999999999</v>
      </c>
      <c r="P230" s="409">
        <v>20.452999999999999</v>
      </c>
      <c r="Q230" s="409">
        <v>20.452999999999999</v>
      </c>
      <c r="R230" s="409"/>
      <c r="S230" s="409">
        <v>64.400000000000006</v>
      </c>
      <c r="T230" s="409">
        <v>273.74</v>
      </c>
      <c r="U230" s="409"/>
      <c r="V230" s="409">
        <v>6915.9774200000002</v>
      </c>
      <c r="W230" s="409">
        <v>6915.9774200000002</v>
      </c>
      <c r="X230" s="409">
        <v>7105.9857899999997</v>
      </c>
      <c r="Y230" s="409">
        <v>0</v>
      </c>
      <c r="Z230" s="409">
        <v>1074.3089316797018</v>
      </c>
      <c r="AA230" s="409">
        <v>0</v>
      </c>
      <c r="AB230" s="409">
        <v>0</v>
      </c>
      <c r="AC230" s="409">
        <v>0</v>
      </c>
      <c r="AD230" s="409">
        <v>0</v>
      </c>
      <c r="AE230" s="409">
        <v>0</v>
      </c>
      <c r="AF230" s="409">
        <v>5598.7890784343945</v>
      </c>
      <c r="AG230" s="409">
        <v>0</v>
      </c>
      <c r="AH230" s="409">
        <v>0</v>
      </c>
      <c r="AI230" s="409">
        <v>0</v>
      </c>
      <c r="AJ230" s="409">
        <v>0</v>
      </c>
      <c r="AK230" s="409">
        <v>0</v>
      </c>
      <c r="AL230" s="409">
        <v>190.96043345320555</v>
      </c>
      <c r="AM230" s="409"/>
      <c r="AN230" s="409">
        <v>17.755002026653013</v>
      </c>
      <c r="AO230" s="409">
        <v>0</v>
      </c>
      <c r="AP230" s="409">
        <v>0</v>
      </c>
      <c r="AQ230" s="409">
        <v>0</v>
      </c>
      <c r="AR230" s="409">
        <v>0</v>
      </c>
      <c r="AS230" s="409">
        <v>0</v>
      </c>
      <c r="AT230" s="409">
        <v>0</v>
      </c>
      <c r="AU230" s="409">
        <v>0</v>
      </c>
      <c r="AV230" s="409">
        <v>0</v>
      </c>
      <c r="AW230" s="409">
        <v>0</v>
      </c>
      <c r="AX230" s="409">
        <v>0</v>
      </c>
      <c r="AY230" s="409">
        <v>0</v>
      </c>
      <c r="AZ230" s="409">
        <v>0</v>
      </c>
      <c r="BA230" s="409"/>
      <c r="BB230" s="409">
        <v>0</v>
      </c>
      <c r="BC230" s="409">
        <v>0</v>
      </c>
      <c r="BD230" s="409">
        <v>0</v>
      </c>
      <c r="BE230" s="409">
        <v>0</v>
      </c>
      <c r="BF230" s="409">
        <v>0</v>
      </c>
      <c r="BG230" s="409">
        <v>34.224534081012848</v>
      </c>
      <c r="BH230" s="409">
        <v>0</v>
      </c>
      <c r="BI230" s="409">
        <v>0</v>
      </c>
      <c r="BJ230" s="409">
        <v>0</v>
      </c>
      <c r="BK230" s="409">
        <v>0</v>
      </c>
      <c r="BL230" s="409">
        <v>0</v>
      </c>
      <c r="BM230" s="409"/>
      <c r="BN230" s="409"/>
      <c r="BO230" s="409"/>
      <c r="BP230" s="409"/>
      <c r="BQ230" s="409"/>
      <c r="BR230" s="409"/>
      <c r="BS230" s="409"/>
      <c r="BT230" s="409"/>
      <c r="BU230" s="409"/>
      <c r="BV230" s="409">
        <v>5633.0136125154077</v>
      </c>
      <c r="BW230" s="409"/>
      <c r="BX230" s="409"/>
      <c r="BY230" s="409"/>
      <c r="BZ230" s="409"/>
      <c r="CA230" s="409"/>
      <c r="CB230" s="409"/>
      <c r="CC230" s="409"/>
      <c r="CD230" s="409"/>
      <c r="CE230" s="409"/>
      <c r="CF230" s="409"/>
      <c r="CG230" s="409"/>
      <c r="CH230" s="409"/>
      <c r="CI230" s="409">
        <v>7104.9434999999994</v>
      </c>
      <c r="CJ230" s="409">
        <v>188.93607999999949</v>
      </c>
      <c r="CK230" s="409"/>
      <c r="CL230" s="409"/>
      <c r="CM230" s="409"/>
      <c r="CN230" s="409"/>
      <c r="CO230" s="409">
        <v>-75.880630000000167</v>
      </c>
      <c r="CP230" s="409">
        <v>265.88900000000001</v>
      </c>
      <c r="CQ230" s="409"/>
      <c r="CR230" s="409">
        <v>190.03955774330552</v>
      </c>
      <c r="CS230" s="409">
        <v>0</v>
      </c>
      <c r="CT230" s="409">
        <v>0</v>
      </c>
      <c r="CU230" s="409">
        <v>0</v>
      </c>
      <c r="CV230" s="409">
        <v>0</v>
      </c>
      <c r="CW230" s="409">
        <v>0</v>
      </c>
      <c r="CX230" s="409">
        <v>0</v>
      </c>
      <c r="CY230" s="409">
        <v>0</v>
      </c>
      <c r="CZ230" s="409">
        <v>0</v>
      </c>
      <c r="DA230" s="409">
        <v>0</v>
      </c>
      <c r="DB230" s="409">
        <v>0</v>
      </c>
      <c r="DC230" s="409">
        <v>301.60520261426791</v>
      </c>
      <c r="DD230" s="409">
        <v>0</v>
      </c>
      <c r="DE230" s="409">
        <v>0</v>
      </c>
      <c r="DF230" s="409">
        <v>0</v>
      </c>
      <c r="DG230" s="409">
        <v>1.8436660840901737</v>
      </c>
      <c r="DH230" s="409">
        <v>0</v>
      </c>
      <c r="DI230" s="409">
        <v>-68.47782118005432</v>
      </c>
      <c r="DJ230" s="409"/>
      <c r="DK230" s="409">
        <v>0</v>
      </c>
      <c r="DL230" s="409">
        <v>0</v>
      </c>
      <c r="DM230" s="409">
        <v>0</v>
      </c>
      <c r="DN230" s="409">
        <v>0</v>
      </c>
      <c r="DO230" s="409">
        <v>-10.012398806515165</v>
      </c>
      <c r="DP230" s="409">
        <v>-1.1714647439983565</v>
      </c>
      <c r="DQ230" s="409">
        <v>0</v>
      </c>
      <c r="DR230" s="409">
        <v>-33.747626224485138</v>
      </c>
      <c r="DS230" s="409"/>
      <c r="DT230" s="409"/>
      <c r="DU230" s="409"/>
      <c r="DV230" s="409">
        <v>0</v>
      </c>
      <c r="DW230" s="409">
        <v>0</v>
      </c>
      <c r="DX230" s="409">
        <v>0</v>
      </c>
      <c r="DY230" s="409">
        <v>-75.880630000000338</v>
      </c>
      <c r="DZ230" s="409">
        <v>265.88900000000012</v>
      </c>
      <c r="EA230" s="409">
        <v>0</v>
      </c>
      <c r="EB230" s="409">
        <v>0</v>
      </c>
      <c r="EC230" s="409">
        <v>0</v>
      </c>
      <c r="ED230" s="409">
        <v>0</v>
      </c>
      <c r="EE230" s="409">
        <v>0</v>
      </c>
      <c r="EF230" s="409">
        <v>0</v>
      </c>
      <c r="EG230" s="409">
        <v>0</v>
      </c>
      <c r="EH230" s="409">
        <v>0</v>
      </c>
      <c r="EI230" s="409">
        <v>0</v>
      </c>
      <c r="EJ230" s="409">
        <v>0</v>
      </c>
      <c r="EK230" s="409">
        <v>0</v>
      </c>
      <c r="EL230" s="409">
        <v>0</v>
      </c>
      <c r="EM230" s="409">
        <v>0</v>
      </c>
      <c r="EN230" s="409">
        <v>0</v>
      </c>
      <c r="EO230" s="409">
        <v>0</v>
      </c>
      <c r="EP230" s="409">
        <v>0</v>
      </c>
      <c r="EQ230" s="409">
        <v>0</v>
      </c>
      <c r="ER230" s="409">
        <v>0</v>
      </c>
      <c r="ES230" s="409">
        <v>0</v>
      </c>
      <c r="ET230" s="409">
        <v>0</v>
      </c>
      <c r="EU230" s="409">
        <v>0</v>
      </c>
      <c r="EV230" s="409">
        <v>210</v>
      </c>
      <c r="EW230" s="409">
        <v>0</v>
      </c>
      <c r="EX230" s="409">
        <v>0</v>
      </c>
      <c r="EY230" s="409">
        <v>0</v>
      </c>
      <c r="EZ230" s="409"/>
      <c r="FA230" s="409">
        <v>0</v>
      </c>
      <c r="FB230" s="409"/>
      <c r="FC230" s="409"/>
      <c r="FD230" s="409"/>
      <c r="FE230" s="409"/>
      <c r="FF230" s="409">
        <v>0</v>
      </c>
      <c r="FG230" s="409">
        <v>0</v>
      </c>
      <c r="FH230" s="409">
        <v>0</v>
      </c>
      <c r="FI230" s="409">
        <v>0</v>
      </c>
    </row>
    <row r="231" spans="1:165">
      <c r="A231" s="409">
        <v>229</v>
      </c>
      <c r="B231" s="409" t="s">
        <v>1035</v>
      </c>
      <c r="C231" s="409" t="s">
        <v>2246</v>
      </c>
      <c r="D231" s="409" t="s">
        <v>595</v>
      </c>
      <c r="E231" s="409" t="s">
        <v>997</v>
      </c>
      <c r="F231" s="409" t="s">
        <v>1323</v>
      </c>
      <c r="G231" s="409" t="s">
        <v>1323</v>
      </c>
      <c r="H231" s="409" t="s">
        <v>1323</v>
      </c>
      <c r="I231" s="409" t="s">
        <v>1323</v>
      </c>
      <c r="J231" s="409" t="s">
        <v>2242</v>
      </c>
      <c r="K231" s="838">
        <v>44531</v>
      </c>
      <c r="L231" s="409">
        <v>215</v>
      </c>
      <c r="M231" s="409">
        <v>215</v>
      </c>
      <c r="N231" s="409">
        <v>0</v>
      </c>
      <c r="O231" s="409">
        <v>0</v>
      </c>
      <c r="P231" s="409">
        <v>0</v>
      </c>
      <c r="Q231" s="409">
        <v>0</v>
      </c>
      <c r="R231" s="409">
        <v>33.6</v>
      </c>
      <c r="S231" s="409"/>
      <c r="T231" s="409"/>
      <c r="U231" s="409">
        <v>7224</v>
      </c>
      <c r="V231" s="409"/>
      <c r="W231" s="409">
        <v>7224</v>
      </c>
      <c r="X231" s="409">
        <v>6828.4000000000005</v>
      </c>
      <c r="Y231" s="409">
        <v>0</v>
      </c>
      <c r="Z231" s="409">
        <v>0</v>
      </c>
      <c r="AA231" s="409">
        <v>0</v>
      </c>
      <c r="AB231" s="409">
        <v>0</v>
      </c>
      <c r="AC231" s="409">
        <v>0</v>
      </c>
      <c r="AD231" s="409">
        <v>3836.7856979005833</v>
      </c>
      <c r="AE231" s="409">
        <v>3387.3572528023742</v>
      </c>
      <c r="AF231" s="409"/>
      <c r="AG231" s="409"/>
      <c r="AH231" s="409"/>
      <c r="AI231" s="409">
        <v>0</v>
      </c>
      <c r="AJ231" s="409">
        <v>0</v>
      </c>
      <c r="AK231" s="409">
        <v>0</v>
      </c>
      <c r="AL231" s="409">
        <v>0</v>
      </c>
      <c r="AM231" s="409"/>
      <c r="AN231" s="409">
        <v>0</v>
      </c>
      <c r="AO231" s="409">
        <v>0</v>
      </c>
      <c r="AP231" s="409">
        <v>0</v>
      </c>
      <c r="AQ231" s="409">
        <v>0</v>
      </c>
      <c r="AR231" s="409">
        <v>0</v>
      </c>
      <c r="AS231" s="409"/>
      <c r="AT231" s="409"/>
      <c r="AU231" s="409">
        <v>0</v>
      </c>
      <c r="AV231" s="409">
        <v>0</v>
      </c>
      <c r="AW231" s="409">
        <v>0</v>
      </c>
      <c r="AX231" s="409"/>
      <c r="AY231" s="409"/>
      <c r="AZ231" s="409">
        <v>0</v>
      </c>
      <c r="BA231" s="409"/>
      <c r="BB231" s="409">
        <v>0</v>
      </c>
      <c r="BC231" s="409">
        <v>0</v>
      </c>
      <c r="BD231" s="409">
        <v>0</v>
      </c>
      <c r="BE231" s="409">
        <v>0</v>
      </c>
      <c r="BF231" s="409"/>
      <c r="BG231" s="409">
        <v>0</v>
      </c>
      <c r="BH231" s="409">
        <v>0</v>
      </c>
      <c r="BI231" s="409">
        <v>142.53</v>
      </c>
      <c r="BJ231" s="409">
        <v>657.95</v>
      </c>
      <c r="BK231" s="409">
        <v>3716.23</v>
      </c>
      <c r="BL231" s="409">
        <v>2</v>
      </c>
      <c r="BM231" s="409"/>
      <c r="BN231" s="409"/>
      <c r="BO231" s="409"/>
      <c r="BP231" s="409"/>
      <c r="BQ231" s="409"/>
      <c r="BR231" s="409"/>
      <c r="BS231" s="409"/>
      <c r="BT231" s="409"/>
      <c r="BU231" s="409"/>
      <c r="BV231" s="409">
        <v>0</v>
      </c>
      <c r="BW231" s="409"/>
      <c r="BX231" s="409"/>
      <c r="BY231" s="409"/>
      <c r="BZ231" s="409"/>
      <c r="CA231" s="409"/>
      <c r="CB231" s="409"/>
      <c r="CC231" s="409"/>
      <c r="CD231" s="409"/>
      <c r="CE231" s="409"/>
      <c r="CF231" s="409"/>
      <c r="CG231" s="409"/>
      <c r="CH231" s="409"/>
      <c r="CI231" s="409">
        <v>6828.4000000000005</v>
      </c>
      <c r="CJ231" s="409">
        <v>-395.63000000000011</v>
      </c>
      <c r="CK231" s="409"/>
      <c r="CL231" s="409"/>
      <c r="CM231" s="409"/>
      <c r="CN231" s="409"/>
      <c r="CO231" s="409">
        <v>-395.59999999999997</v>
      </c>
      <c r="CP231" s="409">
        <v>0</v>
      </c>
      <c r="CQ231" s="409"/>
      <c r="CR231" s="409">
        <v>141.94559312118008</v>
      </c>
      <c r="CS231" s="409">
        <v>0</v>
      </c>
      <c r="CT231" s="409">
        <v>0</v>
      </c>
      <c r="CU231" s="409">
        <v>0</v>
      </c>
      <c r="CV231" s="409">
        <v>0</v>
      </c>
      <c r="CW231" s="409"/>
      <c r="CX231" s="409"/>
      <c r="CY231" s="409"/>
      <c r="CZ231" s="409">
        <v>131.51903641109539</v>
      </c>
      <c r="DA231" s="409">
        <v>0</v>
      </c>
      <c r="DB231" s="409">
        <v>0</v>
      </c>
      <c r="DC231" s="409"/>
      <c r="DD231" s="409"/>
      <c r="DE231" s="409">
        <v>0</v>
      </c>
      <c r="DF231" s="409">
        <v>0</v>
      </c>
      <c r="DG231" s="409">
        <v>0</v>
      </c>
      <c r="DH231" s="409">
        <v>0</v>
      </c>
      <c r="DI231" s="409">
        <v>0</v>
      </c>
      <c r="DJ231" s="409"/>
      <c r="DK231" s="409">
        <v>0</v>
      </c>
      <c r="DL231" s="409">
        <v>0</v>
      </c>
      <c r="DM231" s="409"/>
      <c r="DN231" s="409">
        <v>0</v>
      </c>
      <c r="DO231" s="409">
        <v>0</v>
      </c>
      <c r="DP231" s="409">
        <v>0</v>
      </c>
      <c r="DQ231" s="409">
        <v>0</v>
      </c>
      <c r="DR231" s="409">
        <v>10.426556710084611</v>
      </c>
      <c r="DS231" s="409"/>
      <c r="DT231" s="409"/>
      <c r="DU231" s="409">
        <v>3387.3572528023742</v>
      </c>
      <c r="DV231" s="409"/>
      <c r="DW231" s="409">
        <v>0</v>
      </c>
      <c r="DX231" s="409">
        <v>0</v>
      </c>
      <c r="DY231" s="409">
        <v>-395.59999999999945</v>
      </c>
      <c r="DZ231" s="409"/>
      <c r="EA231" s="409">
        <v>0</v>
      </c>
      <c r="EB231" s="409"/>
      <c r="EC231" s="409">
        <v>-538.43053547688214</v>
      </c>
      <c r="ED231" s="409"/>
      <c r="EE231" s="409">
        <v>0</v>
      </c>
      <c r="EF231" s="409">
        <v>0</v>
      </c>
      <c r="EG231" s="409"/>
      <c r="EH231" s="409">
        <v>0</v>
      </c>
      <c r="EI231" s="409">
        <v>0</v>
      </c>
      <c r="EJ231" s="409">
        <v>0</v>
      </c>
      <c r="EK231" s="409">
        <v>0</v>
      </c>
      <c r="EL231" s="409">
        <v>0</v>
      </c>
      <c r="EM231" s="409"/>
      <c r="EN231" s="409"/>
      <c r="EO231" s="409">
        <v>0</v>
      </c>
      <c r="EP231" s="409">
        <v>0</v>
      </c>
      <c r="EQ231" s="409"/>
      <c r="ER231" s="409">
        <v>0</v>
      </c>
      <c r="ES231" s="409"/>
      <c r="ET231" s="409">
        <v>0</v>
      </c>
      <c r="EU231" s="409"/>
      <c r="EV231" s="409">
        <v>210</v>
      </c>
      <c r="EW231" s="409"/>
      <c r="EX231" s="409"/>
      <c r="EY231" s="409"/>
      <c r="EZ231" s="409"/>
      <c r="FA231" s="409">
        <v>0</v>
      </c>
      <c r="FB231" s="409"/>
      <c r="FC231" s="409"/>
      <c r="FD231" s="409"/>
      <c r="FE231" s="409"/>
      <c r="FF231" s="409">
        <v>0</v>
      </c>
      <c r="FG231" s="409">
        <v>0</v>
      </c>
      <c r="FH231" s="409">
        <v>0</v>
      </c>
      <c r="FI231" s="409">
        <v>0</v>
      </c>
    </row>
    <row r="232" spans="1:165">
      <c r="A232" s="409">
        <v>230</v>
      </c>
      <c r="B232" s="409" t="s">
        <v>1035</v>
      </c>
      <c r="C232" s="409" t="s">
        <v>2241</v>
      </c>
      <c r="D232" s="409" t="s">
        <v>2247</v>
      </c>
      <c r="E232" s="409" t="s">
        <v>973</v>
      </c>
      <c r="F232" s="409" t="s">
        <v>1323</v>
      </c>
      <c r="G232" s="409" t="s">
        <v>1323</v>
      </c>
      <c r="H232" s="409" t="s">
        <v>1323</v>
      </c>
      <c r="I232" s="409" t="s">
        <v>1323</v>
      </c>
      <c r="J232" s="409" t="s">
        <v>2242</v>
      </c>
      <c r="K232" s="838">
        <v>44531</v>
      </c>
      <c r="L232" s="409">
        <v>0</v>
      </c>
      <c r="M232" s="409">
        <v>0</v>
      </c>
      <c r="N232" s="409">
        <v>448.41</v>
      </c>
      <c r="O232" s="409">
        <v>448.41</v>
      </c>
      <c r="P232" s="409">
        <v>448.41</v>
      </c>
      <c r="Q232" s="409">
        <v>448.41</v>
      </c>
      <c r="R232" s="409"/>
      <c r="S232" s="409">
        <v>358.62</v>
      </c>
      <c r="T232" s="409">
        <v>273.74</v>
      </c>
      <c r="U232" s="409"/>
      <c r="V232" s="409">
        <v>283556.54760000005</v>
      </c>
      <c r="W232" s="409">
        <v>283556.54760000005</v>
      </c>
      <c r="X232" s="409">
        <v>274938.10740000004</v>
      </c>
      <c r="Y232" s="409">
        <v>0</v>
      </c>
      <c r="Z232" s="409">
        <v>27072.490169752538</v>
      </c>
      <c r="AA232" s="409">
        <v>0</v>
      </c>
      <c r="AB232" s="409">
        <v>0</v>
      </c>
      <c r="AC232" s="409">
        <v>0</v>
      </c>
      <c r="AD232" s="409">
        <v>38602.952221226042</v>
      </c>
      <c r="AE232" s="409">
        <v>88820.690504292201</v>
      </c>
      <c r="AF232" s="409">
        <v>122747.42143747945</v>
      </c>
      <c r="AG232" s="409">
        <v>0</v>
      </c>
      <c r="AH232" s="409">
        <v>0</v>
      </c>
      <c r="AI232" s="409">
        <v>0</v>
      </c>
      <c r="AJ232" s="409">
        <v>0</v>
      </c>
      <c r="AK232" s="409">
        <v>0</v>
      </c>
      <c r="AL232" s="409">
        <v>4186.6018659732999</v>
      </c>
      <c r="AM232" s="409"/>
      <c r="AN232" s="409">
        <v>477.59762174216951</v>
      </c>
      <c r="AO232" s="409">
        <v>0</v>
      </c>
      <c r="AP232" s="409">
        <v>0</v>
      </c>
      <c r="AQ232" s="409">
        <v>0</v>
      </c>
      <c r="AR232" s="409">
        <v>0</v>
      </c>
      <c r="AS232" s="409">
        <v>0</v>
      </c>
      <c r="AT232" s="409">
        <v>0</v>
      </c>
      <c r="AU232" s="409">
        <v>0</v>
      </c>
      <c r="AV232" s="409">
        <v>0</v>
      </c>
      <c r="AW232" s="409">
        <v>0</v>
      </c>
      <c r="AX232" s="409">
        <v>0</v>
      </c>
      <c r="AY232" s="409">
        <v>0</v>
      </c>
      <c r="AZ232" s="409">
        <v>0</v>
      </c>
      <c r="BA232" s="409"/>
      <c r="BB232" s="409">
        <v>0</v>
      </c>
      <c r="BC232" s="409">
        <v>0</v>
      </c>
      <c r="BD232" s="409">
        <v>0</v>
      </c>
      <c r="BE232" s="409">
        <v>0</v>
      </c>
      <c r="BF232" s="409">
        <v>0</v>
      </c>
      <c r="BG232" s="409">
        <v>1649.4431094326271</v>
      </c>
      <c r="BH232" s="409">
        <v>0</v>
      </c>
      <c r="BI232" s="409">
        <v>1342.07</v>
      </c>
      <c r="BJ232" s="409">
        <v>6185.37</v>
      </c>
      <c r="BK232" s="409">
        <v>18176.759999999998</v>
      </c>
      <c r="BL232" s="409">
        <v>1020</v>
      </c>
      <c r="BM232" s="409"/>
      <c r="BN232" s="409"/>
      <c r="BO232" s="409"/>
      <c r="BP232" s="409"/>
      <c r="BQ232" s="409"/>
      <c r="BR232" s="409">
        <v>38491.5144</v>
      </c>
      <c r="BS232" s="409"/>
      <c r="BT232" s="409"/>
      <c r="BU232" s="409"/>
      <c r="BV232" s="409">
        <v>124396.86454691208</v>
      </c>
      <c r="BW232" s="409"/>
      <c r="BX232" s="409"/>
      <c r="BY232" s="409"/>
      <c r="BZ232" s="409"/>
      <c r="CA232" s="409"/>
      <c r="CB232" s="409"/>
      <c r="CC232" s="409"/>
      <c r="CD232" s="409"/>
      <c r="CE232" s="409"/>
      <c r="CF232" s="409"/>
      <c r="CG232" s="409"/>
      <c r="CH232" s="409"/>
      <c r="CI232" s="409">
        <v>236446.59299999999</v>
      </c>
      <c r="CJ232" s="409">
        <v>-7416.7314000000479</v>
      </c>
      <c r="CK232" s="409"/>
      <c r="CL232" s="409"/>
      <c r="CM232" s="409"/>
      <c r="CN232" s="409"/>
      <c r="CO232" s="409">
        <v>-14447.770200000014</v>
      </c>
      <c r="CP232" s="409">
        <v>5829.33</v>
      </c>
      <c r="CQ232" s="409"/>
      <c r="CR232" s="409">
        <v>5498.3497154444049</v>
      </c>
      <c r="CS232" s="409">
        <v>0</v>
      </c>
      <c r="CT232" s="409">
        <v>0</v>
      </c>
      <c r="CU232" s="409">
        <v>0</v>
      </c>
      <c r="CV232" s="409">
        <v>0</v>
      </c>
      <c r="CW232" s="409">
        <v>0</v>
      </c>
      <c r="CX232" s="409">
        <v>0</v>
      </c>
      <c r="CY232" s="409">
        <v>0</v>
      </c>
      <c r="CZ232" s="409">
        <v>1323.2490627605293</v>
      </c>
      <c r="DA232" s="409">
        <v>0</v>
      </c>
      <c r="DB232" s="409">
        <v>0</v>
      </c>
      <c r="DC232" s="409">
        <v>6612.369280998566</v>
      </c>
      <c r="DD232" s="409">
        <v>0</v>
      </c>
      <c r="DE232" s="409">
        <v>0</v>
      </c>
      <c r="DF232" s="409">
        <v>0</v>
      </c>
      <c r="DG232" s="409">
        <v>88.8550392329239</v>
      </c>
      <c r="DH232" s="409">
        <v>0</v>
      </c>
      <c r="DI232" s="409">
        <v>-1725.6350441437207</v>
      </c>
      <c r="DJ232" s="409"/>
      <c r="DK232" s="409">
        <v>0</v>
      </c>
      <c r="DL232" s="409">
        <v>0</v>
      </c>
      <c r="DM232" s="409">
        <v>0</v>
      </c>
      <c r="DN232" s="409">
        <v>0</v>
      </c>
      <c r="DO232" s="409">
        <v>-219.51106188967196</v>
      </c>
      <c r="DP232" s="409">
        <v>-31.51161429599091</v>
      </c>
      <c r="DQ232" s="409">
        <v>0</v>
      </c>
      <c r="DR232" s="409">
        <v>-549.46594721821771</v>
      </c>
      <c r="DS232" s="409"/>
      <c r="DT232" s="409"/>
      <c r="DU232" s="409"/>
      <c r="DV232" s="409">
        <v>88820.690504292201</v>
      </c>
      <c r="DW232" s="409">
        <v>0</v>
      </c>
      <c r="DX232" s="409">
        <v>0</v>
      </c>
      <c r="DY232" s="409">
        <v>-14447.770199999999</v>
      </c>
      <c r="DZ232" s="409">
        <v>5829.3300000000017</v>
      </c>
      <c r="EA232" s="409">
        <v>0</v>
      </c>
      <c r="EB232" s="409">
        <v>0</v>
      </c>
      <c r="EC232" s="409">
        <v>-14118.313593905215</v>
      </c>
      <c r="ED232" s="409">
        <v>0</v>
      </c>
      <c r="EE232" s="409">
        <v>0</v>
      </c>
      <c r="EF232" s="409">
        <v>0</v>
      </c>
      <c r="EG232" s="409">
        <v>0</v>
      </c>
      <c r="EH232" s="409">
        <v>0</v>
      </c>
      <c r="EI232" s="409">
        <v>0</v>
      </c>
      <c r="EJ232" s="409">
        <v>0</v>
      </c>
      <c r="EK232" s="409">
        <v>0</v>
      </c>
      <c r="EL232" s="409">
        <v>0</v>
      </c>
      <c r="EM232" s="409">
        <v>0</v>
      </c>
      <c r="EN232" s="409">
        <v>0</v>
      </c>
      <c r="EO232" s="409">
        <v>0</v>
      </c>
      <c r="EP232" s="409">
        <v>0</v>
      </c>
      <c r="EQ232" s="409">
        <v>0</v>
      </c>
      <c r="ER232" s="409">
        <v>0</v>
      </c>
      <c r="ES232" s="409">
        <v>0</v>
      </c>
      <c r="ET232" s="409">
        <v>0</v>
      </c>
      <c r="EU232" s="409">
        <v>0</v>
      </c>
      <c r="EV232" s="409">
        <v>210</v>
      </c>
      <c r="EW232" s="409">
        <v>0</v>
      </c>
      <c r="EX232" s="409">
        <v>0</v>
      </c>
      <c r="EY232" s="409">
        <v>0</v>
      </c>
      <c r="EZ232" s="409"/>
      <c r="FA232" s="409">
        <v>0</v>
      </c>
      <c r="FB232" s="409"/>
      <c r="FC232" s="409"/>
      <c r="FD232" s="409"/>
      <c r="FE232" s="409"/>
      <c r="FF232" s="409">
        <v>0</v>
      </c>
      <c r="FG232" s="409">
        <v>0</v>
      </c>
      <c r="FH232" s="409">
        <v>0</v>
      </c>
      <c r="FI232" s="409">
        <v>0</v>
      </c>
    </row>
    <row r="233" spans="1:165">
      <c r="A233" s="409">
        <v>231</v>
      </c>
      <c r="B233" s="409" t="s">
        <v>2257</v>
      </c>
      <c r="C233" s="409" t="s">
        <v>2241</v>
      </c>
      <c r="D233" s="409" t="s">
        <v>2247</v>
      </c>
      <c r="E233" s="409" t="s">
        <v>973</v>
      </c>
      <c r="F233" s="409" t="s">
        <v>1323</v>
      </c>
      <c r="G233" s="409" t="s">
        <v>1323</v>
      </c>
      <c r="H233" s="409" t="s">
        <v>1323</v>
      </c>
      <c r="I233" s="409" t="s">
        <v>1323</v>
      </c>
      <c r="J233" s="409" t="s">
        <v>2242</v>
      </c>
      <c r="K233" s="838">
        <v>44531</v>
      </c>
      <c r="L233" s="409">
        <v>0</v>
      </c>
      <c r="M233" s="409">
        <v>0</v>
      </c>
      <c r="N233" s="409">
        <v>-0.50800000000000001</v>
      </c>
      <c r="O233" s="409">
        <v>-0.50800000000000001</v>
      </c>
      <c r="P233" s="409">
        <v>-0.50800000000000001</v>
      </c>
      <c r="Q233" s="409">
        <v>-0.50800000000000001</v>
      </c>
      <c r="R233" s="409"/>
      <c r="S233" s="409">
        <v>358.62</v>
      </c>
      <c r="T233" s="409">
        <v>273.74</v>
      </c>
      <c r="U233" s="409"/>
      <c r="V233" s="409">
        <v>-321.23887999999999</v>
      </c>
      <c r="W233" s="409">
        <v>-321.23887999999999</v>
      </c>
      <c r="X233" s="409">
        <v>-311.47512</v>
      </c>
      <c r="Y233" s="409">
        <v>0</v>
      </c>
      <c r="Z233" s="409">
        <v>-30.670201392106083</v>
      </c>
      <c r="AA233" s="409">
        <v>0</v>
      </c>
      <c r="AB233" s="409">
        <v>0</v>
      </c>
      <c r="AC233" s="409">
        <v>0</v>
      </c>
      <c r="AD233" s="409">
        <v>-43.732966990885188</v>
      </c>
      <c r="AE233" s="409">
        <v>-100.62422955817318</v>
      </c>
      <c r="AF233" s="409">
        <v>-139.05954392239147</v>
      </c>
      <c r="AG233" s="409">
        <v>0</v>
      </c>
      <c r="AH233" s="409">
        <v>0</v>
      </c>
      <c r="AI233" s="409">
        <v>0</v>
      </c>
      <c r="AJ233" s="409">
        <v>0</v>
      </c>
      <c r="AK233" s="409">
        <v>0</v>
      </c>
      <c r="AL233" s="409">
        <v>-4.7429668114324759</v>
      </c>
      <c r="AM233" s="409"/>
      <c r="AN233" s="409">
        <v>-0.54106641654963561</v>
      </c>
      <c r="AO233" s="409">
        <v>0</v>
      </c>
      <c r="AP233" s="409">
        <v>0</v>
      </c>
      <c r="AQ233" s="409">
        <v>0</v>
      </c>
      <c r="AR233" s="409">
        <v>0</v>
      </c>
      <c r="AS233" s="409">
        <v>0</v>
      </c>
      <c r="AT233" s="409">
        <v>0</v>
      </c>
      <c r="AU233" s="409">
        <v>0</v>
      </c>
      <c r="AV233" s="409">
        <v>0</v>
      </c>
      <c r="AW233" s="409">
        <v>0</v>
      </c>
      <c r="AX233" s="409">
        <v>0</v>
      </c>
      <c r="AY233" s="409">
        <v>0</v>
      </c>
      <c r="AZ233" s="409">
        <v>0</v>
      </c>
      <c r="BA233" s="409"/>
      <c r="BB233" s="409">
        <v>0</v>
      </c>
      <c r="BC233" s="409">
        <v>0</v>
      </c>
      <c r="BD233" s="409">
        <v>0</v>
      </c>
      <c r="BE233" s="409">
        <v>0</v>
      </c>
      <c r="BF233" s="409">
        <v>0</v>
      </c>
      <c r="BG233" s="409">
        <v>-1.8686405289618309</v>
      </c>
      <c r="BH233" s="409">
        <v>0</v>
      </c>
      <c r="BI233" s="409">
        <v>-1.57</v>
      </c>
      <c r="BJ233" s="409">
        <v>-7.31</v>
      </c>
      <c r="BK233" s="409">
        <v>-29.84</v>
      </c>
      <c r="BL233" s="409">
        <v>0</v>
      </c>
      <c r="BM233" s="409"/>
      <c r="BN233" s="409"/>
      <c r="BO233" s="409"/>
      <c r="BP233" s="409"/>
      <c r="BQ233" s="409"/>
      <c r="BR233" s="409">
        <v>-43.606720000000003</v>
      </c>
      <c r="BS233" s="409"/>
      <c r="BT233" s="409"/>
      <c r="BU233" s="409"/>
      <c r="BV233" s="409">
        <v>-140.9281844513533</v>
      </c>
      <c r="BW233" s="409"/>
      <c r="BX233" s="409"/>
      <c r="BY233" s="409"/>
      <c r="BZ233" s="409"/>
      <c r="CA233" s="409"/>
      <c r="CB233" s="409"/>
      <c r="CC233" s="409"/>
      <c r="CD233" s="409"/>
      <c r="CE233" s="409"/>
      <c r="CF233" s="409"/>
      <c r="CG233" s="409"/>
      <c r="CH233" s="409"/>
      <c r="CI233" s="409">
        <v>-268.923</v>
      </c>
      <c r="CJ233" s="409">
        <v>7.3177200000000084</v>
      </c>
      <c r="CK233" s="409"/>
      <c r="CL233" s="409"/>
      <c r="CM233" s="409"/>
      <c r="CN233" s="409"/>
      <c r="CO233" s="409">
        <v>16.367760000000015</v>
      </c>
      <c r="CP233" s="409">
        <v>-6.6040000000000001</v>
      </c>
      <c r="CQ233" s="409"/>
      <c r="CR233" s="409">
        <v>-6.2290351585508006</v>
      </c>
      <c r="CS233" s="409">
        <v>0</v>
      </c>
      <c r="CT233" s="409">
        <v>0</v>
      </c>
      <c r="CU233" s="409">
        <v>0</v>
      </c>
      <c r="CV233" s="409">
        <v>0</v>
      </c>
      <c r="CW233" s="409">
        <v>0</v>
      </c>
      <c r="CX233" s="409">
        <v>0</v>
      </c>
      <c r="CY233" s="409">
        <v>0</v>
      </c>
      <c r="CZ233" s="409">
        <v>-1.4990979770351913</v>
      </c>
      <c r="DA233" s="409">
        <v>0</v>
      </c>
      <c r="DB233" s="409">
        <v>0</v>
      </c>
      <c r="DC233" s="409">
        <v>-7.4910987594997209</v>
      </c>
      <c r="DD233" s="409">
        <v>0</v>
      </c>
      <c r="DE233" s="409">
        <v>0</v>
      </c>
      <c r="DF233" s="409">
        <v>0</v>
      </c>
      <c r="DG233" s="409">
        <v>-0.10066314295025824</v>
      </c>
      <c r="DH233" s="409">
        <v>0</v>
      </c>
      <c r="DI233" s="409">
        <v>1.954957744976717</v>
      </c>
      <c r="DJ233" s="409"/>
      <c r="DK233" s="409">
        <v>0</v>
      </c>
      <c r="DL233" s="409">
        <v>0</v>
      </c>
      <c r="DM233" s="409">
        <v>0</v>
      </c>
      <c r="DN233" s="409">
        <v>0</v>
      </c>
      <c r="DO233" s="409">
        <v>0.24868227613111582</v>
      </c>
      <c r="DP233" s="409">
        <v>3.5699248594731059E-2</v>
      </c>
      <c r="DQ233" s="409">
        <v>0</v>
      </c>
      <c r="DR233" s="409">
        <v>0.62248545123180699</v>
      </c>
      <c r="DS233" s="409"/>
      <c r="DT233" s="409"/>
      <c r="DU233" s="409"/>
      <c r="DV233" s="409">
        <v>-100.62422955817318</v>
      </c>
      <c r="DW233" s="409">
        <v>0</v>
      </c>
      <c r="DX233" s="409">
        <v>0</v>
      </c>
      <c r="DY233" s="409">
        <v>16.367760000000033</v>
      </c>
      <c r="DZ233" s="409">
        <v>-6.6040000000000134</v>
      </c>
      <c r="EA233" s="409">
        <v>0</v>
      </c>
      <c r="EB233" s="409">
        <v>0</v>
      </c>
      <c r="EC233" s="409">
        <v>15.994521321343981</v>
      </c>
      <c r="ED233" s="409">
        <v>0</v>
      </c>
      <c r="EE233" s="409">
        <v>0</v>
      </c>
      <c r="EF233" s="409">
        <v>0</v>
      </c>
      <c r="EG233" s="409">
        <v>0</v>
      </c>
      <c r="EH233" s="409">
        <v>0</v>
      </c>
      <c r="EI233" s="409">
        <v>0</v>
      </c>
      <c r="EJ233" s="409">
        <v>0</v>
      </c>
      <c r="EK233" s="409">
        <v>0</v>
      </c>
      <c r="EL233" s="409">
        <v>0</v>
      </c>
      <c r="EM233" s="409">
        <v>0</v>
      </c>
      <c r="EN233" s="409">
        <v>0</v>
      </c>
      <c r="EO233" s="409">
        <v>0</v>
      </c>
      <c r="EP233" s="409">
        <v>0</v>
      </c>
      <c r="EQ233" s="409">
        <v>0</v>
      </c>
      <c r="ER233" s="409">
        <v>0</v>
      </c>
      <c r="ES233" s="409">
        <v>0</v>
      </c>
      <c r="ET233" s="409">
        <v>0</v>
      </c>
      <c r="EU233" s="409">
        <v>0</v>
      </c>
      <c r="EV233" s="409">
        <v>210</v>
      </c>
      <c r="EW233" s="409">
        <v>0</v>
      </c>
      <c r="EX233" s="409">
        <v>0</v>
      </c>
      <c r="EY233" s="409">
        <v>0</v>
      </c>
      <c r="EZ233" s="409"/>
      <c r="FA233" s="409">
        <v>0</v>
      </c>
      <c r="FB233" s="409"/>
      <c r="FC233" s="409"/>
      <c r="FD233" s="409"/>
      <c r="FE233" s="409"/>
      <c r="FF233" s="409">
        <v>0</v>
      </c>
      <c r="FG233" s="409">
        <v>0</v>
      </c>
      <c r="FH233" s="409">
        <v>0</v>
      </c>
      <c r="FI233" s="409">
        <v>0</v>
      </c>
    </row>
    <row r="234" spans="1:165">
      <c r="A234" s="409">
        <v>232</v>
      </c>
      <c r="B234" s="409" t="s">
        <v>2240</v>
      </c>
      <c r="C234" s="409" t="s">
        <v>2241</v>
      </c>
      <c r="D234" s="409" t="s">
        <v>2247</v>
      </c>
      <c r="E234" s="409" t="s">
        <v>973</v>
      </c>
      <c r="F234" s="409" t="s">
        <v>1323</v>
      </c>
      <c r="G234" s="409" t="s">
        <v>1323</v>
      </c>
      <c r="H234" s="409" t="s">
        <v>1323</v>
      </c>
      <c r="I234" s="409" t="s">
        <v>1323</v>
      </c>
      <c r="J234" s="409" t="s">
        <v>2242</v>
      </c>
      <c r="K234" s="838">
        <v>44531</v>
      </c>
      <c r="L234" s="409">
        <v>0</v>
      </c>
      <c r="M234" s="409">
        <v>0</v>
      </c>
      <c r="N234" s="409">
        <v>1.21</v>
      </c>
      <c r="O234" s="409">
        <v>1.21</v>
      </c>
      <c r="P234" s="409">
        <v>1.21</v>
      </c>
      <c r="Q234" s="409">
        <v>1.21</v>
      </c>
      <c r="R234" s="409"/>
      <c r="S234" s="409">
        <v>358.62</v>
      </c>
      <c r="T234" s="409">
        <v>273.74</v>
      </c>
      <c r="U234" s="409"/>
      <c r="V234" s="409">
        <v>765.15560000000005</v>
      </c>
      <c r="W234" s="409">
        <v>765.15560000000005</v>
      </c>
      <c r="X234" s="409">
        <v>741.89940000000001</v>
      </c>
      <c r="Y234" s="409">
        <v>0</v>
      </c>
      <c r="Z234" s="409">
        <v>73.053038748914091</v>
      </c>
      <c r="AA234" s="409">
        <v>0</v>
      </c>
      <c r="AB234" s="409">
        <v>0</v>
      </c>
      <c r="AC234" s="409">
        <v>0</v>
      </c>
      <c r="AD234" s="409">
        <v>104.1671064152974</v>
      </c>
      <c r="AE234" s="409">
        <v>239.67582237281405</v>
      </c>
      <c r="AF234" s="409">
        <v>331.22450422459383</v>
      </c>
      <c r="AG234" s="409">
        <v>0</v>
      </c>
      <c r="AH234" s="409">
        <v>0</v>
      </c>
      <c r="AI234" s="409">
        <v>0</v>
      </c>
      <c r="AJ234" s="409">
        <v>0</v>
      </c>
      <c r="AK234" s="409">
        <v>0</v>
      </c>
      <c r="AL234" s="409">
        <v>11.297224098097038</v>
      </c>
      <c r="AM234" s="409"/>
      <c r="AN234" s="409">
        <v>1.2887605591044469</v>
      </c>
      <c r="AO234" s="409">
        <v>0</v>
      </c>
      <c r="AP234" s="409">
        <v>0</v>
      </c>
      <c r="AQ234" s="409">
        <v>0</v>
      </c>
      <c r="AR234" s="409">
        <v>0</v>
      </c>
      <c r="AS234" s="409">
        <v>0</v>
      </c>
      <c r="AT234" s="409">
        <v>0</v>
      </c>
      <c r="AU234" s="409">
        <v>0</v>
      </c>
      <c r="AV234" s="409">
        <v>0</v>
      </c>
      <c r="AW234" s="409">
        <v>0</v>
      </c>
      <c r="AX234" s="409">
        <v>0</v>
      </c>
      <c r="AY234" s="409">
        <v>0</v>
      </c>
      <c r="AZ234" s="409">
        <v>0</v>
      </c>
      <c r="BA234" s="409"/>
      <c r="BB234" s="409">
        <v>0</v>
      </c>
      <c r="BC234" s="409">
        <v>0</v>
      </c>
      <c r="BD234" s="409">
        <v>0</v>
      </c>
      <c r="BE234" s="409">
        <v>0</v>
      </c>
      <c r="BF234" s="409">
        <v>0</v>
      </c>
      <c r="BG234" s="409">
        <v>4.4508957481177465</v>
      </c>
      <c r="BH234" s="409">
        <v>0</v>
      </c>
      <c r="BI234" s="409">
        <v>3.86</v>
      </c>
      <c r="BJ234" s="409">
        <v>17.97</v>
      </c>
      <c r="BK234" s="409">
        <v>160.13999999999999</v>
      </c>
      <c r="BL234" s="409">
        <v>9</v>
      </c>
      <c r="BM234" s="409"/>
      <c r="BN234" s="409"/>
      <c r="BO234" s="409"/>
      <c r="BP234" s="409"/>
      <c r="BQ234" s="409"/>
      <c r="BR234" s="409">
        <v>103.8664</v>
      </c>
      <c r="BS234" s="409"/>
      <c r="BT234" s="409"/>
      <c r="BU234" s="409"/>
      <c r="BV234" s="409">
        <v>335.6753999727116</v>
      </c>
      <c r="BW234" s="409"/>
      <c r="BX234" s="409"/>
      <c r="BY234" s="409"/>
      <c r="BZ234" s="409"/>
      <c r="CA234" s="409"/>
      <c r="CB234" s="409"/>
      <c r="CC234" s="409"/>
      <c r="CD234" s="409"/>
      <c r="CE234" s="409"/>
      <c r="CF234" s="409"/>
      <c r="CG234" s="409"/>
      <c r="CH234" s="409"/>
      <c r="CI234" s="409">
        <v>638.0329999999999</v>
      </c>
      <c r="CJ234" s="409">
        <v>-20.04340000000002</v>
      </c>
      <c r="CK234" s="409"/>
      <c r="CL234" s="409"/>
      <c r="CM234" s="409"/>
      <c r="CN234" s="409"/>
      <c r="CO234" s="409">
        <v>-38.986200000000032</v>
      </c>
      <c r="CP234" s="409">
        <v>15.73</v>
      </c>
      <c r="CQ234" s="409"/>
      <c r="CR234" s="409">
        <v>14.836875082374718</v>
      </c>
      <c r="CS234" s="409">
        <v>0</v>
      </c>
      <c r="CT234" s="409">
        <v>0</v>
      </c>
      <c r="CU234" s="409">
        <v>0</v>
      </c>
      <c r="CV234" s="409">
        <v>0</v>
      </c>
      <c r="CW234" s="409">
        <v>0</v>
      </c>
      <c r="CX234" s="409">
        <v>0</v>
      </c>
      <c r="CY234" s="409">
        <v>0</v>
      </c>
      <c r="CZ234" s="409">
        <v>3.5706861264027197</v>
      </c>
      <c r="DA234" s="409">
        <v>0</v>
      </c>
      <c r="DB234" s="409">
        <v>0</v>
      </c>
      <c r="DC234" s="409">
        <v>17.842971454713904</v>
      </c>
      <c r="DD234" s="409">
        <v>0</v>
      </c>
      <c r="DE234" s="409">
        <v>0</v>
      </c>
      <c r="DF234" s="409">
        <v>0</v>
      </c>
      <c r="DG234" s="409">
        <v>0.2397685097830955</v>
      </c>
      <c r="DH234" s="409">
        <v>0</v>
      </c>
      <c r="DI234" s="409">
        <v>-4.6564938413815469</v>
      </c>
      <c r="DJ234" s="409"/>
      <c r="DK234" s="409">
        <v>0</v>
      </c>
      <c r="DL234" s="409">
        <v>0</v>
      </c>
      <c r="DM234" s="409">
        <v>0</v>
      </c>
      <c r="DN234" s="409">
        <v>0</v>
      </c>
      <c r="DO234" s="409">
        <v>-0.59233376795009818</v>
      </c>
      <c r="DP234" s="409">
        <v>-8.5031674802410695E-2</v>
      </c>
      <c r="DQ234" s="409">
        <v>0</v>
      </c>
      <c r="DR234" s="409">
        <v>-1.4826917243907212</v>
      </c>
      <c r="DS234" s="409"/>
      <c r="DT234" s="409"/>
      <c r="DU234" s="409"/>
      <c r="DV234" s="409">
        <v>239.67582237281405</v>
      </c>
      <c r="DW234" s="409">
        <v>0</v>
      </c>
      <c r="DX234" s="409">
        <v>0</v>
      </c>
      <c r="DY234" s="409">
        <v>-38.986200000000053</v>
      </c>
      <c r="DZ234" s="409">
        <v>15.730000000000018</v>
      </c>
      <c r="EA234" s="409">
        <v>0</v>
      </c>
      <c r="EB234" s="409">
        <v>0</v>
      </c>
      <c r="EC234" s="409">
        <v>-38.097186611862611</v>
      </c>
      <c r="ED234" s="409">
        <v>0</v>
      </c>
      <c r="EE234" s="409">
        <v>0</v>
      </c>
      <c r="EF234" s="409">
        <v>0</v>
      </c>
      <c r="EG234" s="409">
        <v>0</v>
      </c>
      <c r="EH234" s="409">
        <v>0</v>
      </c>
      <c r="EI234" s="409">
        <v>0</v>
      </c>
      <c r="EJ234" s="409">
        <v>0</v>
      </c>
      <c r="EK234" s="409">
        <v>0</v>
      </c>
      <c r="EL234" s="409">
        <v>0</v>
      </c>
      <c r="EM234" s="409">
        <v>0</v>
      </c>
      <c r="EN234" s="409">
        <v>0</v>
      </c>
      <c r="EO234" s="409">
        <v>0</v>
      </c>
      <c r="EP234" s="409">
        <v>0</v>
      </c>
      <c r="EQ234" s="409">
        <v>0</v>
      </c>
      <c r="ER234" s="409">
        <v>0</v>
      </c>
      <c r="ES234" s="409">
        <v>0</v>
      </c>
      <c r="ET234" s="409">
        <v>0</v>
      </c>
      <c r="EU234" s="409">
        <v>0</v>
      </c>
      <c r="EV234" s="409">
        <v>210</v>
      </c>
      <c r="EW234" s="409">
        <v>0</v>
      </c>
      <c r="EX234" s="409">
        <v>0</v>
      </c>
      <c r="EY234" s="409">
        <v>0</v>
      </c>
      <c r="EZ234" s="409"/>
      <c r="FA234" s="409">
        <v>0</v>
      </c>
      <c r="FB234" s="409"/>
      <c r="FC234" s="409"/>
      <c r="FD234" s="409"/>
      <c r="FE234" s="409"/>
      <c r="FF234" s="409">
        <v>0</v>
      </c>
      <c r="FG234" s="409">
        <v>0</v>
      </c>
      <c r="FH234" s="409">
        <v>0</v>
      </c>
      <c r="FI234" s="409">
        <v>0</v>
      </c>
    </row>
    <row r="235" spans="1:165">
      <c r="A235" s="409">
        <v>233</v>
      </c>
      <c r="B235" s="409" t="s">
        <v>1035</v>
      </c>
      <c r="C235" s="409" t="s">
        <v>2248</v>
      </c>
      <c r="D235" s="409" t="s">
        <v>2247</v>
      </c>
      <c r="E235" s="409" t="s">
        <v>973</v>
      </c>
      <c r="F235" s="409" t="s">
        <v>1323</v>
      </c>
      <c r="G235" s="409" t="s">
        <v>1323</v>
      </c>
      <c r="H235" s="409" t="s">
        <v>1323</v>
      </c>
      <c r="I235" s="409" t="s">
        <v>972</v>
      </c>
      <c r="J235" s="409" t="s">
        <v>2242</v>
      </c>
      <c r="K235" s="838">
        <v>44531</v>
      </c>
      <c r="L235" s="409">
        <v>0</v>
      </c>
      <c r="M235" s="409">
        <v>0</v>
      </c>
      <c r="N235" s="409">
        <v>2E-3</v>
      </c>
      <c r="O235" s="409">
        <v>2E-3</v>
      </c>
      <c r="P235" s="409">
        <v>2E-3</v>
      </c>
      <c r="Q235" s="409">
        <v>2E-3</v>
      </c>
      <c r="R235" s="409"/>
      <c r="S235" s="409">
        <v>760.53</v>
      </c>
      <c r="T235" s="409">
        <v>235.42</v>
      </c>
      <c r="U235" s="409"/>
      <c r="V235" s="409">
        <v>1.9919</v>
      </c>
      <c r="W235" s="409">
        <v>1.9919</v>
      </c>
      <c r="X235" s="409">
        <v>1.8693400000000002</v>
      </c>
      <c r="Y235" s="409">
        <v>0</v>
      </c>
      <c r="Z235" s="409">
        <v>0.1038439889653984</v>
      </c>
      <c r="AA235" s="409">
        <v>0</v>
      </c>
      <c r="AB235" s="409">
        <v>0</v>
      </c>
      <c r="AC235" s="409">
        <v>0</v>
      </c>
      <c r="AD235" s="409">
        <v>0.42200865790270004</v>
      </c>
      <c r="AE235" s="409">
        <v>0.97098445176677206</v>
      </c>
      <c r="AF235" s="409">
        <v>0.47083152666636402</v>
      </c>
      <c r="AG235" s="409">
        <v>0</v>
      </c>
      <c r="AH235" s="409">
        <v>0</v>
      </c>
      <c r="AI235" s="409">
        <v>0</v>
      </c>
      <c r="AJ235" s="409">
        <v>0</v>
      </c>
      <c r="AK235" s="409">
        <v>0</v>
      </c>
      <c r="AL235" s="409">
        <v>1.605886400721232E-2</v>
      </c>
      <c r="AM235" s="409"/>
      <c r="AN235" s="409">
        <v>1.8319571583964021E-3</v>
      </c>
      <c r="AO235" s="409">
        <v>0</v>
      </c>
      <c r="AP235" s="409">
        <v>0</v>
      </c>
      <c r="AQ235" s="409">
        <v>0</v>
      </c>
      <c r="AR235" s="409">
        <v>0</v>
      </c>
      <c r="AS235" s="409">
        <v>0</v>
      </c>
      <c r="AT235" s="409">
        <v>0</v>
      </c>
      <c r="AU235" s="409">
        <v>0</v>
      </c>
      <c r="AV235" s="409">
        <v>0</v>
      </c>
      <c r="AW235" s="409">
        <v>0</v>
      </c>
      <c r="AX235" s="409">
        <v>0</v>
      </c>
      <c r="AY235" s="409">
        <v>0</v>
      </c>
      <c r="AZ235" s="409">
        <v>0</v>
      </c>
      <c r="BA235" s="409"/>
      <c r="BB235" s="409">
        <v>0</v>
      </c>
      <c r="BC235" s="409">
        <v>0</v>
      </c>
      <c r="BD235" s="409">
        <v>0</v>
      </c>
      <c r="BE235" s="409">
        <v>0</v>
      </c>
      <c r="BF235" s="409">
        <v>0</v>
      </c>
      <c r="BG235" s="409">
        <v>6.3268931295558202E-3</v>
      </c>
      <c r="BH235" s="409">
        <v>0</v>
      </c>
      <c r="BI235" s="409">
        <v>0</v>
      </c>
      <c r="BJ235" s="409">
        <v>0</v>
      </c>
      <c r="BK235" s="409">
        <v>0</v>
      </c>
      <c r="BL235" s="409">
        <v>0</v>
      </c>
      <c r="BM235" s="409"/>
      <c r="BN235" s="409"/>
      <c r="BO235" s="409"/>
      <c r="BP235" s="409"/>
      <c r="BQ235" s="409"/>
      <c r="BR235" s="409"/>
      <c r="BS235" s="409"/>
      <c r="BT235" s="409"/>
      <c r="BU235" s="409"/>
      <c r="BV235" s="409">
        <v>0.47715841979591983</v>
      </c>
      <c r="BW235" s="409"/>
      <c r="BX235" s="409"/>
      <c r="BY235" s="409"/>
      <c r="BZ235" s="409"/>
      <c r="CA235" s="409"/>
      <c r="CB235" s="409"/>
      <c r="CC235" s="409"/>
      <c r="CD235" s="409"/>
      <c r="CE235" s="409"/>
      <c r="CF235" s="409"/>
      <c r="CG235" s="409"/>
      <c r="CH235" s="409"/>
      <c r="CI235" s="409">
        <v>0</v>
      </c>
      <c r="CJ235" s="409">
        <v>-2.0219</v>
      </c>
      <c r="CK235" s="409"/>
      <c r="CL235" s="409"/>
      <c r="CM235" s="409"/>
      <c r="CN235" s="409"/>
      <c r="CO235" s="409">
        <v>-0.14491999999999985</v>
      </c>
      <c r="CP235" s="409">
        <v>2.2360000000000015E-2</v>
      </c>
      <c r="CQ235" s="409"/>
      <c r="CR235" s="409">
        <v>3.1785608611027527E-2</v>
      </c>
      <c r="CS235" s="409">
        <v>0</v>
      </c>
      <c r="CT235" s="409">
        <v>0</v>
      </c>
      <c r="CU235" s="409">
        <v>0</v>
      </c>
      <c r="CV235" s="409">
        <v>0</v>
      </c>
      <c r="CW235" s="409">
        <v>0</v>
      </c>
      <c r="CX235" s="409">
        <v>0</v>
      </c>
      <c r="CY235" s="409">
        <v>0</v>
      </c>
      <c r="CZ235" s="409">
        <v>1.446579934732195E-2</v>
      </c>
      <c r="DA235" s="409">
        <v>0</v>
      </c>
      <c r="DB235" s="409">
        <v>0</v>
      </c>
      <c r="DC235" s="409">
        <v>2.536356272901602E-2</v>
      </c>
      <c r="DD235" s="409">
        <v>0</v>
      </c>
      <c r="DE235" s="409">
        <v>0</v>
      </c>
      <c r="DF235" s="409">
        <v>0</v>
      </c>
      <c r="DG235" s="409">
        <v>3.4082796431976047E-4</v>
      </c>
      <c r="DH235" s="409">
        <v>0</v>
      </c>
      <c r="DI235" s="409">
        <v>-6.6191482703933935E-3</v>
      </c>
      <c r="DJ235" s="409"/>
      <c r="DK235" s="409">
        <v>0</v>
      </c>
      <c r="DL235" s="409">
        <v>0</v>
      </c>
      <c r="DM235" s="409">
        <v>0</v>
      </c>
      <c r="DN235" s="409">
        <v>0</v>
      </c>
      <c r="DO235" s="409">
        <v>-8.4199510816045965E-4</v>
      </c>
      <c r="DP235" s="409">
        <v>-1.2087147161995212E-4</v>
      </c>
      <c r="DQ235" s="409">
        <v>0</v>
      </c>
      <c r="DR235" s="409">
        <v>-8.0256657945647954E-4</v>
      </c>
      <c r="DS235" s="409"/>
      <c r="DT235" s="409"/>
      <c r="DU235" s="409"/>
      <c r="DV235" s="409">
        <v>0.97098445176677206</v>
      </c>
      <c r="DW235" s="409">
        <v>0</v>
      </c>
      <c r="DX235" s="409">
        <v>0</v>
      </c>
      <c r="DY235" s="409">
        <v>-0.14491999999999994</v>
      </c>
      <c r="DZ235" s="409">
        <v>2.2359999999999991E-2</v>
      </c>
      <c r="EA235" s="409">
        <v>0</v>
      </c>
      <c r="EB235" s="409">
        <v>0</v>
      </c>
      <c r="EC235" s="409">
        <v>-0.15434087381010408</v>
      </c>
      <c r="ED235" s="409">
        <v>0</v>
      </c>
      <c r="EE235" s="409">
        <v>0</v>
      </c>
      <c r="EF235" s="409">
        <v>0</v>
      </c>
      <c r="EG235" s="409">
        <v>0</v>
      </c>
      <c r="EH235" s="409">
        <v>0</v>
      </c>
      <c r="EI235" s="409">
        <v>0</v>
      </c>
      <c r="EJ235" s="409">
        <v>0</v>
      </c>
      <c r="EK235" s="409">
        <v>0</v>
      </c>
      <c r="EL235" s="409">
        <v>0</v>
      </c>
      <c r="EM235" s="409">
        <v>0</v>
      </c>
      <c r="EN235" s="409">
        <v>0</v>
      </c>
      <c r="EO235" s="409">
        <v>0</v>
      </c>
      <c r="EP235" s="409">
        <v>0</v>
      </c>
      <c r="EQ235" s="409">
        <v>0</v>
      </c>
      <c r="ER235" s="409">
        <v>0</v>
      </c>
      <c r="ES235" s="409">
        <v>0</v>
      </c>
      <c r="ET235" s="409">
        <v>0</v>
      </c>
      <c r="EU235" s="409">
        <v>0</v>
      </c>
      <c r="EV235" s="409">
        <v>210</v>
      </c>
      <c r="EW235" s="409">
        <v>0</v>
      </c>
      <c r="EX235" s="409">
        <v>0</v>
      </c>
      <c r="EY235" s="409">
        <v>0</v>
      </c>
      <c r="EZ235" s="409"/>
      <c r="FA235" s="409">
        <v>0</v>
      </c>
      <c r="FB235" s="409"/>
      <c r="FC235" s="409"/>
      <c r="FD235" s="409"/>
      <c r="FE235" s="409"/>
      <c r="FF235" s="409">
        <v>0</v>
      </c>
      <c r="FG235" s="409">
        <v>0</v>
      </c>
      <c r="FH235" s="409">
        <v>0</v>
      </c>
      <c r="FI235" s="409">
        <v>0</v>
      </c>
    </row>
    <row r="236" spans="1:165">
      <c r="A236" s="409">
        <v>234</v>
      </c>
      <c r="B236" s="409" t="s">
        <v>1035</v>
      </c>
      <c r="C236" s="409" t="s">
        <v>2248</v>
      </c>
      <c r="D236" s="409" t="s">
        <v>2247</v>
      </c>
      <c r="E236" s="409" t="s">
        <v>973</v>
      </c>
      <c r="F236" s="409" t="s">
        <v>1323</v>
      </c>
      <c r="G236" s="409" t="s">
        <v>1323</v>
      </c>
      <c r="H236" s="409" t="s">
        <v>1323</v>
      </c>
      <c r="I236" s="409" t="s">
        <v>2234</v>
      </c>
      <c r="J236" s="409" t="s">
        <v>2242</v>
      </c>
      <c r="K236" s="838">
        <v>44531</v>
      </c>
      <c r="L236" s="409">
        <v>0</v>
      </c>
      <c r="M236" s="409">
        <v>0</v>
      </c>
      <c r="N236" s="409">
        <v>5.5E-2</v>
      </c>
      <c r="O236" s="409">
        <v>5.5E-2</v>
      </c>
      <c r="P236" s="409">
        <v>5.5E-2</v>
      </c>
      <c r="Q236" s="409">
        <v>5.5E-2</v>
      </c>
      <c r="R236" s="409"/>
      <c r="S236" s="409">
        <v>203.33</v>
      </c>
      <c r="T236" s="409">
        <v>235.42</v>
      </c>
      <c r="U236" s="409"/>
      <c r="V236" s="409">
        <v>24.131250000000001</v>
      </c>
      <c r="W236" s="409">
        <v>24.131250000000001</v>
      </c>
      <c r="X236" s="409">
        <v>23.7941</v>
      </c>
      <c r="Y236" s="409">
        <v>0</v>
      </c>
      <c r="Z236" s="409">
        <v>2.8557096965484559</v>
      </c>
      <c r="AA236" s="409">
        <v>0</v>
      </c>
      <c r="AB236" s="409">
        <v>0</v>
      </c>
      <c r="AC236" s="409">
        <v>0</v>
      </c>
      <c r="AD236" s="409">
        <v>2.3210876495289341</v>
      </c>
      <c r="AE236" s="409">
        <v>5.3404163354218488</v>
      </c>
      <c r="AF236" s="409">
        <v>12.94786698332501</v>
      </c>
      <c r="AG236" s="409">
        <v>0</v>
      </c>
      <c r="AH236" s="409">
        <v>0</v>
      </c>
      <c r="AI236" s="409">
        <v>0</v>
      </c>
      <c r="AJ236" s="409">
        <v>0</v>
      </c>
      <c r="AK236" s="409">
        <v>0</v>
      </c>
      <c r="AL236" s="409">
        <v>0.44161876019833884</v>
      </c>
      <c r="AM236" s="409"/>
      <c r="AN236" s="409">
        <v>5.0378821855901056E-2</v>
      </c>
      <c r="AO236" s="409">
        <v>0</v>
      </c>
      <c r="AP236" s="409">
        <v>0</v>
      </c>
      <c r="AQ236" s="409">
        <v>0</v>
      </c>
      <c r="AR236" s="409">
        <v>0</v>
      </c>
      <c r="AS236" s="409">
        <v>0</v>
      </c>
      <c r="AT236" s="409">
        <v>0</v>
      </c>
      <c r="AU236" s="409">
        <v>0</v>
      </c>
      <c r="AV236" s="409">
        <v>0</v>
      </c>
      <c r="AW236" s="409">
        <v>0</v>
      </c>
      <c r="AX236" s="409">
        <v>0</v>
      </c>
      <c r="AY236" s="409">
        <v>0</v>
      </c>
      <c r="AZ236" s="409">
        <v>0</v>
      </c>
      <c r="BA236" s="409"/>
      <c r="BB236" s="409">
        <v>0</v>
      </c>
      <c r="BC236" s="409">
        <v>0</v>
      </c>
      <c r="BD236" s="409">
        <v>0</v>
      </c>
      <c r="BE236" s="409">
        <v>0</v>
      </c>
      <c r="BF236" s="409">
        <v>0</v>
      </c>
      <c r="BG236" s="409">
        <v>0.17398956106278507</v>
      </c>
      <c r="BH236" s="409">
        <v>0</v>
      </c>
      <c r="BI236" s="409">
        <v>0</v>
      </c>
      <c r="BJ236" s="409">
        <v>0</v>
      </c>
      <c r="BK236" s="409">
        <v>0</v>
      </c>
      <c r="BL236" s="409">
        <v>0</v>
      </c>
      <c r="BM236" s="409"/>
      <c r="BN236" s="409"/>
      <c r="BO236" s="409"/>
      <c r="BP236" s="409"/>
      <c r="BQ236" s="409"/>
      <c r="BR236" s="409"/>
      <c r="BS236" s="409"/>
      <c r="BT236" s="409"/>
      <c r="BU236" s="409"/>
      <c r="BV236" s="409">
        <v>13.121856544387795</v>
      </c>
      <c r="BW236" s="409"/>
      <c r="BX236" s="409"/>
      <c r="BY236" s="409"/>
      <c r="BZ236" s="409"/>
      <c r="CA236" s="409"/>
      <c r="CB236" s="409"/>
      <c r="CC236" s="409"/>
      <c r="CD236" s="409"/>
      <c r="CE236" s="409"/>
      <c r="CF236" s="409"/>
      <c r="CG236" s="409"/>
      <c r="CH236" s="409"/>
      <c r="CI236" s="409">
        <v>25.9572</v>
      </c>
      <c r="CJ236" s="409">
        <v>1.7959499999999977</v>
      </c>
      <c r="CK236" s="409"/>
      <c r="CL236" s="409"/>
      <c r="CM236" s="409"/>
      <c r="CN236" s="409"/>
      <c r="CO236" s="409">
        <v>-0.95205000000000017</v>
      </c>
      <c r="CP236" s="409">
        <v>0.61490000000000034</v>
      </c>
      <c r="CQ236" s="409"/>
      <c r="CR236" s="409">
        <v>0.51162713786011338</v>
      </c>
      <c r="CS236" s="409">
        <v>0</v>
      </c>
      <c r="CT236" s="409">
        <v>0</v>
      </c>
      <c r="CU236" s="409">
        <v>0</v>
      </c>
      <c r="CV236" s="409">
        <v>0</v>
      </c>
      <c r="CW236" s="409">
        <v>0</v>
      </c>
      <c r="CX236" s="409">
        <v>0</v>
      </c>
      <c r="CY236" s="409">
        <v>0</v>
      </c>
      <c r="CZ236" s="409">
        <v>7.9563268612794946E-2</v>
      </c>
      <c r="DA236" s="409">
        <v>0</v>
      </c>
      <c r="DB236" s="409">
        <v>0</v>
      </c>
      <c r="DC236" s="409">
        <v>0.69749797504794131</v>
      </c>
      <c r="DD236" s="409">
        <v>0</v>
      </c>
      <c r="DE236" s="409">
        <v>0</v>
      </c>
      <c r="DF236" s="409">
        <v>0</v>
      </c>
      <c r="DG236" s="409">
        <v>9.3727690187933865E-3</v>
      </c>
      <c r="DH236" s="409">
        <v>0</v>
      </c>
      <c r="DI236" s="409">
        <v>-0.18202657743581829</v>
      </c>
      <c r="DJ236" s="409"/>
      <c r="DK236" s="409">
        <v>0</v>
      </c>
      <c r="DL236" s="409">
        <v>0</v>
      </c>
      <c r="DM236" s="409">
        <v>0</v>
      </c>
      <c r="DN236" s="409">
        <v>0</v>
      </c>
      <c r="DO236" s="409">
        <v>-2.31548654744127E-2</v>
      </c>
      <c r="DP236" s="409">
        <v>-3.3239654695486828E-3</v>
      </c>
      <c r="DQ236" s="409">
        <v>0</v>
      </c>
      <c r="DR236" s="409">
        <v>-6.6301466439643325E-2</v>
      </c>
      <c r="DS236" s="409"/>
      <c r="DT236" s="409"/>
      <c r="DU236" s="409"/>
      <c r="DV236" s="409">
        <v>5.3404163354218488</v>
      </c>
      <c r="DW236" s="409">
        <v>0</v>
      </c>
      <c r="DX236" s="409">
        <v>0</v>
      </c>
      <c r="DY236" s="409">
        <v>-0.95204999999999984</v>
      </c>
      <c r="DZ236" s="409">
        <v>0.61490000000000045</v>
      </c>
      <c r="EA236" s="409">
        <v>0</v>
      </c>
      <c r="EB236" s="409">
        <v>0</v>
      </c>
      <c r="EC236" s="409">
        <v>-0.8488751001305852</v>
      </c>
      <c r="ED236" s="409">
        <v>0</v>
      </c>
      <c r="EE236" s="409">
        <v>0</v>
      </c>
      <c r="EF236" s="409">
        <v>0</v>
      </c>
      <c r="EG236" s="409">
        <v>0</v>
      </c>
      <c r="EH236" s="409">
        <v>0</v>
      </c>
      <c r="EI236" s="409">
        <v>0</v>
      </c>
      <c r="EJ236" s="409">
        <v>0</v>
      </c>
      <c r="EK236" s="409">
        <v>0</v>
      </c>
      <c r="EL236" s="409">
        <v>0</v>
      </c>
      <c r="EM236" s="409">
        <v>0</v>
      </c>
      <c r="EN236" s="409">
        <v>0</v>
      </c>
      <c r="EO236" s="409">
        <v>0</v>
      </c>
      <c r="EP236" s="409">
        <v>0</v>
      </c>
      <c r="EQ236" s="409">
        <v>0</v>
      </c>
      <c r="ER236" s="409">
        <v>0</v>
      </c>
      <c r="ES236" s="409">
        <v>0</v>
      </c>
      <c r="ET236" s="409">
        <v>0</v>
      </c>
      <c r="EU236" s="409">
        <v>0</v>
      </c>
      <c r="EV236" s="409">
        <v>210</v>
      </c>
      <c r="EW236" s="409">
        <v>0</v>
      </c>
      <c r="EX236" s="409">
        <v>0</v>
      </c>
      <c r="EY236" s="409">
        <v>0</v>
      </c>
      <c r="EZ236" s="409"/>
      <c r="FA236" s="409">
        <v>0</v>
      </c>
      <c r="FB236" s="409"/>
      <c r="FC236" s="409"/>
      <c r="FD236" s="409"/>
      <c r="FE236" s="409"/>
      <c r="FF236" s="409">
        <v>0</v>
      </c>
      <c r="FG236" s="409">
        <v>0</v>
      </c>
      <c r="FH236" s="409">
        <v>0</v>
      </c>
      <c r="FI236" s="409">
        <v>0</v>
      </c>
    </row>
    <row r="237" spans="1:165">
      <c r="A237" s="409">
        <v>235</v>
      </c>
      <c r="B237" s="409" t="s">
        <v>1035</v>
      </c>
      <c r="C237" s="409" t="s">
        <v>2248</v>
      </c>
      <c r="D237" s="409" t="s">
        <v>2247</v>
      </c>
      <c r="E237" s="409" t="s">
        <v>973</v>
      </c>
      <c r="F237" s="409" t="s">
        <v>1323</v>
      </c>
      <c r="G237" s="409" t="s">
        <v>1323</v>
      </c>
      <c r="H237" s="409" t="s">
        <v>1323</v>
      </c>
      <c r="I237" s="409" t="s">
        <v>1323</v>
      </c>
      <c r="J237" s="409" t="s">
        <v>2242</v>
      </c>
      <c r="K237" s="838">
        <v>44531</v>
      </c>
      <c r="L237" s="409">
        <v>0</v>
      </c>
      <c r="M237" s="409">
        <v>0</v>
      </c>
      <c r="N237" s="409">
        <v>0</v>
      </c>
      <c r="O237" s="409">
        <v>0</v>
      </c>
      <c r="P237" s="409">
        <v>0</v>
      </c>
      <c r="Q237" s="409">
        <v>0</v>
      </c>
      <c r="R237" s="409"/>
      <c r="S237" s="409"/>
      <c r="T237" s="409"/>
      <c r="U237" s="409"/>
      <c r="V237" s="409"/>
      <c r="W237" s="409"/>
      <c r="X237" s="409"/>
      <c r="Y237" s="409"/>
      <c r="Z237" s="409"/>
      <c r="AA237" s="409">
        <v>0</v>
      </c>
      <c r="AB237" s="409"/>
      <c r="AC237" s="409"/>
      <c r="AD237" s="409"/>
      <c r="AE237" s="409"/>
      <c r="AF237" s="409"/>
      <c r="AG237" s="409"/>
      <c r="AH237" s="409"/>
      <c r="AI237" s="409"/>
      <c r="AJ237" s="409"/>
      <c r="AK237" s="409"/>
      <c r="AL237" s="409"/>
      <c r="AM237" s="409"/>
      <c r="AN237" s="409"/>
      <c r="AO237" s="409"/>
      <c r="AP237" s="409"/>
      <c r="AQ237" s="409"/>
      <c r="AR237" s="409"/>
      <c r="AS237" s="409"/>
      <c r="AT237" s="409"/>
      <c r="AU237" s="409"/>
      <c r="AV237" s="409"/>
      <c r="AW237" s="409"/>
      <c r="AX237" s="409"/>
      <c r="AY237" s="409"/>
      <c r="AZ237" s="409">
        <v>0</v>
      </c>
      <c r="BA237" s="409"/>
      <c r="BB237" s="409"/>
      <c r="BC237" s="409"/>
      <c r="BD237" s="409"/>
      <c r="BE237" s="409"/>
      <c r="BF237" s="409"/>
      <c r="BG237" s="409"/>
      <c r="BH237" s="409"/>
      <c r="BI237" s="409">
        <v>0.23</v>
      </c>
      <c r="BJ237" s="409">
        <v>1.07</v>
      </c>
      <c r="BK237" s="409">
        <v>0</v>
      </c>
      <c r="BL237" s="409">
        <v>1</v>
      </c>
      <c r="BM237" s="409"/>
      <c r="BN237" s="409"/>
      <c r="BO237" s="409"/>
      <c r="BP237" s="409"/>
      <c r="BQ237" s="409"/>
      <c r="BR237" s="409"/>
      <c r="BS237" s="409"/>
      <c r="BT237" s="409"/>
      <c r="BU237" s="409"/>
      <c r="BV237" s="409"/>
      <c r="BW237" s="409"/>
      <c r="BX237" s="409"/>
      <c r="BY237" s="409"/>
      <c r="BZ237" s="409"/>
      <c r="CA237" s="409"/>
      <c r="CB237" s="409"/>
      <c r="CC237" s="409"/>
      <c r="CD237" s="409"/>
      <c r="CE237" s="409"/>
      <c r="CF237" s="409"/>
      <c r="CG237" s="409"/>
      <c r="CH237" s="409"/>
      <c r="CI237" s="409"/>
      <c r="CJ237" s="409">
        <v>-0.03</v>
      </c>
      <c r="CK237" s="409"/>
      <c r="CL237" s="409"/>
      <c r="CM237" s="409"/>
      <c r="CN237" s="409"/>
      <c r="CO237" s="409">
        <v>0</v>
      </c>
      <c r="CP237" s="409">
        <v>0</v>
      </c>
      <c r="CQ237" s="409"/>
      <c r="CR237" s="409"/>
      <c r="CS237" s="409"/>
      <c r="CT237" s="409"/>
      <c r="CU237" s="409"/>
      <c r="CV237" s="409"/>
      <c r="CW237" s="409"/>
      <c r="CX237" s="409"/>
      <c r="CY237" s="409"/>
      <c r="CZ237" s="409"/>
      <c r="DA237" s="409"/>
      <c r="DB237" s="409"/>
      <c r="DC237" s="409"/>
      <c r="DD237" s="409"/>
      <c r="DE237" s="409"/>
      <c r="DF237" s="409"/>
      <c r="DG237" s="409"/>
      <c r="DH237" s="409"/>
      <c r="DI237" s="409"/>
      <c r="DJ237" s="409"/>
      <c r="DK237" s="409">
        <v>0</v>
      </c>
      <c r="DL237" s="409"/>
      <c r="DM237" s="409"/>
      <c r="DN237" s="409"/>
      <c r="DO237" s="409"/>
      <c r="DP237" s="409"/>
      <c r="DQ237" s="409"/>
      <c r="DR237" s="409"/>
      <c r="DS237" s="409"/>
      <c r="DT237" s="409"/>
      <c r="DU237" s="409"/>
      <c r="DV237" s="409"/>
      <c r="DW237" s="409"/>
      <c r="DX237" s="409"/>
      <c r="DY237" s="409"/>
      <c r="DZ237" s="409"/>
      <c r="EA237" s="409"/>
      <c r="EB237" s="409"/>
      <c r="EC237" s="409"/>
      <c r="ED237" s="409"/>
      <c r="EE237" s="409"/>
      <c r="EF237" s="409"/>
      <c r="EG237" s="409"/>
      <c r="EH237" s="409"/>
      <c r="EI237" s="409"/>
      <c r="EJ237" s="409"/>
      <c r="EK237" s="409"/>
      <c r="EL237" s="409"/>
      <c r="EM237" s="409"/>
      <c r="EN237" s="409"/>
      <c r="EO237" s="409"/>
      <c r="EP237" s="409"/>
      <c r="EQ237" s="409"/>
      <c r="ER237" s="409"/>
      <c r="ES237" s="409"/>
      <c r="ET237" s="409"/>
      <c r="EU237" s="409"/>
      <c r="EV237" s="409">
        <v>210</v>
      </c>
      <c r="EW237" s="409"/>
      <c r="EX237" s="409"/>
      <c r="EY237" s="409"/>
      <c r="EZ237" s="409"/>
      <c r="FA237" s="409">
        <v>0</v>
      </c>
      <c r="FB237" s="409"/>
      <c r="FC237" s="409"/>
      <c r="FD237" s="409"/>
      <c r="FE237" s="409"/>
      <c r="FF237" s="409">
        <v>0</v>
      </c>
      <c r="FG237" s="409">
        <v>0</v>
      </c>
      <c r="FH237" s="409">
        <v>0</v>
      </c>
      <c r="FI237" s="409">
        <v>0</v>
      </c>
    </row>
    <row r="238" spans="1:165">
      <c r="A238" s="409">
        <v>236</v>
      </c>
      <c r="B238" s="409" t="s">
        <v>1035</v>
      </c>
      <c r="C238" s="409" t="s">
        <v>2248</v>
      </c>
      <c r="D238" s="409" t="s">
        <v>2247</v>
      </c>
      <c r="E238" s="409" t="s">
        <v>973</v>
      </c>
      <c r="F238" s="409" t="s">
        <v>1323</v>
      </c>
      <c r="G238" s="409" t="s">
        <v>1323</v>
      </c>
      <c r="H238" s="409" t="s">
        <v>1323</v>
      </c>
      <c r="I238" s="409" t="s">
        <v>2259</v>
      </c>
      <c r="J238" s="409" t="s">
        <v>2242</v>
      </c>
      <c r="K238" s="838">
        <v>44531</v>
      </c>
      <c r="L238" s="409">
        <v>0</v>
      </c>
      <c r="M238" s="409">
        <v>0</v>
      </c>
      <c r="N238" s="409">
        <v>1E-3</v>
      </c>
      <c r="O238" s="409">
        <v>1E-3</v>
      </c>
      <c r="P238" s="409">
        <v>1E-3</v>
      </c>
      <c r="Q238" s="409">
        <v>1E-3</v>
      </c>
      <c r="R238" s="409"/>
      <c r="S238" s="409">
        <v>481.93</v>
      </c>
      <c r="T238" s="409">
        <v>235.42</v>
      </c>
      <c r="U238" s="409"/>
      <c r="V238" s="409">
        <v>0.71735000000000004</v>
      </c>
      <c r="W238" s="409">
        <v>0.71735000000000004</v>
      </c>
      <c r="X238" s="409">
        <v>0.68364000000000003</v>
      </c>
      <c r="Y238" s="409">
        <v>0</v>
      </c>
      <c r="Z238" s="409">
        <v>5.1921994482699199E-2</v>
      </c>
      <c r="AA238" s="409">
        <v>0</v>
      </c>
      <c r="AB238" s="409">
        <v>0</v>
      </c>
      <c r="AC238" s="409">
        <v>0</v>
      </c>
      <c r="AD238" s="409">
        <v>0.126603108824208</v>
      </c>
      <c r="AE238" s="409">
        <v>0.291295184108746</v>
      </c>
      <c r="AF238" s="409">
        <v>0.23541576333318201</v>
      </c>
      <c r="AG238" s="409">
        <v>0</v>
      </c>
      <c r="AH238" s="409">
        <v>0</v>
      </c>
      <c r="AI238" s="409">
        <v>0</v>
      </c>
      <c r="AJ238" s="409">
        <v>0</v>
      </c>
      <c r="AK238" s="409">
        <v>0</v>
      </c>
      <c r="AL238" s="409">
        <v>8.0294320036061601E-3</v>
      </c>
      <c r="AM238" s="409"/>
      <c r="AN238" s="409">
        <v>9.1597857919820103E-4</v>
      </c>
      <c r="AO238" s="409">
        <v>0</v>
      </c>
      <c r="AP238" s="409">
        <v>0</v>
      </c>
      <c r="AQ238" s="409">
        <v>0</v>
      </c>
      <c r="AR238" s="409">
        <v>0</v>
      </c>
      <c r="AS238" s="409">
        <v>0</v>
      </c>
      <c r="AT238" s="409">
        <v>0</v>
      </c>
      <c r="AU238" s="409">
        <v>0</v>
      </c>
      <c r="AV238" s="409">
        <v>0</v>
      </c>
      <c r="AW238" s="409">
        <v>0</v>
      </c>
      <c r="AX238" s="409">
        <v>0</v>
      </c>
      <c r="AY238" s="409">
        <v>0</v>
      </c>
      <c r="AZ238" s="409">
        <v>0</v>
      </c>
      <c r="BA238" s="409"/>
      <c r="BB238" s="409">
        <v>0</v>
      </c>
      <c r="BC238" s="409">
        <v>0</v>
      </c>
      <c r="BD238" s="409">
        <v>0</v>
      </c>
      <c r="BE238" s="409">
        <v>0</v>
      </c>
      <c r="BF238" s="409">
        <v>0</v>
      </c>
      <c r="BG238" s="409">
        <v>3.1634465647779101E-3</v>
      </c>
      <c r="BH238" s="409">
        <v>0</v>
      </c>
      <c r="BI238" s="409">
        <v>0</v>
      </c>
      <c r="BJ238" s="409">
        <v>0</v>
      </c>
      <c r="BK238" s="409">
        <v>0</v>
      </c>
      <c r="BL238" s="409">
        <v>0</v>
      </c>
      <c r="BM238" s="409"/>
      <c r="BN238" s="409"/>
      <c r="BO238" s="409"/>
      <c r="BP238" s="409"/>
      <c r="BQ238" s="409"/>
      <c r="BR238" s="409"/>
      <c r="BS238" s="409"/>
      <c r="BT238" s="409"/>
      <c r="BU238" s="409"/>
      <c r="BV238" s="409">
        <v>0.23857920989795992</v>
      </c>
      <c r="BW238" s="409"/>
      <c r="BX238" s="409"/>
      <c r="BY238" s="409"/>
      <c r="BZ238" s="409"/>
      <c r="CA238" s="409"/>
      <c r="CB238" s="409"/>
      <c r="CC238" s="409"/>
      <c r="CD238" s="409"/>
      <c r="CE238" s="409"/>
      <c r="CF238" s="409"/>
      <c r="CG238" s="409"/>
      <c r="CH238" s="409"/>
      <c r="CI238" s="409">
        <v>0</v>
      </c>
      <c r="CJ238" s="409">
        <v>-0.74734999999999996</v>
      </c>
      <c r="CK238" s="409"/>
      <c r="CL238" s="409"/>
      <c r="CM238" s="409"/>
      <c r="CN238" s="409"/>
      <c r="CO238" s="409">
        <v>-4.4889999999999985E-2</v>
      </c>
      <c r="CP238" s="409">
        <v>1.1180000000000008E-2</v>
      </c>
      <c r="CQ238" s="409"/>
      <c r="CR238" s="409">
        <v>1.2597562978850785E-2</v>
      </c>
      <c r="CS238" s="409">
        <v>0</v>
      </c>
      <c r="CT238" s="409">
        <v>0</v>
      </c>
      <c r="CU238" s="409">
        <v>0</v>
      </c>
      <c r="CV238" s="409">
        <v>0</v>
      </c>
      <c r="CW238" s="409">
        <v>0</v>
      </c>
      <c r="CX238" s="409">
        <v>0</v>
      </c>
      <c r="CY238" s="409">
        <v>0</v>
      </c>
      <c r="CZ238" s="409">
        <v>4.3397573360230146E-3</v>
      </c>
      <c r="DA238" s="409">
        <v>0</v>
      </c>
      <c r="DB238" s="409">
        <v>0</v>
      </c>
      <c r="DC238" s="409">
        <v>1.268178136450801E-2</v>
      </c>
      <c r="DD238" s="409">
        <v>0</v>
      </c>
      <c r="DE238" s="409">
        <v>0</v>
      </c>
      <c r="DF238" s="409">
        <v>0</v>
      </c>
      <c r="DG238" s="409">
        <v>1.7041398215988024E-4</v>
      </c>
      <c r="DH238" s="409">
        <v>0</v>
      </c>
      <c r="DI238" s="409">
        <v>-3.3095741351966967E-3</v>
      </c>
      <c r="DJ238" s="409"/>
      <c r="DK238" s="409">
        <v>0</v>
      </c>
      <c r="DL238" s="409">
        <v>0</v>
      </c>
      <c r="DM238" s="409">
        <v>0</v>
      </c>
      <c r="DN238" s="409">
        <v>0</v>
      </c>
      <c r="DO238" s="409">
        <v>-4.2099755408022983E-4</v>
      </c>
      <c r="DP238" s="409">
        <v>-6.0435735809976059E-5</v>
      </c>
      <c r="DQ238" s="409">
        <v>0</v>
      </c>
      <c r="DR238" s="409">
        <v>-8.0338227875326987E-4</v>
      </c>
      <c r="DS238" s="409"/>
      <c r="DT238" s="409"/>
      <c r="DU238" s="409"/>
      <c r="DV238" s="409">
        <v>0.291295184108746</v>
      </c>
      <c r="DW238" s="409">
        <v>0</v>
      </c>
      <c r="DX238" s="409">
        <v>0</v>
      </c>
      <c r="DY238" s="409">
        <v>-4.4889999999999985E-2</v>
      </c>
      <c r="DZ238" s="409">
        <v>1.1179999999999995E-2</v>
      </c>
      <c r="EA238" s="409">
        <v>0</v>
      </c>
      <c r="EB238" s="409">
        <v>0</v>
      </c>
      <c r="EC238" s="409">
        <v>-4.6302238074166002E-2</v>
      </c>
      <c r="ED238" s="409">
        <v>0</v>
      </c>
      <c r="EE238" s="409">
        <v>0</v>
      </c>
      <c r="EF238" s="409">
        <v>0</v>
      </c>
      <c r="EG238" s="409">
        <v>0</v>
      </c>
      <c r="EH238" s="409">
        <v>0</v>
      </c>
      <c r="EI238" s="409">
        <v>0</v>
      </c>
      <c r="EJ238" s="409">
        <v>0</v>
      </c>
      <c r="EK238" s="409">
        <v>0</v>
      </c>
      <c r="EL238" s="409">
        <v>0</v>
      </c>
      <c r="EM238" s="409">
        <v>0</v>
      </c>
      <c r="EN238" s="409">
        <v>0</v>
      </c>
      <c r="EO238" s="409">
        <v>0</v>
      </c>
      <c r="EP238" s="409">
        <v>0</v>
      </c>
      <c r="EQ238" s="409">
        <v>0</v>
      </c>
      <c r="ER238" s="409">
        <v>0</v>
      </c>
      <c r="ES238" s="409">
        <v>0</v>
      </c>
      <c r="ET238" s="409">
        <v>0</v>
      </c>
      <c r="EU238" s="409">
        <v>0</v>
      </c>
      <c r="EV238" s="409">
        <v>210</v>
      </c>
      <c r="EW238" s="409">
        <v>0</v>
      </c>
      <c r="EX238" s="409">
        <v>0</v>
      </c>
      <c r="EY238" s="409">
        <v>0</v>
      </c>
      <c r="EZ238" s="409"/>
      <c r="FA238" s="409">
        <v>0</v>
      </c>
      <c r="FB238" s="409"/>
      <c r="FC238" s="409"/>
      <c r="FD238" s="409"/>
      <c r="FE238" s="409"/>
      <c r="FF238" s="409">
        <v>0</v>
      </c>
      <c r="FG238" s="409">
        <v>0</v>
      </c>
      <c r="FH238" s="409">
        <v>0</v>
      </c>
      <c r="FI238" s="409">
        <v>0</v>
      </c>
    </row>
    <row r="239" spans="1:165">
      <c r="A239" s="409">
        <v>237</v>
      </c>
      <c r="B239" s="409" t="s">
        <v>1035</v>
      </c>
      <c r="C239" s="409" t="s">
        <v>2241</v>
      </c>
      <c r="D239" s="409" t="s">
        <v>1992</v>
      </c>
      <c r="E239" s="409" t="s">
        <v>2249</v>
      </c>
      <c r="F239" s="409" t="s">
        <v>1323</v>
      </c>
      <c r="G239" s="409" t="s">
        <v>1323</v>
      </c>
      <c r="H239" s="409" t="s">
        <v>1323</v>
      </c>
      <c r="I239" s="409" t="s">
        <v>1323</v>
      </c>
      <c r="J239" s="409" t="s">
        <v>2242</v>
      </c>
      <c r="K239" s="838">
        <v>44531</v>
      </c>
      <c r="L239" s="409">
        <v>0</v>
      </c>
      <c r="M239" s="409">
        <v>0</v>
      </c>
      <c r="N239" s="409">
        <v>13.827</v>
      </c>
      <c r="O239" s="409">
        <v>13.827</v>
      </c>
      <c r="P239" s="409">
        <v>13.827</v>
      </c>
      <c r="Q239" s="409">
        <v>13.827</v>
      </c>
      <c r="R239" s="409"/>
      <c r="S239" s="409">
        <v>358.62</v>
      </c>
      <c r="T239" s="409">
        <v>273.74</v>
      </c>
      <c r="U239" s="409"/>
      <c r="V239" s="409">
        <v>8743.6417199999996</v>
      </c>
      <c r="W239" s="409">
        <v>8743.6417199999996</v>
      </c>
      <c r="X239" s="409">
        <v>8477.8867799999989</v>
      </c>
      <c r="Y239" s="409">
        <v>0</v>
      </c>
      <c r="Z239" s="409">
        <v>834.79699733986376</v>
      </c>
      <c r="AA239" s="409">
        <v>0</v>
      </c>
      <c r="AB239" s="409">
        <v>0</v>
      </c>
      <c r="AC239" s="409">
        <v>0</v>
      </c>
      <c r="AD239" s="409">
        <v>1190.345934218444</v>
      </c>
      <c r="AE239" s="409">
        <v>2738.8409883875206</v>
      </c>
      <c r="AF239" s="409">
        <v>3784.9927437301312</v>
      </c>
      <c r="AG239" s="409">
        <v>0</v>
      </c>
      <c r="AH239" s="409">
        <v>0</v>
      </c>
      <c r="AI239" s="409">
        <v>0</v>
      </c>
      <c r="AJ239" s="409">
        <v>0</v>
      </c>
      <c r="AK239" s="409">
        <v>0</v>
      </c>
      <c r="AL239" s="409">
        <v>129.09646083007252</v>
      </c>
      <c r="AM239" s="409"/>
      <c r="AN239" s="409">
        <v>14.727018389038998</v>
      </c>
      <c r="AO239" s="409">
        <v>0</v>
      </c>
      <c r="AP239" s="409">
        <v>0</v>
      </c>
      <c r="AQ239" s="409">
        <v>0</v>
      </c>
      <c r="AR239" s="409">
        <v>0</v>
      </c>
      <c r="AS239" s="409">
        <v>0</v>
      </c>
      <c r="AT239" s="409">
        <v>0</v>
      </c>
      <c r="AU239" s="409">
        <v>0</v>
      </c>
      <c r="AV239" s="409">
        <v>0</v>
      </c>
      <c r="AW239" s="409">
        <v>0</v>
      </c>
      <c r="AX239" s="409">
        <v>0</v>
      </c>
      <c r="AY239" s="409">
        <v>0</v>
      </c>
      <c r="AZ239" s="409">
        <v>0</v>
      </c>
      <c r="BA239" s="409"/>
      <c r="BB239" s="409">
        <v>0</v>
      </c>
      <c r="BC239" s="409">
        <v>0</v>
      </c>
      <c r="BD239" s="409">
        <v>0</v>
      </c>
      <c r="BE239" s="409">
        <v>0</v>
      </c>
      <c r="BF239" s="409">
        <v>0</v>
      </c>
      <c r="BG239" s="409">
        <v>50.861599594400069</v>
      </c>
      <c r="BH239" s="409">
        <v>0</v>
      </c>
      <c r="BI239" s="409">
        <v>38.299999999999997</v>
      </c>
      <c r="BJ239" s="409">
        <v>175.23</v>
      </c>
      <c r="BK239" s="409">
        <v>1897.29</v>
      </c>
      <c r="BL239" s="409">
        <v>15</v>
      </c>
      <c r="BM239" s="409"/>
      <c r="BN239" s="409"/>
      <c r="BO239" s="409"/>
      <c r="BP239" s="409"/>
      <c r="BQ239" s="409"/>
      <c r="BR239" s="409"/>
      <c r="BS239" s="409"/>
      <c r="BT239" s="409"/>
      <c r="BU239" s="409"/>
      <c r="BV239" s="409">
        <v>3835.8543433245313</v>
      </c>
      <c r="BW239" s="409"/>
      <c r="BX239" s="409"/>
      <c r="BY239" s="409"/>
      <c r="BZ239" s="409"/>
      <c r="CA239" s="409"/>
      <c r="CB239" s="409"/>
      <c r="CC239" s="409"/>
      <c r="CD239" s="409"/>
      <c r="CE239" s="409"/>
      <c r="CF239" s="409"/>
      <c r="CG239" s="409"/>
      <c r="CH239" s="409"/>
      <c r="CI239" s="409">
        <v>8479.726200000001</v>
      </c>
      <c r="CJ239" s="409">
        <v>-263.94551999999931</v>
      </c>
      <c r="CK239" s="409"/>
      <c r="CL239" s="409"/>
      <c r="CM239" s="409"/>
      <c r="CN239" s="409"/>
      <c r="CO239" s="409">
        <v>-445.50594000000035</v>
      </c>
      <c r="CP239" s="409">
        <v>179.751</v>
      </c>
      <c r="CQ239" s="409"/>
      <c r="CR239" s="409">
        <v>169.54501798677484</v>
      </c>
      <c r="CS239" s="409">
        <v>0</v>
      </c>
      <c r="CT239" s="409">
        <v>0</v>
      </c>
      <c r="CU239" s="409">
        <v>0</v>
      </c>
      <c r="CV239" s="409">
        <v>0</v>
      </c>
      <c r="CW239" s="409">
        <v>0</v>
      </c>
      <c r="CX239" s="409">
        <v>0</v>
      </c>
      <c r="CY239" s="409">
        <v>0</v>
      </c>
      <c r="CZ239" s="409">
        <v>40.803204189892767</v>
      </c>
      <c r="DA239" s="409">
        <v>0</v>
      </c>
      <c r="DB239" s="409">
        <v>0</v>
      </c>
      <c r="DC239" s="409">
        <v>203.89650107795842</v>
      </c>
      <c r="DD239" s="409">
        <v>0</v>
      </c>
      <c r="DE239" s="409">
        <v>0</v>
      </c>
      <c r="DF239" s="409">
        <v>0</v>
      </c>
      <c r="DG239" s="409">
        <v>2.7399001527031928</v>
      </c>
      <c r="DH239" s="409">
        <v>0</v>
      </c>
      <c r="DI239" s="409">
        <v>-53.211025078332796</v>
      </c>
      <c r="DJ239" s="409"/>
      <c r="DK239" s="409">
        <v>0</v>
      </c>
      <c r="DL239" s="409">
        <v>0</v>
      </c>
      <c r="DM239" s="409">
        <v>0</v>
      </c>
      <c r="DN239" s="409">
        <v>0</v>
      </c>
      <c r="DO239" s="409">
        <v>-6.7687595119388533</v>
      </c>
      <c r="DP239" s="409">
        <v>-0.97168013842390977</v>
      </c>
      <c r="DQ239" s="409">
        <v>0</v>
      </c>
      <c r="DR239" s="409">
        <v>-16.943122705083063</v>
      </c>
      <c r="DS239" s="409"/>
      <c r="DT239" s="409"/>
      <c r="DU239" s="409"/>
      <c r="DV239" s="409">
        <v>2738.8409883875206</v>
      </c>
      <c r="DW239" s="409">
        <v>0</v>
      </c>
      <c r="DX239" s="409">
        <v>0</v>
      </c>
      <c r="DY239" s="409">
        <v>-445.50594000000092</v>
      </c>
      <c r="DZ239" s="409">
        <v>179.75099999999975</v>
      </c>
      <c r="EA239" s="409">
        <v>0</v>
      </c>
      <c r="EB239" s="409">
        <v>0</v>
      </c>
      <c r="EC239" s="409">
        <v>-435.34694155555735</v>
      </c>
      <c r="ED239" s="409">
        <v>0</v>
      </c>
      <c r="EE239" s="409">
        <v>0</v>
      </c>
      <c r="EF239" s="409">
        <v>0</v>
      </c>
      <c r="EG239" s="409">
        <v>0</v>
      </c>
      <c r="EH239" s="409">
        <v>0</v>
      </c>
      <c r="EI239" s="409">
        <v>0</v>
      </c>
      <c r="EJ239" s="409">
        <v>0</v>
      </c>
      <c r="EK239" s="409">
        <v>0</v>
      </c>
      <c r="EL239" s="409">
        <v>0</v>
      </c>
      <c r="EM239" s="409">
        <v>0</v>
      </c>
      <c r="EN239" s="409">
        <v>0</v>
      </c>
      <c r="EO239" s="409">
        <v>0</v>
      </c>
      <c r="EP239" s="409">
        <v>0</v>
      </c>
      <c r="EQ239" s="409">
        <v>0</v>
      </c>
      <c r="ER239" s="409">
        <v>0</v>
      </c>
      <c r="ES239" s="409">
        <v>0</v>
      </c>
      <c r="ET239" s="409">
        <v>0</v>
      </c>
      <c r="EU239" s="409">
        <v>0</v>
      </c>
      <c r="EV239" s="409">
        <v>210</v>
      </c>
      <c r="EW239" s="409">
        <v>0</v>
      </c>
      <c r="EX239" s="409">
        <v>0</v>
      </c>
      <c r="EY239" s="409">
        <v>0</v>
      </c>
      <c r="EZ239" s="409"/>
      <c r="FA239" s="409">
        <v>0</v>
      </c>
      <c r="FB239" s="409"/>
      <c r="FC239" s="409"/>
      <c r="FD239" s="409"/>
      <c r="FE239" s="409"/>
      <c r="FF239" s="409">
        <v>0</v>
      </c>
      <c r="FG239" s="409">
        <v>0</v>
      </c>
      <c r="FH239" s="409">
        <v>0</v>
      </c>
      <c r="FI239" s="409">
        <v>0</v>
      </c>
    </row>
    <row r="240" spans="1:165">
      <c r="A240" s="409">
        <v>238</v>
      </c>
      <c r="B240" s="409" t="s">
        <v>1035</v>
      </c>
      <c r="C240" s="409" t="s">
        <v>2241</v>
      </c>
      <c r="D240" s="409" t="s">
        <v>2250</v>
      </c>
      <c r="E240" s="409" t="s">
        <v>2251</v>
      </c>
      <c r="F240" s="409" t="s">
        <v>2252</v>
      </c>
      <c r="G240" s="409" t="s">
        <v>1323</v>
      </c>
      <c r="H240" s="409" t="s">
        <v>1323</v>
      </c>
      <c r="I240" s="409" t="s">
        <v>1323</v>
      </c>
      <c r="J240" s="409" t="s">
        <v>2242</v>
      </c>
      <c r="K240" s="838">
        <v>44531</v>
      </c>
      <c r="L240" s="409">
        <v>0</v>
      </c>
      <c r="M240" s="409">
        <v>0</v>
      </c>
      <c r="N240" s="409">
        <v>20.052</v>
      </c>
      <c r="O240" s="409">
        <v>20.052</v>
      </c>
      <c r="P240" s="409">
        <v>20.052</v>
      </c>
      <c r="Q240" s="409">
        <v>20.052</v>
      </c>
      <c r="R240" s="409"/>
      <c r="S240" s="409">
        <v>215.17</v>
      </c>
      <c r="T240" s="409">
        <v>164.24</v>
      </c>
      <c r="U240" s="409"/>
      <c r="V240" s="409">
        <v>7607.9293199999993</v>
      </c>
      <c r="W240" s="409">
        <v>7607.9293199999993</v>
      </c>
      <c r="X240" s="409">
        <v>7376.9302800000005</v>
      </c>
      <c r="Y240" s="409">
        <v>0</v>
      </c>
      <c r="Z240" s="409">
        <v>726.37662793052459</v>
      </c>
      <c r="AA240" s="409">
        <v>0</v>
      </c>
      <c r="AB240" s="409">
        <v>0</v>
      </c>
      <c r="AC240" s="409">
        <v>0</v>
      </c>
      <c r="AD240" s="409">
        <v>1035.748174135312</v>
      </c>
      <c r="AE240" s="409">
        <v>2383.1303753155416</v>
      </c>
      <c r="AF240" s="409">
        <v>3293.4117811792798</v>
      </c>
      <c r="AG240" s="409">
        <v>0</v>
      </c>
      <c r="AH240" s="409">
        <v>0</v>
      </c>
      <c r="AI240" s="409">
        <v>0</v>
      </c>
      <c r="AJ240" s="409">
        <v>0</v>
      </c>
      <c r="AK240" s="409">
        <v>0</v>
      </c>
      <c r="AL240" s="409">
        <v>112.32988642068175</v>
      </c>
      <c r="AM240" s="409"/>
      <c r="AN240" s="409">
        <v>12.814327304708593</v>
      </c>
      <c r="AO240" s="409">
        <v>0</v>
      </c>
      <c r="AP240" s="409">
        <v>0</v>
      </c>
      <c r="AQ240" s="409">
        <v>0</v>
      </c>
      <c r="AR240" s="409">
        <v>0</v>
      </c>
      <c r="AS240" s="409">
        <v>0</v>
      </c>
      <c r="AT240" s="409">
        <v>0</v>
      </c>
      <c r="AU240" s="409">
        <v>0</v>
      </c>
      <c r="AV240" s="409">
        <v>0</v>
      </c>
      <c r="AW240" s="409">
        <v>0</v>
      </c>
      <c r="AX240" s="409">
        <v>0</v>
      </c>
      <c r="AY240" s="409">
        <v>0</v>
      </c>
      <c r="AZ240" s="409">
        <v>0</v>
      </c>
      <c r="BA240" s="409"/>
      <c r="BB240" s="409">
        <v>0</v>
      </c>
      <c r="BC240" s="409">
        <v>0</v>
      </c>
      <c r="BD240" s="409">
        <v>0</v>
      </c>
      <c r="BE240" s="409">
        <v>0</v>
      </c>
      <c r="BF240" s="409">
        <v>0</v>
      </c>
      <c r="BG240" s="409">
        <v>44.255881755995354</v>
      </c>
      <c r="BH240" s="409">
        <v>0</v>
      </c>
      <c r="BI240" s="409">
        <v>30.39</v>
      </c>
      <c r="BJ240" s="409">
        <v>138.15</v>
      </c>
      <c r="BK240" s="409">
        <v>2281.31</v>
      </c>
      <c r="BL240" s="409">
        <v>6</v>
      </c>
      <c r="BM240" s="409"/>
      <c r="BN240" s="409"/>
      <c r="BO240" s="409"/>
      <c r="BP240" s="409"/>
      <c r="BQ240" s="409"/>
      <c r="BR240" s="409"/>
      <c r="BS240" s="409"/>
      <c r="BT240" s="409"/>
      <c r="BU240" s="409"/>
      <c r="BV240" s="409">
        <v>3337.6676629352751</v>
      </c>
      <c r="BW240" s="409"/>
      <c r="BX240" s="409"/>
      <c r="BY240" s="409"/>
      <c r="BZ240" s="409"/>
      <c r="CA240" s="409"/>
      <c r="CB240" s="409"/>
      <c r="CC240" s="409"/>
      <c r="CD240" s="409"/>
      <c r="CE240" s="409"/>
      <c r="CF240" s="409"/>
      <c r="CG240" s="409"/>
      <c r="CH240" s="409"/>
      <c r="CI240" s="409">
        <v>7376.1945000000005</v>
      </c>
      <c r="CJ240" s="409">
        <v>-231.76481999999942</v>
      </c>
      <c r="CK240" s="409"/>
      <c r="CL240" s="409"/>
      <c r="CM240" s="409"/>
      <c r="CN240" s="409"/>
      <c r="CO240" s="409">
        <v>-387.60515999999967</v>
      </c>
      <c r="CP240" s="409">
        <v>156.60612000000003</v>
      </c>
      <c r="CQ240" s="409"/>
      <c r="CR240" s="409">
        <v>147.52513346369142</v>
      </c>
      <c r="CS240" s="409">
        <v>0</v>
      </c>
      <c r="CT240" s="409">
        <v>0</v>
      </c>
      <c r="CU240" s="409">
        <v>0</v>
      </c>
      <c r="CV240" s="409">
        <v>0</v>
      </c>
      <c r="CW240" s="409">
        <v>0</v>
      </c>
      <c r="CX240" s="409">
        <v>0</v>
      </c>
      <c r="CY240" s="409">
        <v>0</v>
      </c>
      <c r="CZ240" s="409">
        <v>35.503833821466515</v>
      </c>
      <c r="DA240" s="409">
        <v>0</v>
      </c>
      <c r="DB240" s="409">
        <v>0</v>
      </c>
      <c r="DC240" s="409">
        <v>177.41517203797866</v>
      </c>
      <c r="DD240" s="409">
        <v>0</v>
      </c>
      <c r="DE240" s="409">
        <v>0</v>
      </c>
      <c r="DF240" s="409">
        <v>0</v>
      </c>
      <c r="DG240" s="409">
        <v>2.3840519792581176</v>
      </c>
      <c r="DH240" s="409">
        <v>0</v>
      </c>
      <c r="DI240" s="409">
        <v>-46.300172482999415</v>
      </c>
      <c r="DJ240" s="409"/>
      <c r="DK240" s="409">
        <v>0</v>
      </c>
      <c r="DL240" s="409">
        <v>0</v>
      </c>
      <c r="DM240" s="409">
        <v>0</v>
      </c>
      <c r="DN240" s="409">
        <v>0</v>
      </c>
      <c r="DO240" s="409">
        <v>-5.8896578751743789</v>
      </c>
      <c r="DP240" s="409">
        <v>-0.84548188915927547</v>
      </c>
      <c r="DQ240" s="409">
        <v>0</v>
      </c>
      <c r="DR240" s="409">
        <v>-14.742612127677354</v>
      </c>
      <c r="DS240" s="409"/>
      <c r="DT240" s="409"/>
      <c r="DU240" s="409"/>
      <c r="DV240" s="409">
        <v>2383.1303753155416</v>
      </c>
      <c r="DW240" s="409">
        <v>0</v>
      </c>
      <c r="DX240" s="409">
        <v>0</v>
      </c>
      <c r="DY240" s="409">
        <v>-387.60515999999961</v>
      </c>
      <c r="DZ240" s="409">
        <v>156.60611999999992</v>
      </c>
      <c r="EA240" s="409">
        <v>0</v>
      </c>
      <c r="EB240" s="409">
        <v>0</v>
      </c>
      <c r="EC240" s="409">
        <v>-378.80567897904029</v>
      </c>
      <c r="ED240" s="409">
        <v>0</v>
      </c>
      <c r="EE240" s="409">
        <v>0</v>
      </c>
      <c r="EF240" s="409">
        <v>0</v>
      </c>
      <c r="EG240" s="409">
        <v>0</v>
      </c>
      <c r="EH240" s="409">
        <v>0</v>
      </c>
      <c r="EI240" s="409">
        <v>0</v>
      </c>
      <c r="EJ240" s="409">
        <v>0</v>
      </c>
      <c r="EK240" s="409">
        <v>0</v>
      </c>
      <c r="EL240" s="409">
        <v>0</v>
      </c>
      <c r="EM240" s="409">
        <v>0</v>
      </c>
      <c r="EN240" s="409">
        <v>0</v>
      </c>
      <c r="EO240" s="409">
        <v>0</v>
      </c>
      <c r="EP240" s="409">
        <v>0</v>
      </c>
      <c r="EQ240" s="409">
        <v>0</v>
      </c>
      <c r="ER240" s="409">
        <v>0</v>
      </c>
      <c r="ES240" s="409">
        <v>0</v>
      </c>
      <c r="ET240" s="409">
        <v>0</v>
      </c>
      <c r="EU240" s="409">
        <v>0</v>
      </c>
      <c r="EV240" s="409">
        <v>210</v>
      </c>
      <c r="EW240" s="409">
        <v>0</v>
      </c>
      <c r="EX240" s="409">
        <v>0</v>
      </c>
      <c r="EY240" s="409">
        <v>0</v>
      </c>
      <c r="EZ240" s="409"/>
      <c r="FA240" s="409">
        <v>0</v>
      </c>
      <c r="FB240" s="409"/>
      <c r="FC240" s="409"/>
      <c r="FD240" s="409"/>
      <c r="FE240" s="409"/>
      <c r="FF240" s="409">
        <v>0</v>
      </c>
      <c r="FG240" s="409">
        <v>0</v>
      </c>
      <c r="FH240" s="409">
        <v>0</v>
      </c>
      <c r="FI240" s="409">
        <v>0</v>
      </c>
    </row>
    <row r="241" spans="1:165">
      <c r="A241" s="409">
        <v>239</v>
      </c>
      <c r="B241" s="409" t="s">
        <v>1035</v>
      </c>
      <c r="C241" s="409" t="s">
        <v>2241</v>
      </c>
      <c r="D241" s="409" t="s">
        <v>1992</v>
      </c>
      <c r="E241" s="409" t="s">
        <v>1000</v>
      </c>
      <c r="F241" s="409" t="s">
        <v>2253</v>
      </c>
      <c r="G241" s="409" t="s">
        <v>1323</v>
      </c>
      <c r="H241" s="409" t="s">
        <v>1323</v>
      </c>
      <c r="I241" s="409" t="s">
        <v>1323</v>
      </c>
      <c r="J241" s="409" t="s">
        <v>2242</v>
      </c>
      <c r="K241" s="838">
        <v>44531</v>
      </c>
      <c r="L241" s="409">
        <v>0</v>
      </c>
      <c r="M241" s="409">
        <v>0</v>
      </c>
      <c r="N241" s="409">
        <v>4.2939999999999996</v>
      </c>
      <c r="O241" s="409">
        <v>4.0363599999999993</v>
      </c>
      <c r="P241" s="409">
        <v>4.2939999999999996</v>
      </c>
      <c r="Q241" s="409">
        <v>4.0363599999999993</v>
      </c>
      <c r="R241" s="409"/>
      <c r="S241" s="409">
        <v>358.62</v>
      </c>
      <c r="T241" s="409">
        <v>273.74</v>
      </c>
      <c r="U241" s="409"/>
      <c r="V241" s="409">
        <v>2715.3538399999998</v>
      </c>
      <c r="W241" s="409">
        <v>2715.3538399999998</v>
      </c>
      <c r="X241" s="409">
        <v>2632.8231599999999</v>
      </c>
      <c r="Y241" s="409">
        <v>0</v>
      </c>
      <c r="Z241" s="409">
        <v>259.24772594036125</v>
      </c>
      <c r="AA241" s="409">
        <v>0</v>
      </c>
      <c r="AB241" s="409">
        <v>0</v>
      </c>
      <c r="AC241" s="409">
        <v>0</v>
      </c>
      <c r="AD241" s="409">
        <v>369.66409499775784</v>
      </c>
      <c r="AE241" s="409">
        <v>850.55205063542439</v>
      </c>
      <c r="AF241" s="409">
        <v>1175.4363811077733</v>
      </c>
      <c r="AG241" s="409">
        <v>0</v>
      </c>
      <c r="AH241" s="409">
        <v>0</v>
      </c>
      <c r="AI241" s="409">
        <v>0</v>
      </c>
      <c r="AJ241" s="409">
        <v>0</v>
      </c>
      <c r="AK241" s="409">
        <v>0</v>
      </c>
      <c r="AL241" s="409">
        <v>40.091140724982381</v>
      </c>
      <c r="AM241" s="409"/>
      <c r="AN241" s="409">
        <v>4.5735023477640455</v>
      </c>
      <c r="AO241" s="409">
        <v>0</v>
      </c>
      <c r="AP241" s="409">
        <v>0</v>
      </c>
      <c r="AQ241" s="409">
        <v>0</v>
      </c>
      <c r="AR241" s="409">
        <v>0</v>
      </c>
      <c r="AS241" s="409">
        <v>0</v>
      </c>
      <c r="AT241" s="409">
        <v>0</v>
      </c>
      <c r="AU241" s="409">
        <v>0</v>
      </c>
      <c r="AV241" s="409">
        <v>0</v>
      </c>
      <c r="AW241" s="409">
        <v>0</v>
      </c>
      <c r="AX241" s="409">
        <v>0</v>
      </c>
      <c r="AY241" s="409">
        <v>0</v>
      </c>
      <c r="AZ241" s="409">
        <v>0</v>
      </c>
      <c r="BA241" s="409"/>
      <c r="BB241" s="409">
        <v>0</v>
      </c>
      <c r="BC241" s="409">
        <v>0</v>
      </c>
      <c r="BD241" s="409">
        <v>0</v>
      </c>
      <c r="BE241" s="409">
        <v>0</v>
      </c>
      <c r="BF241" s="409">
        <v>0</v>
      </c>
      <c r="BG241" s="409">
        <v>15.795162266460828</v>
      </c>
      <c r="BH241" s="409">
        <v>0</v>
      </c>
      <c r="BI241" s="409">
        <v>8.18</v>
      </c>
      <c r="BJ241" s="409">
        <v>37.25</v>
      </c>
      <c r="BK241" s="409">
        <v>614.96</v>
      </c>
      <c r="BL241" s="409">
        <v>3</v>
      </c>
      <c r="BM241" s="409"/>
      <c r="BN241" s="409"/>
      <c r="BO241" s="409"/>
      <c r="BP241" s="409"/>
      <c r="BQ241" s="409">
        <v>157.96938960000017</v>
      </c>
      <c r="BR241" s="409"/>
      <c r="BS241" s="409"/>
      <c r="BT241" s="409"/>
      <c r="BU241" s="409"/>
      <c r="BV241" s="409">
        <v>1191.2315433742342</v>
      </c>
      <c r="BW241" s="409"/>
      <c r="BX241" s="409"/>
      <c r="BY241" s="409"/>
      <c r="BZ241" s="409"/>
      <c r="CA241" s="409"/>
      <c r="CB241" s="409"/>
      <c r="CC241" s="409"/>
      <c r="CD241" s="409"/>
      <c r="CE241" s="409"/>
      <c r="CF241" s="409"/>
      <c r="CG241" s="409"/>
      <c r="CH241" s="409"/>
      <c r="CI241" s="409">
        <v>2477.0855999999999</v>
      </c>
      <c r="CJ241" s="409">
        <v>-75.377009599999838</v>
      </c>
      <c r="CK241" s="409"/>
      <c r="CL241" s="409"/>
      <c r="CM241" s="409"/>
      <c r="CN241" s="409"/>
      <c r="CO241" s="409">
        <v>-138.35268000000011</v>
      </c>
      <c r="CP241" s="409">
        <v>55.821999999999996</v>
      </c>
      <c r="CQ241" s="409"/>
      <c r="CR241" s="409">
        <v>52.652513722081039</v>
      </c>
      <c r="CS241" s="409">
        <v>0</v>
      </c>
      <c r="CT241" s="409">
        <v>0</v>
      </c>
      <c r="CU241" s="409">
        <v>0</v>
      </c>
      <c r="CV241" s="409">
        <v>0</v>
      </c>
      <c r="CW241" s="409">
        <v>0</v>
      </c>
      <c r="CX241" s="409">
        <v>0</v>
      </c>
      <c r="CY241" s="409">
        <v>0</v>
      </c>
      <c r="CZ241" s="409">
        <v>12.671509278325004</v>
      </c>
      <c r="DA241" s="409">
        <v>0</v>
      </c>
      <c r="DB241" s="409">
        <v>0</v>
      </c>
      <c r="DC241" s="409">
        <v>63.320429278133588</v>
      </c>
      <c r="DD241" s="409">
        <v>0</v>
      </c>
      <c r="DE241" s="409">
        <v>0</v>
      </c>
      <c r="DF241" s="409">
        <v>0</v>
      </c>
      <c r="DG241" s="409">
        <v>0.85088097604017676</v>
      </c>
      <c r="DH241" s="409">
        <v>0</v>
      </c>
      <c r="DI241" s="409">
        <v>-16.52478062387803</v>
      </c>
      <c r="DJ241" s="409"/>
      <c r="DK241" s="409">
        <v>0</v>
      </c>
      <c r="DL241" s="409">
        <v>0</v>
      </c>
      <c r="DM241" s="409">
        <v>0</v>
      </c>
      <c r="DN241" s="409">
        <v>0</v>
      </c>
      <c r="DO241" s="409">
        <v>-2.1020505781634071</v>
      </c>
      <c r="DP241" s="409">
        <v>-0.3017570343814473</v>
      </c>
      <c r="DQ241" s="409">
        <v>0</v>
      </c>
      <c r="DR241" s="409">
        <v>-5.2617175739948401</v>
      </c>
      <c r="DS241" s="409"/>
      <c r="DT241" s="409"/>
      <c r="DU241" s="409"/>
      <c r="DV241" s="409">
        <v>850.55205063542439</v>
      </c>
      <c r="DW241" s="409">
        <v>0</v>
      </c>
      <c r="DX241" s="409">
        <v>0</v>
      </c>
      <c r="DY241" s="409">
        <v>-138.35268000000019</v>
      </c>
      <c r="DZ241" s="409">
        <v>55.821999999999889</v>
      </c>
      <c r="EA241" s="409">
        <v>0</v>
      </c>
      <c r="EB241" s="409">
        <v>0</v>
      </c>
      <c r="EC241" s="409">
        <v>-135.19778455482481</v>
      </c>
      <c r="ED241" s="409">
        <v>0</v>
      </c>
      <c r="EE241" s="409">
        <v>0</v>
      </c>
      <c r="EF241" s="409">
        <v>0</v>
      </c>
      <c r="EG241" s="409">
        <v>0</v>
      </c>
      <c r="EH241" s="409">
        <v>0</v>
      </c>
      <c r="EI241" s="409">
        <v>0</v>
      </c>
      <c r="EJ241" s="409">
        <v>0</v>
      </c>
      <c r="EK241" s="409">
        <v>0</v>
      </c>
      <c r="EL241" s="409">
        <v>0</v>
      </c>
      <c r="EM241" s="409">
        <v>0</v>
      </c>
      <c r="EN241" s="409">
        <v>0</v>
      </c>
      <c r="EO241" s="409">
        <v>0</v>
      </c>
      <c r="EP241" s="409">
        <v>0</v>
      </c>
      <c r="EQ241" s="409">
        <v>0</v>
      </c>
      <c r="ER241" s="409">
        <v>0</v>
      </c>
      <c r="ES241" s="409">
        <v>0</v>
      </c>
      <c r="ET241" s="409">
        <v>0</v>
      </c>
      <c r="EU241" s="409">
        <v>0</v>
      </c>
      <c r="EV241" s="409">
        <v>210</v>
      </c>
      <c r="EW241" s="409">
        <v>0</v>
      </c>
      <c r="EX241" s="409">
        <v>0</v>
      </c>
      <c r="EY241" s="409">
        <v>0</v>
      </c>
      <c r="EZ241" s="409"/>
      <c r="FA241" s="409">
        <v>0</v>
      </c>
      <c r="FB241" s="409"/>
      <c r="FC241" s="409"/>
      <c r="FD241" s="409"/>
      <c r="FE241" s="409"/>
      <c r="FF241" s="409">
        <v>0</v>
      </c>
      <c r="FG241" s="409">
        <v>0</v>
      </c>
      <c r="FH241" s="409">
        <v>0</v>
      </c>
      <c r="FI241" s="409">
        <v>0</v>
      </c>
    </row>
    <row r="242" spans="1:165">
      <c r="A242" s="409">
        <v>240</v>
      </c>
      <c r="B242" s="409" t="s">
        <v>1035</v>
      </c>
      <c r="C242" s="409" t="s">
        <v>2246</v>
      </c>
      <c r="D242" s="409" t="s">
        <v>595</v>
      </c>
      <c r="E242" s="409" t="s">
        <v>1000</v>
      </c>
      <c r="F242" s="409" t="s">
        <v>2253</v>
      </c>
      <c r="G242" s="409" t="s">
        <v>1323</v>
      </c>
      <c r="H242" s="409" t="s">
        <v>1323</v>
      </c>
      <c r="I242" s="409" t="s">
        <v>972</v>
      </c>
      <c r="J242" s="409" t="s">
        <v>2242</v>
      </c>
      <c r="K242" s="838">
        <v>44531</v>
      </c>
      <c r="L242" s="409">
        <v>0</v>
      </c>
      <c r="M242" s="409">
        <v>0</v>
      </c>
      <c r="N242" s="409">
        <v>7.4080000000000004</v>
      </c>
      <c r="O242" s="409">
        <v>6.9635199999999999</v>
      </c>
      <c r="P242" s="409">
        <v>7.4080000000000004</v>
      </c>
      <c r="Q242" s="409">
        <v>6.9635199999999999</v>
      </c>
      <c r="R242" s="409"/>
      <c r="S242" s="409">
        <v>1856.88</v>
      </c>
      <c r="T242" s="409">
        <v>273.74</v>
      </c>
      <c r="U242" s="409"/>
      <c r="V242" s="409">
        <v>15783.632960000001</v>
      </c>
      <c r="W242" s="409">
        <v>15783.632960000001</v>
      </c>
      <c r="X242" s="409">
        <v>14462.416160000001</v>
      </c>
      <c r="Y242" s="409">
        <v>0</v>
      </c>
      <c r="Z242" s="409">
        <v>389.11067158281088</v>
      </c>
      <c r="AA242" s="409">
        <v>0</v>
      </c>
      <c r="AB242" s="409">
        <v>0</v>
      </c>
      <c r="AC242" s="409">
        <v>0</v>
      </c>
      <c r="AD242" s="409">
        <v>3630.6005761109632</v>
      </c>
      <c r="AE242" s="409">
        <v>9648.042307275311</v>
      </c>
      <c r="AF242" s="409">
        <v>2027.8604357816457</v>
      </c>
      <c r="AG242" s="409">
        <v>0</v>
      </c>
      <c r="AH242" s="409">
        <v>0</v>
      </c>
      <c r="AI242" s="409">
        <v>0</v>
      </c>
      <c r="AJ242" s="409">
        <v>0</v>
      </c>
      <c r="AK242" s="409">
        <v>0</v>
      </c>
      <c r="AL242" s="409">
        <v>69.165153817109797</v>
      </c>
      <c r="AM242" s="409"/>
      <c r="AN242" s="409">
        <v>6.4307952385198028</v>
      </c>
      <c r="AO242" s="409">
        <v>0</v>
      </c>
      <c r="AP242" s="409">
        <v>0</v>
      </c>
      <c r="AQ242" s="409">
        <v>0</v>
      </c>
      <c r="AR242" s="409">
        <v>0</v>
      </c>
      <c r="AS242" s="409">
        <v>0</v>
      </c>
      <c r="AT242" s="409">
        <v>0</v>
      </c>
      <c r="AU242" s="409">
        <v>0</v>
      </c>
      <c r="AV242" s="409">
        <v>0</v>
      </c>
      <c r="AW242" s="409">
        <v>0</v>
      </c>
      <c r="AX242" s="409">
        <v>0</v>
      </c>
      <c r="AY242" s="409">
        <v>0</v>
      </c>
      <c r="AZ242" s="409">
        <v>0</v>
      </c>
      <c r="BA242" s="409"/>
      <c r="BB242" s="409">
        <v>0</v>
      </c>
      <c r="BC242" s="409">
        <v>0</v>
      </c>
      <c r="BD242" s="409">
        <v>0</v>
      </c>
      <c r="BE242" s="409">
        <v>0</v>
      </c>
      <c r="BF242" s="409">
        <v>0</v>
      </c>
      <c r="BG242" s="409">
        <v>12.39599806738098</v>
      </c>
      <c r="BH242" s="409">
        <v>0</v>
      </c>
      <c r="BI242" s="409">
        <v>0</v>
      </c>
      <c r="BJ242" s="409">
        <v>0</v>
      </c>
      <c r="BK242" s="409">
        <v>0</v>
      </c>
      <c r="BL242" s="409">
        <v>0</v>
      </c>
      <c r="BM242" s="409"/>
      <c r="BN242" s="409"/>
      <c r="BO242" s="409"/>
      <c r="BP242" s="409"/>
      <c r="BQ242" s="409">
        <v>867.7449696000009</v>
      </c>
      <c r="BR242" s="409"/>
      <c r="BS242" s="409"/>
      <c r="BT242" s="409"/>
      <c r="BU242" s="409"/>
      <c r="BV242" s="409">
        <v>2040.2564338490267</v>
      </c>
      <c r="BW242" s="409"/>
      <c r="BX242" s="409"/>
      <c r="BY242" s="409"/>
      <c r="BZ242" s="409"/>
      <c r="CA242" s="409"/>
      <c r="CB242" s="409"/>
      <c r="CC242" s="409"/>
      <c r="CD242" s="409"/>
      <c r="CE242" s="409"/>
      <c r="CF242" s="409"/>
      <c r="CG242" s="409"/>
      <c r="CH242" s="409"/>
      <c r="CI242" s="409">
        <v>13587.799199999999</v>
      </c>
      <c r="CJ242" s="409">
        <v>-1248.8457824000034</v>
      </c>
      <c r="CK242" s="409"/>
      <c r="CL242" s="409"/>
      <c r="CM242" s="409"/>
      <c r="CN242" s="409"/>
      <c r="CO242" s="409">
        <v>-1417.5208000000011</v>
      </c>
      <c r="CP242" s="409">
        <v>96.304000000000002</v>
      </c>
      <c r="CQ242" s="409"/>
      <c r="CR242" s="409">
        <v>212.44792329002485</v>
      </c>
      <c r="CS242" s="409">
        <v>0</v>
      </c>
      <c r="CT242" s="409">
        <v>0</v>
      </c>
      <c r="CU242" s="409">
        <v>0</v>
      </c>
      <c r="CV242" s="409">
        <v>0</v>
      </c>
      <c r="CW242" s="409">
        <v>0</v>
      </c>
      <c r="CX242" s="409">
        <v>0</v>
      </c>
      <c r="CY242" s="409">
        <v>0</v>
      </c>
      <c r="CZ242" s="409">
        <v>124.45133165112975</v>
      </c>
      <c r="DA242" s="409">
        <v>0</v>
      </c>
      <c r="DB242" s="409">
        <v>0</v>
      </c>
      <c r="DC242" s="409">
        <v>109.24027482357087</v>
      </c>
      <c r="DD242" s="409">
        <v>0</v>
      </c>
      <c r="DE242" s="409">
        <v>0</v>
      </c>
      <c r="DF242" s="409">
        <v>0</v>
      </c>
      <c r="DG242" s="409">
        <v>0.66776895081112997</v>
      </c>
      <c r="DH242" s="409">
        <v>0</v>
      </c>
      <c r="DI242" s="409">
        <v>-24.802410370206928</v>
      </c>
      <c r="DJ242" s="409"/>
      <c r="DK242" s="409">
        <v>0</v>
      </c>
      <c r="DL242" s="409">
        <v>0</v>
      </c>
      <c r="DM242" s="409">
        <v>0</v>
      </c>
      <c r="DN242" s="409">
        <v>0</v>
      </c>
      <c r="DO242" s="409">
        <v>-3.6264533495655513</v>
      </c>
      <c r="DP242" s="409">
        <v>-0.42430014293941287</v>
      </c>
      <c r="DQ242" s="409">
        <v>0</v>
      </c>
      <c r="DR242" s="409">
        <v>6.9417117272264086</v>
      </c>
      <c r="DS242" s="409"/>
      <c r="DT242" s="409"/>
      <c r="DU242" s="409"/>
      <c r="DV242" s="409">
        <v>9648.042307275311</v>
      </c>
      <c r="DW242" s="409">
        <v>0</v>
      </c>
      <c r="DX242" s="409">
        <v>0</v>
      </c>
      <c r="DY242" s="409">
        <v>-1417.5208000000002</v>
      </c>
      <c r="DZ242" s="409">
        <v>96.304000000000087</v>
      </c>
      <c r="EA242" s="409">
        <v>0</v>
      </c>
      <c r="EB242" s="409">
        <v>0</v>
      </c>
      <c r="EC242" s="409">
        <v>-1533.5850924823517</v>
      </c>
      <c r="ED242" s="409">
        <v>0</v>
      </c>
      <c r="EE242" s="409">
        <v>0</v>
      </c>
      <c r="EF242" s="409">
        <v>0</v>
      </c>
      <c r="EG242" s="409">
        <v>0</v>
      </c>
      <c r="EH242" s="409">
        <v>0</v>
      </c>
      <c r="EI242" s="409">
        <v>0</v>
      </c>
      <c r="EJ242" s="409">
        <v>0</v>
      </c>
      <c r="EK242" s="409">
        <v>0</v>
      </c>
      <c r="EL242" s="409">
        <v>0</v>
      </c>
      <c r="EM242" s="409">
        <v>0</v>
      </c>
      <c r="EN242" s="409">
        <v>0</v>
      </c>
      <c r="EO242" s="409">
        <v>0</v>
      </c>
      <c r="EP242" s="409">
        <v>0</v>
      </c>
      <c r="EQ242" s="409">
        <v>0</v>
      </c>
      <c r="ER242" s="409">
        <v>0</v>
      </c>
      <c r="ES242" s="409">
        <v>0</v>
      </c>
      <c r="ET242" s="409">
        <v>0</v>
      </c>
      <c r="EU242" s="409">
        <v>0</v>
      </c>
      <c r="EV242" s="409">
        <v>210</v>
      </c>
      <c r="EW242" s="409">
        <v>0</v>
      </c>
      <c r="EX242" s="409">
        <v>0</v>
      </c>
      <c r="EY242" s="409">
        <v>0</v>
      </c>
      <c r="EZ242" s="409"/>
      <c r="FA242" s="409">
        <v>0</v>
      </c>
      <c r="FB242" s="409"/>
      <c r="FC242" s="409"/>
      <c r="FD242" s="409"/>
      <c r="FE242" s="409"/>
      <c r="FF242" s="409">
        <v>0</v>
      </c>
      <c r="FG242" s="409">
        <v>0</v>
      </c>
      <c r="FH242" s="409">
        <v>0</v>
      </c>
      <c r="FI242" s="409">
        <v>0</v>
      </c>
    </row>
    <row r="243" spans="1:165">
      <c r="A243" s="409">
        <v>241</v>
      </c>
      <c r="B243" s="409" t="s">
        <v>1035</v>
      </c>
      <c r="C243" s="409" t="s">
        <v>2246</v>
      </c>
      <c r="D243" s="409" t="s">
        <v>595</v>
      </c>
      <c r="E243" s="409" t="s">
        <v>1000</v>
      </c>
      <c r="F243" s="409" t="s">
        <v>2253</v>
      </c>
      <c r="G243" s="409" t="s">
        <v>1323</v>
      </c>
      <c r="H243" s="409" t="s">
        <v>1323</v>
      </c>
      <c r="I243" s="409" t="s">
        <v>2234</v>
      </c>
      <c r="J243" s="409" t="s">
        <v>2242</v>
      </c>
      <c r="K243" s="838">
        <v>44531</v>
      </c>
      <c r="L243" s="409">
        <v>0</v>
      </c>
      <c r="M243" s="409">
        <v>0</v>
      </c>
      <c r="N243" s="409">
        <v>72.156000000000006</v>
      </c>
      <c r="O243" s="409">
        <v>67.826639999999998</v>
      </c>
      <c r="P243" s="409">
        <v>72.156000000000006</v>
      </c>
      <c r="Q243" s="409">
        <v>67.826639999999998</v>
      </c>
      <c r="R243" s="409"/>
      <c r="S243" s="409">
        <v>64.400000000000006</v>
      </c>
      <c r="T243" s="409">
        <v>273.74</v>
      </c>
      <c r="U243" s="409"/>
      <c r="V243" s="409">
        <v>24398.829840000006</v>
      </c>
      <c r="W243" s="409">
        <v>24398.829840000006</v>
      </c>
      <c r="X243" s="409">
        <v>25069.159080000001</v>
      </c>
      <c r="Y243" s="409">
        <v>0</v>
      </c>
      <c r="Z243" s="409">
        <v>3790.0471947528754</v>
      </c>
      <c r="AA243" s="409">
        <v>0</v>
      </c>
      <c r="AB243" s="409">
        <v>0</v>
      </c>
      <c r="AC243" s="409">
        <v>0</v>
      </c>
      <c r="AD243" s="409">
        <v>0</v>
      </c>
      <c r="AE243" s="409">
        <v>0</v>
      </c>
      <c r="AF243" s="409">
        <v>19751.930022173383</v>
      </c>
      <c r="AG243" s="409">
        <v>0</v>
      </c>
      <c r="AH243" s="409">
        <v>0</v>
      </c>
      <c r="AI243" s="409">
        <v>0</v>
      </c>
      <c r="AJ243" s="409">
        <v>0</v>
      </c>
      <c r="AK243" s="409">
        <v>0</v>
      </c>
      <c r="AL243" s="409">
        <v>673.68801820023964</v>
      </c>
      <c r="AM243" s="409"/>
      <c r="AN243" s="409">
        <v>62.637751246036032</v>
      </c>
      <c r="AO243" s="409">
        <v>0</v>
      </c>
      <c r="AP243" s="409">
        <v>0</v>
      </c>
      <c r="AQ243" s="409">
        <v>0</v>
      </c>
      <c r="AR243" s="409">
        <v>0</v>
      </c>
      <c r="AS243" s="409">
        <v>0</v>
      </c>
      <c r="AT243" s="409">
        <v>0</v>
      </c>
      <c r="AU243" s="409">
        <v>0</v>
      </c>
      <c r="AV243" s="409">
        <v>0</v>
      </c>
      <c r="AW243" s="409">
        <v>0</v>
      </c>
      <c r="AX243" s="409">
        <v>0</v>
      </c>
      <c r="AY243" s="409">
        <v>0</v>
      </c>
      <c r="AZ243" s="409">
        <v>0</v>
      </c>
      <c r="BA243" s="409"/>
      <c r="BB243" s="409">
        <v>0</v>
      </c>
      <c r="BC243" s="409">
        <v>0</v>
      </c>
      <c r="BD243" s="409">
        <v>0</v>
      </c>
      <c r="BE243" s="409">
        <v>0</v>
      </c>
      <c r="BF243" s="409">
        <v>0</v>
      </c>
      <c r="BG243" s="409">
        <v>120.74050169410664</v>
      </c>
      <c r="BH243" s="409">
        <v>0</v>
      </c>
      <c r="BI243" s="409">
        <v>0</v>
      </c>
      <c r="BJ243" s="409">
        <v>0</v>
      </c>
      <c r="BK243" s="409">
        <v>0</v>
      </c>
      <c r="BL243" s="409">
        <v>0</v>
      </c>
      <c r="BM243" s="409"/>
      <c r="BN243" s="409"/>
      <c r="BO243" s="409"/>
      <c r="BP243" s="409"/>
      <c r="BQ243" s="409">
        <v>1504.1495448000028</v>
      </c>
      <c r="BR243" s="409"/>
      <c r="BS243" s="409"/>
      <c r="BT243" s="409"/>
      <c r="BU243" s="409"/>
      <c r="BV243" s="409">
        <v>19872.670523867491</v>
      </c>
      <c r="BW243" s="409"/>
      <c r="BX243" s="409"/>
      <c r="BY243" s="409"/>
      <c r="BZ243" s="409"/>
      <c r="CA243" s="409"/>
      <c r="CB243" s="409"/>
      <c r="CC243" s="409"/>
      <c r="CD243" s="409"/>
      <c r="CE243" s="409"/>
      <c r="CF243" s="409"/>
      <c r="CG243" s="409"/>
      <c r="CH243" s="409"/>
      <c r="CI243" s="409">
        <v>23566.176899999999</v>
      </c>
      <c r="CJ243" s="409">
        <v>631.24685039999895</v>
      </c>
      <c r="CK243" s="409"/>
      <c r="CL243" s="409"/>
      <c r="CM243" s="409"/>
      <c r="CN243" s="409"/>
      <c r="CO243" s="409">
        <v>-267.69876000000062</v>
      </c>
      <c r="CP243" s="409">
        <v>938.02800000000002</v>
      </c>
      <c r="CQ243" s="409"/>
      <c r="CR243" s="409">
        <v>670.43926702811223</v>
      </c>
      <c r="CS243" s="409">
        <v>0</v>
      </c>
      <c r="CT243" s="409">
        <v>0</v>
      </c>
      <c r="CU243" s="409">
        <v>0</v>
      </c>
      <c r="CV243" s="409">
        <v>0</v>
      </c>
      <c r="CW243" s="409">
        <v>0</v>
      </c>
      <c r="CX243" s="409">
        <v>0</v>
      </c>
      <c r="CY243" s="409">
        <v>0</v>
      </c>
      <c r="CZ243" s="409">
        <v>0</v>
      </c>
      <c r="DA243" s="409">
        <v>0</v>
      </c>
      <c r="DB243" s="409">
        <v>0</v>
      </c>
      <c r="DC243" s="409">
        <v>1064.0309489969768</v>
      </c>
      <c r="DD243" s="409">
        <v>0</v>
      </c>
      <c r="DE243" s="409">
        <v>0</v>
      </c>
      <c r="DF243" s="409">
        <v>0</v>
      </c>
      <c r="DG243" s="409">
        <v>6.5042570754222311</v>
      </c>
      <c r="DH243" s="409">
        <v>0</v>
      </c>
      <c r="DI243" s="409">
        <v>-241.58244096553017</v>
      </c>
      <c r="DJ243" s="409"/>
      <c r="DK243" s="409">
        <v>0</v>
      </c>
      <c r="DL243" s="409">
        <v>0</v>
      </c>
      <c r="DM243" s="409">
        <v>0</v>
      </c>
      <c r="DN243" s="409">
        <v>0</v>
      </c>
      <c r="DO243" s="409">
        <v>-35.322673851410968</v>
      </c>
      <c r="DP243" s="409">
        <v>-4.1328025261793044</v>
      </c>
      <c r="DQ243" s="409">
        <v>0</v>
      </c>
      <c r="DR243" s="409">
        <v>-119.0580217011661</v>
      </c>
      <c r="DS243" s="409"/>
      <c r="DT243" s="409"/>
      <c r="DU243" s="409"/>
      <c r="DV243" s="409">
        <v>0</v>
      </c>
      <c r="DW243" s="409">
        <v>0</v>
      </c>
      <c r="DX243" s="409">
        <v>0</v>
      </c>
      <c r="DY243" s="409">
        <v>-267.69876000000022</v>
      </c>
      <c r="DZ243" s="409">
        <v>938.02799999999843</v>
      </c>
      <c r="EA243" s="409">
        <v>0</v>
      </c>
      <c r="EB243" s="409">
        <v>0</v>
      </c>
      <c r="EC243" s="409">
        <v>0</v>
      </c>
      <c r="ED243" s="409">
        <v>0</v>
      </c>
      <c r="EE243" s="409">
        <v>0</v>
      </c>
      <c r="EF243" s="409">
        <v>0</v>
      </c>
      <c r="EG243" s="409">
        <v>0</v>
      </c>
      <c r="EH243" s="409">
        <v>0</v>
      </c>
      <c r="EI243" s="409">
        <v>0</v>
      </c>
      <c r="EJ243" s="409">
        <v>0</v>
      </c>
      <c r="EK243" s="409">
        <v>0</v>
      </c>
      <c r="EL243" s="409">
        <v>0</v>
      </c>
      <c r="EM243" s="409">
        <v>0</v>
      </c>
      <c r="EN243" s="409">
        <v>0</v>
      </c>
      <c r="EO243" s="409">
        <v>0</v>
      </c>
      <c r="EP243" s="409">
        <v>0</v>
      </c>
      <c r="EQ243" s="409">
        <v>0</v>
      </c>
      <c r="ER243" s="409">
        <v>0</v>
      </c>
      <c r="ES243" s="409">
        <v>0</v>
      </c>
      <c r="ET243" s="409">
        <v>0</v>
      </c>
      <c r="EU243" s="409">
        <v>0</v>
      </c>
      <c r="EV243" s="409">
        <v>210</v>
      </c>
      <c r="EW243" s="409">
        <v>0</v>
      </c>
      <c r="EX243" s="409">
        <v>0</v>
      </c>
      <c r="EY243" s="409">
        <v>0</v>
      </c>
      <c r="EZ243" s="409"/>
      <c r="FA243" s="409">
        <v>0</v>
      </c>
      <c r="FB243" s="409"/>
      <c r="FC243" s="409"/>
      <c r="FD243" s="409"/>
      <c r="FE243" s="409"/>
      <c r="FF243" s="409">
        <v>0</v>
      </c>
      <c r="FG243" s="409">
        <v>0</v>
      </c>
      <c r="FH243" s="409">
        <v>0</v>
      </c>
      <c r="FI243" s="409">
        <v>0</v>
      </c>
    </row>
    <row r="244" spans="1:165">
      <c r="A244" s="409">
        <v>242</v>
      </c>
      <c r="B244" s="409" t="s">
        <v>1035</v>
      </c>
      <c r="C244" s="409" t="s">
        <v>2246</v>
      </c>
      <c r="D244" s="409" t="s">
        <v>595</v>
      </c>
      <c r="E244" s="409" t="s">
        <v>1000</v>
      </c>
      <c r="F244" s="409" t="s">
        <v>2253</v>
      </c>
      <c r="G244" s="409" t="s">
        <v>1323</v>
      </c>
      <c r="H244" s="409" t="s">
        <v>1323</v>
      </c>
      <c r="I244" s="409" t="s">
        <v>1323</v>
      </c>
      <c r="J244" s="409" t="s">
        <v>2242</v>
      </c>
      <c r="K244" s="838">
        <v>44531</v>
      </c>
      <c r="L244" s="409">
        <v>140</v>
      </c>
      <c r="M244" s="409">
        <v>131.6</v>
      </c>
      <c r="N244" s="409">
        <v>0</v>
      </c>
      <c r="O244" s="409">
        <v>0</v>
      </c>
      <c r="P244" s="409">
        <v>0</v>
      </c>
      <c r="Q244" s="409">
        <v>0</v>
      </c>
      <c r="R244" s="409">
        <v>33.6</v>
      </c>
      <c r="S244" s="409"/>
      <c r="T244" s="409"/>
      <c r="U244" s="409">
        <v>4704</v>
      </c>
      <c r="V244" s="409"/>
      <c r="W244" s="409">
        <v>4704</v>
      </c>
      <c r="X244" s="409">
        <v>4446.4000000000005</v>
      </c>
      <c r="Y244" s="409">
        <v>0</v>
      </c>
      <c r="Z244" s="409">
        <v>0</v>
      </c>
      <c r="AA244" s="409">
        <v>0</v>
      </c>
      <c r="AB244" s="409">
        <v>0</v>
      </c>
      <c r="AC244" s="409">
        <v>0</v>
      </c>
      <c r="AD244" s="409">
        <v>2498.3720823538683</v>
      </c>
      <c r="AE244" s="409">
        <v>2205.721001824802</v>
      </c>
      <c r="AF244" s="409"/>
      <c r="AG244" s="409"/>
      <c r="AH244" s="409"/>
      <c r="AI244" s="409">
        <v>0</v>
      </c>
      <c r="AJ244" s="409">
        <v>0</v>
      </c>
      <c r="AK244" s="409">
        <v>0</v>
      </c>
      <c r="AL244" s="409">
        <v>0</v>
      </c>
      <c r="AM244" s="409"/>
      <c r="AN244" s="409">
        <v>0</v>
      </c>
      <c r="AO244" s="409">
        <v>0</v>
      </c>
      <c r="AP244" s="409">
        <v>0</v>
      </c>
      <c r="AQ244" s="409">
        <v>0</v>
      </c>
      <c r="AR244" s="409">
        <v>0</v>
      </c>
      <c r="AS244" s="409"/>
      <c r="AT244" s="409"/>
      <c r="AU244" s="409">
        <v>0</v>
      </c>
      <c r="AV244" s="409">
        <v>0</v>
      </c>
      <c r="AW244" s="409">
        <v>0</v>
      </c>
      <c r="AX244" s="409"/>
      <c r="AY244" s="409"/>
      <c r="AZ244" s="409">
        <v>0</v>
      </c>
      <c r="BA244" s="409"/>
      <c r="BB244" s="409">
        <v>0</v>
      </c>
      <c r="BC244" s="409">
        <v>0</v>
      </c>
      <c r="BD244" s="409">
        <v>0</v>
      </c>
      <c r="BE244" s="409">
        <v>0</v>
      </c>
      <c r="BF244" s="409"/>
      <c r="BG244" s="409">
        <v>0</v>
      </c>
      <c r="BH244" s="409">
        <v>0</v>
      </c>
      <c r="BI244" s="409">
        <v>144.66999999999999</v>
      </c>
      <c r="BJ244" s="409">
        <v>657.09</v>
      </c>
      <c r="BK244" s="409">
        <v>10801.72</v>
      </c>
      <c r="BL244" s="409">
        <v>1</v>
      </c>
      <c r="BM244" s="409"/>
      <c r="BN244" s="409"/>
      <c r="BO244" s="409"/>
      <c r="BP244" s="409"/>
      <c r="BQ244" s="409">
        <v>266.78400000000022</v>
      </c>
      <c r="BR244" s="409"/>
      <c r="BS244" s="409"/>
      <c r="BT244" s="409"/>
      <c r="BU244" s="409"/>
      <c r="BV244" s="409">
        <v>0</v>
      </c>
      <c r="BW244" s="409"/>
      <c r="BX244" s="409"/>
      <c r="BY244" s="409"/>
      <c r="BZ244" s="409"/>
      <c r="CA244" s="409"/>
      <c r="CB244" s="409"/>
      <c r="CC244" s="409"/>
      <c r="CD244" s="409"/>
      <c r="CE244" s="409"/>
      <c r="CF244" s="409"/>
      <c r="CG244" s="409"/>
      <c r="CH244" s="409"/>
      <c r="CI244" s="409">
        <v>4179.616</v>
      </c>
      <c r="CJ244" s="409">
        <v>-242.17400000000089</v>
      </c>
      <c r="CK244" s="409"/>
      <c r="CL244" s="409"/>
      <c r="CM244" s="409"/>
      <c r="CN244" s="409"/>
      <c r="CO244" s="409">
        <v>-257.59999999999997</v>
      </c>
      <c r="CP244" s="409">
        <v>0</v>
      </c>
      <c r="CQ244" s="409"/>
      <c r="CR244" s="409">
        <v>92.429688544023975</v>
      </c>
      <c r="CS244" s="409">
        <v>0</v>
      </c>
      <c r="CT244" s="409">
        <v>0</v>
      </c>
      <c r="CU244" s="409">
        <v>0</v>
      </c>
      <c r="CV244" s="409">
        <v>0</v>
      </c>
      <c r="CW244" s="409"/>
      <c r="CX244" s="409"/>
      <c r="CY244" s="409"/>
      <c r="CZ244" s="409">
        <v>85.640302779317608</v>
      </c>
      <c r="DA244" s="409">
        <v>0</v>
      </c>
      <c r="DB244" s="409">
        <v>0</v>
      </c>
      <c r="DC244" s="409"/>
      <c r="DD244" s="409"/>
      <c r="DE244" s="409">
        <v>0</v>
      </c>
      <c r="DF244" s="409">
        <v>0</v>
      </c>
      <c r="DG244" s="409">
        <v>0</v>
      </c>
      <c r="DH244" s="409">
        <v>0</v>
      </c>
      <c r="DI244" s="409">
        <v>0</v>
      </c>
      <c r="DJ244" s="409"/>
      <c r="DK244" s="409">
        <v>0</v>
      </c>
      <c r="DL244" s="409">
        <v>0</v>
      </c>
      <c r="DM244" s="409"/>
      <c r="DN244" s="409">
        <v>0</v>
      </c>
      <c r="DO244" s="409">
        <v>0</v>
      </c>
      <c r="DP244" s="409">
        <v>0</v>
      </c>
      <c r="DQ244" s="409">
        <v>0</v>
      </c>
      <c r="DR244" s="409">
        <v>6.7893857647062585</v>
      </c>
      <c r="DS244" s="409"/>
      <c r="DT244" s="409"/>
      <c r="DU244" s="409">
        <v>2205.721001824802</v>
      </c>
      <c r="DV244" s="409"/>
      <c r="DW244" s="409">
        <v>0</v>
      </c>
      <c r="DX244" s="409">
        <v>0</v>
      </c>
      <c r="DY244" s="409">
        <v>-257.59999999999945</v>
      </c>
      <c r="DZ244" s="409"/>
      <c r="EA244" s="409">
        <v>0</v>
      </c>
      <c r="EB244" s="409"/>
      <c r="EC244" s="409">
        <v>-350.60593007797002</v>
      </c>
      <c r="ED244" s="409"/>
      <c r="EE244" s="409">
        <v>0</v>
      </c>
      <c r="EF244" s="409">
        <v>0</v>
      </c>
      <c r="EG244" s="409"/>
      <c r="EH244" s="409">
        <v>0</v>
      </c>
      <c r="EI244" s="409">
        <v>0</v>
      </c>
      <c r="EJ244" s="409">
        <v>0</v>
      </c>
      <c r="EK244" s="409">
        <v>0</v>
      </c>
      <c r="EL244" s="409">
        <v>0</v>
      </c>
      <c r="EM244" s="409"/>
      <c r="EN244" s="409"/>
      <c r="EO244" s="409">
        <v>0</v>
      </c>
      <c r="EP244" s="409">
        <v>0</v>
      </c>
      <c r="EQ244" s="409"/>
      <c r="ER244" s="409">
        <v>0</v>
      </c>
      <c r="ES244" s="409"/>
      <c r="ET244" s="409">
        <v>0</v>
      </c>
      <c r="EU244" s="409"/>
      <c r="EV244" s="409">
        <v>210</v>
      </c>
      <c r="EW244" s="409"/>
      <c r="EX244" s="409"/>
      <c r="EY244" s="409"/>
      <c r="EZ244" s="409"/>
      <c r="FA244" s="409">
        <v>0</v>
      </c>
      <c r="FB244" s="409"/>
      <c r="FC244" s="409"/>
      <c r="FD244" s="409"/>
      <c r="FE244" s="409"/>
      <c r="FF244" s="409">
        <v>0</v>
      </c>
      <c r="FG244" s="409">
        <v>0</v>
      </c>
      <c r="FH244" s="409">
        <v>0</v>
      </c>
      <c r="FI244" s="409">
        <v>0</v>
      </c>
    </row>
    <row r="245" spans="1:165">
      <c r="A245" s="409">
        <v>243</v>
      </c>
      <c r="B245" s="409" t="s">
        <v>1035</v>
      </c>
      <c r="C245" s="409" t="s">
        <v>2241</v>
      </c>
      <c r="D245" s="409" t="s">
        <v>2247</v>
      </c>
      <c r="E245" s="409" t="s">
        <v>973</v>
      </c>
      <c r="F245" s="409" t="s">
        <v>2254</v>
      </c>
      <c r="G245" s="409" t="s">
        <v>2255</v>
      </c>
      <c r="H245" s="409" t="s">
        <v>1323</v>
      </c>
      <c r="I245" s="409" t="s">
        <v>1323</v>
      </c>
      <c r="J245" s="409" t="s">
        <v>2242</v>
      </c>
      <c r="K245" s="838">
        <v>44531</v>
      </c>
      <c r="L245" s="409">
        <v>0</v>
      </c>
      <c r="M245" s="409">
        <v>0</v>
      </c>
      <c r="N245" s="409">
        <v>0</v>
      </c>
      <c r="O245" s="409">
        <v>0</v>
      </c>
      <c r="P245" s="409">
        <v>0</v>
      </c>
      <c r="Q245" s="409">
        <v>0</v>
      </c>
      <c r="R245" s="409"/>
      <c r="S245" s="409"/>
      <c r="T245" s="409"/>
      <c r="U245" s="409"/>
      <c r="V245" s="409"/>
      <c r="W245" s="409"/>
      <c r="X245" s="409"/>
      <c r="Y245" s="409"/>
      <c r="Z245" s="409"/>
      <c r="AA245" s="409">
        <v>0</v>
      </c>
      <c r="AB245" s="409"/>
      <c r="AC245" s="409"/>
      <c r="AD245" s="409"/>
      <c r="AE245" s="409"/>
      <c r="AF245" s="409"/>
      <c r="AG245" s="409"/>
      <c r="AH245" s="409"/>
      <c r="AI245" s="409"/>
      <c r="AJ245" s="409"/>
      <c r="AK245" s="409"/>
      <c r="AL245" s="409"/>
      <c r="AM245" s="409"/>
      <c r="AN245" s="409"/>
      <c r="AO245" s="409"/>
      <c r="AP245" s="409"/>
      <c r="AQ245" s="409"/>
      <c r="AR245" s="409"/>
      <c r="AS245" s="409"/>
      <c r="AT245" s="409"/>
      <c r="AU245" s="409"/>
      <c r="AV245" s="409"/>
      <c r="AW245" s="409"/>
      <c r="AX245" s="409"/>
      <c r="AY245" s="409"/>
      <c r="AZ245" s="409">
        <v>0</v>
      </c>
      <c r="BA245" s="409"/>
      <c r="BB245" s="409"/>
      <c r="BC245" s="409"/>
      <c r="BD245" s="409"/>
      <c r="BE245" s="409"/>
      <c r="BF245" s="409"/>
      <c r="BG245" s="409"/>
      <c r="BH245" s="409"/>
      <c r="BI245" s="409">
        <v>66.72</v>
      </c>
      <c r="BJ245" s="409">
        <v>307.41000000000003</v>
      </c>
      <c r="BK245" s="409">
        <v>775.33</v>
      </c>
      <c r="BL245" s="409">
        <v>34</v>
      </c>
      <c r="BM245" s="409"/>
      <c r="BN245" s="409"/>
      <c r="BO245" s="409"/>
      <c r="BP245" s="409"/>
      <c r="BQ245" s="409"/>
      <c r="BR245" s="409"/>
      <c r="BS245" s="409"/>
      <c r="BT245" s="409"/>
      <c r="BU245" s="409"/>
      <c r="BV245" s="409"/>
      <c r="BW245" s="409"/>
      <c r="BX245" s="409"/>
      <c r="BY245" s="409"/>
      <c r="BZ245" s="409"/>
      <c r="CA245" s="409"/>
      <c r="CB245" s="409"/>
      <c r="CC245" s="409"/>
      <c r="CD245" s="409"/>
      <c r="CE245" s="409"/>
      <c r="CF245" s="409"/>
      <c r="CG245" s="409"/>
      <c r="CH245" s="409"/>
      <c r="CI245" s="409"/>
      <c r="CJ245" s="409">
        <v>-0.03</v>
      </c>
      <c r="CK245" s="409"/>
      <c r="CL245" s="409"/>
      <c r="CM245" s="409"/>
      <c r="CN245" s="409"/>
      <c r="CO245" s="409">
        <v>0</v>
      </c>
      <c r="CP245" s="409">
        <v>0</v>
      </c>
      <c r="CQ245" s="409"/>
      <c r="CR245" s="409"/>
      <c r="CS245" s="409"/>
      <c r="CT245" s="409"/>
      <c r="CU245" s="409"/>
      <c r="CV245" s="409"/>
      <c r="CW245" s="409"/>
      <c r="CX245" s="409"/>
      <c r="CY245" s="409"/>
      <c r="CZ245" s="409"/>
      <c r="DA245" s="409"/>
      <c r="DB245" s="409"/>
      <c r="DC245" s="409"/>
      <c r="DD245" s="409"/>
      <c r="DE245" s="409"/>
      <c r="DF245" s="409"/>
      <c r="DG245" s="409"/>
      <c r="DH245" s="409"/>
      <c r="DI245" s="409"/>
      <c r="DJ245" s="409"/>
      <c r="DK245" s="409">
        <v>0</v>
      </c>
      <c r="DL245" s="409"/>
      <c r="DM245" s="409"/>
      <c r="DN245" s="409"/>
      <c r="DO245" s="409"/>
      <c r="DP245" s="409"/>
      <c r="DQ245" s="409"/>
      <c r="DR245" s="409"/>
      <c r="DS245" s="409"/>
      <c r="DT245" s="409"/>
      <c r="DU245" s="409"/>
      <c r="DV245" s="409"/>
      <c r="DW245" s="409"/>
      <c r="DX245" s="409"/>
      <c r="DY245" s="409"/>
      <c r="DZ245" s="409"/>
      <c r="EA245" s="409"/>
      <c r="EB245" s="409"/>
      <c r="EC245" s="409"/>
      <c r="ED245" s="409"/>
      <c r="EE245" s="409"/>
      <c r="EF245" s="409"/>
      <c r="EG245" s="409"/>
      <c r="EH245" s="409"/>
      <c r="EI245" s="409"/>
      <c r="EJ245" s="409"/>
      <c r="EK245" s="409"/>
      <c r="EL245" s="409"/>
      <c r="EM245" s="409"/>
      <c r="EN245" s="409"/>
      <c r="EO245" s="409"/>
      <c r="EP245" s="409"/>
      <c r="EQ245" s="409"/>
      <c r="ER245" s="409"/>
      <c r="ES245" s="409"/>
      <c r="ET245" s="409"/>
      <c r="EU245" s="409"/>
      <c r="EV245" s="409">
        <v>210</v>
      </c>
      <c r="EW245" s="409"/>
      <c r="EX245" s="409"/>
      <c r="EY245" s="409"/>
      <c r="EZ245" s="409"/>
      <c r="FA245" s="409">
        <v>0</v>
      </c>
      <c r="FB245" s="409"/>
      <c r="FC245" s="409"/>
      <c r="FD245" s="409"/>
      <c r="FE245" s="409"/>
      <c r="FF245" s="409">
        <v>0</v>
      </c>
      <c r="FG245" s="409">
        <v>0</v>
      </c>
      <c r="FH245" s="409">
        <v>0</v>
      </c>
      <c r="FI245" s="409">
        <v>0</v>
      </c>
    </row>
    <row r="246" spans="1:165">
      <c r="A246" s="409">
        <v>244</v>
      </c>
      <c r="B246" s="409" t="s">
        <v>1035</v>
      </c>
      <c r="C246" s="409" t="s">
        <v>2241</v>
      </c>
      <c r="D246" s="409" t="s">
        <v>2247</v>
      </c>
      <c r="E246" s="409" t="s">
        <v>973</v>
      </c>
      <c r="F246" s="409" t="s">
        <v>2254</v>
      </c>
      <c r="G246" s="409" t="s">
        <v>2255</v>
      </c>
      <c r="H246" s="409" t="s">
        <v>1323</v>
      </c>
      <c r="I246" s="409" t="s">
        <v>1323</v>
      </c>
      <c r="J246" s="409" t="s">
        <v>2242</v>
      </c>
      <c r="K246" s="838">
        <v>44531</v>
      </c>
      <c r="L246" s="409">
        <v>0</v>
      </c>
      <c r="M246" s="409">
        <v>0</v>
      </c>
      <c r="N246" s="409">
        <v>13.638</v>
      </c>
      <c r="O246" s="409">
        <v>13.638</v>
      </c>
      <c r="P246" s="409">
        <v>13.638</v>
      </c>
      <c r="Q246" s="409">
        <v>13.638</v>
      </c>
      <c r="R246" s="409"/>
      <c r="S246" s="409">
        <v>358.62</v>
      </c>
      <c r="T246" s="409">
        <v>273.74</v>
      </c>
      <c r="U246" s="409"/>
      <c r="V246" s="409">
        <v>8624.125680000001</v>
      </c>
      <c r="W246" s="409">
        <v>8624.125680000001</v>
      </c>
      <c r="X246" s="409">
        <v>8362.0033199999998</v>
      </c>
      <c r="Y246" s="409">
        <v>0</v>
      </c>
      <c r="Z246" s="409">
        <v>823.38623343610777</v>
      </c>
      <c r="AA246" s="409">
        <v>0</v>
      </c>
      <c r="AB246" s="409">
        <v>0</v>
      </c>
      <c r="AC246" s="409">
        <v>0</v>
      </c>
      <c r="AD246" s="409">
        <v>1174.0752043734099</v>
      </c>
      <c r="AE246" s="409">
        <v>2701.4040210912713</v>
      </c>
      <c r="AF246" s="409">
        <v>3733.2560236487693</v>
      </c>
      <c r="AG246" s="409">
        <v>0</v>
      </c>
      <c r="AH246" s="409">
        <v>0</v>
      </c>
      <c r="AI246" s="409">
        <v>0</v>
      </c>
      <c r="AJ246" s="409">
        <v>0</v>
      </c>
      <c r="AK246" s="409">
        <v>0</v>
      </c>
      <c r="AL246" s="409">
        <v>127.33185309904744</v>
      </c>
      <c r="AM246" s="409"/>
      <c r="AN246" s="409">
        <v>14.525716119889626</v>
      </c>
      <c r="AO246" s="409">
        <v>0</v>
      </c>
      <c r="AP246" s="409">
        <v>0</v>
      </c>
      <c r="AQ246" s="409">
        <v>0</v>
      </c>
      <c r="AR246" s="409">
        <v>0</v>
      </c>
      <c r="AS246" s="409">
        <v>0</v>
      </c>
      <c r="AT246" s="409">
        <v>0</v>
      </c>
      <c r="AU246" s="409">
        <v>0</v>
      </c>
      <c r="AV246" s="409">
        <v>0</v>
      </c>
      <c r="AW246" s="409">
        <v>0</v>
      </c>
      <c r="AX246" s="409">
        <v>0</v>
      </c>
      <c r="AY246" s="409">
        <v>0</v>
      </c>
      <c r="AZ246" s="409">
        <v>0</v>
      </c>
      <c r="BA246" s="409"/>
      <c r="BB246" s="409">
        <v>0</v>
      </c>
      <c r="BC246" s="409">
        <v>0</v>
      </c>
      <c r="BD246" s="409">
        <v>0</v>
      </c>
      <c r="BE246" s="409">
        <v>0</v>
      </c>
      <c r="BF246" s="409">
        <v>0</v>
      </c>
      <c r="BG246" s="409">
        <v>50.16637703539655</v>
      </c>
      <c r="BH246" s="409">
        <v>0</v>
      </c>
      <c r="BI246" s="409">
        <v>0</v>
      </c>
      <c r="BJ246" s="409">
        <v>0</v>
      </c>
      <c r="BK246" s="409">
        <v>0</v>
      </c>
      <c r="BL246" s="409">
        <v>0</v>
      </c>
      <c r="BM246" s="409"/>
      <c r="BN246" s="409"/>
      <c r="BO246" s="409"/>
      <c r="BP246" s="409"/>
      <c r="BQ246" s="409"/>
      <c r="BR246" s="409">
        <v>1170.6859199999999</v>
      </c>
      <c r="BS246" s="409"/>
      <c r="BT246" s="409"/>
      <c r="BU246" s="409"/>
      <c r="BV246" s="409">
        <v>3783.422400684166</v>
      </c>
      <c r="BW246" s="409"/>
      <c r="BX246" s="409"/>
      <c r="BY246" s="409"/>
      <c r="BZ246" s="409"/>
      <c r="CA246" s="409"/>
      <c r="CB246" s="409"/>
      <c r="CC246" s="409"/>
      <c r="CD246" s="409"/>
      <c r="CE246" s="409"/>
      <c r="CF246" s="409"/>
      <c r="CG246" s="409"/>
      <c r="CH246" s="409"/>
      <c r="CI246" s="409">
        <v>7192.3720000000003</v>
      </c>
      <c r="CJ246" s="409">
        <v>-224.54791999999998</v>
      </c>
      <c r="CK246" s="409"/>
      <c r="CL246" s="409"/>
      <c r="CM246" s="409"/>
      <c r="CN246" s="409"/>
      <c r="CO246" s="409">
        <v>-439.4163600000004</v>
      </c>
      <c r="CP246" s="409">
        <v>177.29400000000001</v>
      </c>
      <c r="CQ246" s="409"/>
      <c r="CR246" s="409">
        <v>167.22752262266931</v>
      </c>
      <c r="CS246" s="409">
        <v>0</v>
      </c>
      <c r="CT246" s="409">
        <v>0</v>
      </c>
      <c r="CU246" s="409">
        <v>0</v>
      </c>
      <c r="CV246" s="409">
        <v>0</v>
      </c>
      <c r="CW246" s="409">
        <v>0</v>
      </c>
      <c r="CX246" s="409">
        <v>0</v>
      </c>
      <c r="CY246" s="409">
        <v>0</v>
      </c>
      <c r="CZ246" s="409">
        <v>40.24546891890941</v>
      </c>
      <c r="DA246" s="409">
        <v>0</v>
      </c>
      <c r="DB246" s="409">
        <v>0</v>
      </c>
      <c r="DC246" s="409">
        <v>201.10945842924684</v>
      </c>
      <c r="DD246" s="409">
        <v>0</v>
      </c>
      <c r="DE246" s="409">
        <v>0</v>
      </c>
      <c r="DF246" s="409">
        <v>0</v>
      </c>
      <c r="DG246" s="409">
        <v>2.7024487077866581</v>
      </c>
      <c r="DH246" s="409">
        <v>0</v>
      </c>
      <c r="DI246" s="409">
        <v>-52.48368843699302</v>
      </c>
      <c r="DJ246" s="409"/>
      <c r="DK246" s="409">
        <v>0</v>
      </c>
      <c r="DL246" s="409">
        <v>0</v>
      </c>
      <c r="DM246" s="409">
        <v>0</v>
      </c>
      <c r="DN246" s="409">
        <v>0</v>
      </c>
      <c r="DO246" s="409">
        <v>-6.6762379564491141</v>
      </c>
      <c r="DP246" s="409">
        <v>-0.9583983313679969</v>
      </c>
      <c r="DQ246" s="409">
        <v>0</v>
      </c>
      <c r="DR246" s="409">
        <v>-16.711528708463355</v>
      </c>
      <c r="DS246" s="409"/>
      <c r="DT246" s="409"/>
      <c r="DU246" s="409"/>
      <c r="DV246" s="409">
        <v>2701.4040210912713</v>
      </c>
      <c r="DW246" s="409">
        <v>0</v>
      </c>
      <c r="DX246" s="409">
        <v>0</v>
      </c>
      <c r="DY246" s="409">
        <v>-439.41636000000017</v>
      </c>
      <c r="DZ246" s="409">
        <v>177.29399999999987</v>
      </c>
      <c r="EA246" s="409">
        <v>0</v>
      </c>
      <c r="EB246" s="409">
        <v>0</v>
      </c>
      <c r="EC246" s="409">
        <v>-429.39622397734092</v>
      </c>
      <c r="ED246" s="409">
        <v>0</v>
      </c>
      <c r="EE246" s="409">
        <v>0</v>
      </c>
      <c r="EF246" s="409">
        <v>0</v>
      </c>
      <c r="EG246" s="409">
        <v>0</v>
      </c>
      <c r="EH246" s="409">
        <v>0</v>
      </c>
      <c r="EI246" s="409">
        <v>0</v>
      </c>
      <c r="EJ246" s="409">
        <v>0</v>
      </c>
      <c r="EK246" s="409">
        <v>0</v>
      </c>
      <c r="EL246" s="409">
        <v>0</v>
      </c>
      <c r="EM246" s="409">
        <v>0</v>
      </c>
      <c r="EN246" s="409">
        <v>0</v>
      </c>
      <c r="EO246" s="409">
        <v>0</v>
      </c>
      <c r="EP246" s="409">
        <v>0</v>
      </c>
      <c r="EQ246" s="409">
        <v>0</v>
      </c>
      <c r="ER246" s="409">
        <v>0</v>
      </c>
      <c r="ES246" s="409">
        <v>0</v>
      </c>
      <c r="ET246" s="409">
        <v>0</v>
      </c>
      <c r="EU246" s="409">
        <v>0</v>
      </c>
      <c r="EV246" s="409">
        <v>210</v>
      </c>
      <c r="EW246" s="409">
        <v>0</v>
      </c>
      <c r="EX246" s="409">
        <v>0</v>
      </c>
      <c r="EY246" s="409">
        <v>0</v>
      </c>
      <c r="EZ246" s="409"/>
      <c r="FA246" s="409">
        <v>0</v>
      </c>
      <c r="FB246" s="409"/>
      <c r="FC246" s="409"/>
      <c r="FD246" s="409"/>
      <c r="FE246" s="409"/>
      <c r="FF246" s="409">
        <v>0</v>
      </c>
      <c r="FG246" s="409">
        <v>0</v>
      </c>
      <c r="FH246" s="409">
        <v>0</v>
      </c>
      <c r="FI246" s="409">
        <v>0</v>
      </c>
    </row>
    <row r="247" spans="1:165">
      <c r="A247" s="409">
        <v>245</v>
      </c>
      <c r="B247" s="409" t="s">
        <v>1035</v>
      </c>
      <c r="C247" s="409" t="s">
        <v>2241</v>
      </c>
      <c r="D247" s="409" t="s">
        <v>2247</v>
      </c>
      <c r="E247" s="409" t="s">
        <v>973</v>
      </c>
      <c r="F247" s="409" t="s">
        <v>2254</v>
      </c>
      <c r="G247" s="409" t="s">
        <v>2256</v>
      </c>
      <c r="H247" s="409" t="s">
        <v>1323</v>
      </c>
      <c r="I247" s="409" t="s">
        <v>1323</v>
      </c>
      <c r="J247" s="409" t="s">
        <v>2242</v>
      </c>
      <c r="K247" s="838">
        <v>44531</v>
      </c>
      <c r="L247" s="409">
        <v>0</v>
      </c>
      <c r="M247" s="409">
        <v>0</v>
      </c>
      <c r="N247" s="409">
        <v>18.23</v>
      </c>
      <c r="O247" s="409">
        <v>7.2919999999999998</v>
      </c>
      <c r="P247" s="409">
        <v>18.23</v>
      </c>
      <c r="Q247" s="409">
        <v>7.2919999999999998</v>
      </c>
      <c r="R247" s="409"/>
      <c r="S247" s="409">
        <v>358.62</v>
      </c>
      <c r="T247" s="409">
        <v>273.74</v>
      </c>
      <c r="U247" s="409"/>
      <c r="V247" s="409">
        <v>11527.9228</v>
      </c>
      <c r="W247" s="409">
        <v>11527.9228</v>
      </c>
      <c r="X247" s="409">
        <v>11177.5422</v>
      </c>
      <c r="Y247" s="409">
        <v>0</v>
      </c>
      <c r="Z247" s="409">
        <v>1100.6255342088461</v>
      </c>
      <c r="AA247" s="409">
        <v>0</v>
      </c>
      <c r="AB247" s="409">
        <v>0</v>
      </c>
      <c r="AC247" s="409">
        <v>0</v>
      </c>
      <c r="AD247" s="409">
        <v>1569.3936776453486</v>
      </c>
      <c r="AE247" s="409">
        <v>3610.983670955703</v>
      </c>
      <c r="AF247" s="409">
        <v>4990.2667041440873</v>
      </c>
      <c r="AG247" s="409">
        <v>0</v>
      </c>
      <c r="AH247" s="409">
        <v>0</v>
      </c>
      <c r="AI247" s="409">
        <v>0</v>
      </c>
      <c r="AJ247" s="409">
        <v>0</v>
      </c>
      <c r="AK247" s="409">
        <v>0</v>
      </c>
      <c r="AL247" s="409">
        <v>170.20528537876777</v>
      </c>
      <c r="AM247" s="409"/>
      <c r="AN247" s="409">
        <v>19.416615696259562</v>
      </c>
      <c r="AO247" s="409">
        <v>0</v>
      </c>
      <c r="AP247" s="409">
        <v>0</v>
      </c>
      <c r="AQ247" s="409">
        <v>0</v>
      </c>
      <c r="AR247" s="409">
        <v>0</v>
      </c>
      <c r="AS247" s="409">
        <v>0</v>
      </c>
      <c r="AT247" s="409">
        <v>0</v>
      </c>
      <c r="AU247" s="409">
        <v>0</v>
      </c>
      <c r="AV247" s="409">
        <v>0</v>
      </c>
      <c r="AW247" s="409">
        <v>0</v>
      </c>
      <c r="AX247" s="409">
        <v>0</v>
      </c>
      <c r="AY247" s="409">
        <v>0</v>
      </c>
      <c r="AZ247" s="409">
        <v>0</v>
      </c>
      <c r="BA247" s="409"/>
      <c r="BB247" s="409">
        <v>0</v>
      </c>
      <c r="BC247" s="409">
        <v>0</v>
      </c>
      <c r="BD247" s="409">
        <v>0</v>
      </c>
      <c r="BE247" s="409">
        <v>0</v>
      </c>
      <c r="BF247" s="409">
        <v>0</v>
      </c>
      <c r="BG247" s="409">
        <v>67.057710320815303</v>
      </c>
      <c r="BH247" s="409">
        <v>0</v>
      </c>
      <c r="BI247" s="409">
        <v>0</v>
      </c>
      <c r="BJ247" s="409">
        <v>0</v>
      </c>
      <c r="BK247" s="409">
        <v>0</v>
      </c>
      <c r="BL247" s="409">
        <v>0</v>
      </c>
      <c r="BM247" s="409"/>
      <c r="BN247" s="409"/>
      <c r="BO247" s="409"/>
      <c r="BP247" s="409"/>
      <c r="BQ247" s="409"/>
      <c r="BR247" s="409"/>
      <c r="BS247" s="409">
        <v>7332.4706000000006</v>
      </c>
      <c r="BT247" s="409"/>
      <c r="BU247" s="409"/>
      <c r="BV247" s="409">
        <v>5057.3244144649025</v>
      </c>
      <c r="BW247" s="409"/>
      <c r="BX247" s="409"/>
      <c r="BY247" s="409"/>
      <c r="BZ247" s="409"/>
      <c r="CA247" s="409"/>
      <c r="CB247" s="409"/>
      <c r="CC247" s="409"/>
      <c r="CD247" s="409"/>
      <c r="CE247" s="409"/>
      <c r="CF247" s="409"/>
      <c r="CG247" s="409"/>
      <c r="CH247" s="409"/>
      <c r="CI247" s="409">
        <v>3844.0169999999998</v>
      </c>
      <c r="CJ247" s="409">
        <v>-121.69428000000062</v>
      </c>
      <c r="CK247" s="409"/>
      <c r="CL247" s="409"/>
      <c r="CM247" s="409"/>
      <c r="CN247" s="409"/>
      <c r="CO247" s="409">
        <v>-587.37060000000054</v>
      </c>
      <c r="CP247" s="409">
        <v>236.99</v>
      </c>
      <c r="CQ247" s="409"/>
      <c r="CR247" s="409">
        <v>223.53407665429495</v>
      </c>
      <c r="CS247" s="409">
        <v>0</v>
      </c>
      <c r="CT247" s="409">
        <v>0</v>
      </c>
      <c r="CU247" s="409">
        <v>0</v>
      </c>
      <c r="CV247" s="409">
        <v>0</v>
      </c>
      <c r="CW247" s="409">
        <v>0</v>
      </c>
      <c r="CX247" s="409">
        <v>0</v>
      </c>
      <c r="CY247" s="409">
        <v>0</v>
      </c>
      <c r="CZ247" s="409">
        <v>53.79637031762104</v>
      </c>
      <c r="DA247" s="409">
        <v>0</v>
      </c>
      <c r="DB247" s="409">
        <v>0</v>
      </c>
      <c r="DC247" s="409">
        <v>268.82427241275673</v>
      </c>
      <c r="DD247" s="409">
        <v>0</v>
      </c>
      <c r="DE247" s="409">
        <v>0</v>
      </c>
      <c r="DF247" s="409">
        <v>0</v>
      </c>
      <c r="DG247" s="409">
        <v>3.6123801102031763</v>
      </c>
      <c r="DH247" s="409">
        <v>0</v>
      </c>
      <c r="DI247" s="409">
        <v>-70.155274982136916</v>
      </c>
      <c r="DJ247" s="409"/>
      <c r="DK247" s="409">
        <v>0</v>
      </c>
      <c r="DL247" s="409">
        <v>0</v>
      </c>
      <c r="DM247" s="409">
        <v>0</v>
      </c>
      <c r="DN247" s="409">
        <v>0</v>
      </c>
      <c r="DO247" s="409">
        <v>-8.924169082421713</v>
      </c>
      <c r="DP247" s="409">
        <v>-1.2810970509487163</v>
      </c>
      <c r="DQ247" s="409">
        <v>0</v>
      </c>
      <c r="DR247" s="409">
        <v>-22.338405070779217</v>
      </c>
      <c r="DS247" s="409"/>
      <c r="DT247" s="409"/>
      <c r="DU247" s="409"/>
      <c r="DV247" s="409">
        <v>3610.983670955703</v>
      </c>
      <c r="DW247" s="409">
        <v>0</v>
      </c>
      <c r="DX247" s="409">
        <v>0</v>
      </c>
      <c r="DY247" s="409">
        <v>-587.37060000000019</v>
      </c>
      <c r="DZ247" s="409">
        <v>236.98999999999978</v>
      </c>
      <c r="EA247" s="409">
        <v>0</v>
      </c>
      <c r="EB247" s="409">
        <v>0</v>
      </c>
      <c r="EC247" s="409">
        <v>-573.97662143326897</v>
      </c>
      <c r="ED247" s="409">
        <v>0</v>
      </c>
      <c r="EE247" s="409">
        <v>0</v>
      </c>
      <c r="EF247" s="409">
        <v>0</v>
      </c>
      <c r="EG247" s="409">
        <v>0</v>
      </c>
      <c r="EH247" s="409">
        <v>0</v>
      </c>
      <c r="EI247" s="409">
        <v>0</v>
      </c>
      <c r="EJ247" s="409">
        <v>0</v>
      </c>
      <c r="EK247" s="409">
        <v>0</v>
      </c>
      <c r="EL247" s="409">
        <v>0</v>
      </c>
      <c r="EM247" s="409">
        <v>0</v>
      </c>
      <c r="EN247" s="409">
        <v>0</v>
      </c>
      <c r="EO247" s="409">
        <v>0</v>
      </c>
      <c r="EP247" s="409">
        <v>0</v>
      </c>
      <c r="EQ247" s="409">
        <v>0</v>
      </c>
      <c r="ER247" s="409">
        <v>0</v>
      </c>
      <c r="ES247" s="409">
        <v>0</v>
      </c>
      <c r="ET247" s="409">
        <v>0</v>
      </c>
      <c r="EU247" s="409">
        <v>0</v>
      </c>
      <c r="EV247" s="409">
        <v>210</v>
      </c>
      <c r="EW247" s="409">
        <v>0</v>
      </c>
      <c r="EX247" s="409">
        <v>0</v>
      </c>
      <c r="EY247" s="409">
        <v>0</v>
      </c>
      <c r="EZ247" s="409"/>
      <c r="FA247" s="409">
        <v>0</v>
      </c>
      <c r="FB247" s="409"/>
      <c r="FC247" s="409"/>
      <c r="FD247" s="409"/>
      <c r="FE247" s="409"/>
      <c r="FF247" s="409">
        <v>0</v>
      </c>
      <c r="FG247" s="409">
        <v>0</v>
      </c>
      <c r="FH247" s="409">
        <v>0</v>
      </c>
      <c r="FI247" s="409">
        <v>0</v>
      </c>
    </row>
    <row r="248" spans="1:165">
      <c r="A248" s="409">
        <v>246</v>
      </c>
      <c r="B248" s="409" t="s">
        <v>1035</v>
      </c>
      <c r="C248" s="409" t="s">
        <v>2241</v>
      </c>
      <c r="D248" s="409" t="s">
        <v>1989</v>
      </c>
      <c r="E248" s="409" t="s">
        <v>968</v>
      </c>
      <c r="F248" s="409" t="s">
        <v>968</v>
      </c>
      <c r="G248" s="409" t="s">
        <v>1323</v>
      </c>
      <c r="H248" s="409" t="s">
        <v>1323</v>
      </c>
      <c r="I248" s="409" t="s">
        <v>1323</v>
      </c>
      <c r="J248" s="409" t="s">
        <v>2242</v>
      </c>
      <c r="K248" s="838">
        <v>44562</v>
      </c>
      <c r="L248" s="409">
        <v>0</v>
      </c>
      <c r="M248" s="409">
        <v>0</v>
      </c>
      <c r="N248" s="409">
        <v>112.283</v>
      </c>
      <c r="O248" s="409">
        <v>112.283</v>
      </c>
      <c r="P248" s="409">
        <v>112.283</v>
      </c>
      <c r="Q248" s="409">
        <v>112.283</v>
      </c>
      <c r="R248" s="409"/>
      <c r="S248" s="409">
        <v>358.62</v>
      </c>
      <c r="T248" s="409">
        <v>273.74</v>
      </c>
      <c r="U248" s="409"/>
      <c r="V248" s="409">
        <v>71003.277880000009</v>
      </c>
      <c r="W248" s="409">
        <v>71003.277880000009</v>
      </c>
      <c r="X248" s="409">
        <v>68845.198619999996</v>
      </c>
      <c r="Y248" s="409">
        <v>0</v>
      </c>
      <c r="Z248" s="409">
        <v>6779.0201238382815</v>
      </c>
      <c r="AA248" s="409">
        <v>0</v>
      </c>
      <c r="AB248" s="409">
        <v>0</v>
      </c>
      <c r="AC248" s="409">
        <v>0</v>
      </c>
      <c r="AD248" s="409">
        <v>9666.2770327511062</v>
      </c>
      <c r="AE248" s="409">
        <v>22240.925920236929</v>
      </c>
      <c r="AF248" s="409">
        <v>30736.265295743859</v>
      </c>
      <c r="AG248" s="409">
        <v>0</v>
      </c>
      <c r="AH248" s="409">
        <v>0</v>
      </c>
      <c r="AI248" s="409">
        <v>0</v>
      </c>
      <c r="AJ248" s="409">
        <v>0</v>
      </c>
      <c r="AK248" s="409">
        <v>0</v>
      </c>
      <c r="AL248" s="409">
        <v>1048.3357135591982</v>
      </c>
      <c r="AM248" s="409"/>
      <c r="AN248" s="409">
        <v>119.59165442803688</v>
      </c>
      <c r="AO248" s="409">
        <v>0</v>
      </c>
      <c r="AP248" s="409">
        <v>0</v>
      </c>
      <c r="AQ248" s="409">
        <v>0</v>
      </c>
      <c r="AR248" s="409">
        <v>0</v>
      </c>
      <c r="AS248" s="409">
        <v>0</v>
      </c>
      <c r="AT248" s="409">
        <v>0</v>
      </c>
      <c r="AU248" s="409">
        <v>0</v>
      </c>
      <c r="AV248" s="409">
        <v>0</v>
      </c>
      <c r="AW248" s="409">
        <v>0</v>
      </c>
      <c r="AX248" s="409">
        <v>0</v>
      </c>
      <c r="AY248" s="409">
        <v>0</v>
      </c>
      <c r="AZ248" s="409">
        <v>0</v>
      </c>
      <c r="BA248" s="409"/>
      <c r="BB248" s="409">
        <v>0</v>
      </c>
      <c r="BC248" s="409">
        <v>0</v>
      </c>
      <c r="BD248" s="409">
        <v>0</v>
      </c>
      <c r="BE248" s="409">
        <v>0</v>
      </c>
      <c r="BF248" s="409">
        <v>0</v>
      </c>
      <c r="BG248" s="409">
        <v>413.0247332941363</v>
      </c>
      <c r="BH248" s="409">
        <v>0</v>
      </c>
      <c r="BI248" s="409">
        <v>684.46</v>
      </c>
      <c r="BJ248" s="409">
        <v>3173.53</v>
      </c>
      <c r="BK248" s="409">
        <v>19698.93</v>
      </c>
      <c r="BL248" s="409">
        <v>740</v>
      </c>
      <c r="BM248" s="409"/>
      <c r="BN248" s="409"/>
      <c r="BO248" s="409"/>
      <c r="BP248" s="409"/>
      <c r="BQ248" s="409"/>
      <c r="BR248" s="409"/>
      <c r="BS248" s="409"/>
      <c r="BT248" s="409"/>
      <c r="BU248" s="409"/>
      <c r="BV248" s="409">
        <v>31149.290029037995</v>
      </c>
      <c r="BW248" s="409"/>
      <c r="BX248" s="409"/>
      <c r="BY248" s="409"/>
      <c r="BZ248" s="409"/>
      <c r="CA248" s="409"/>
      <c r="CB248" s="409"/>
      <c r="CC248" s="409"/>
      <c r="CD248" s="409"/>
      <c r="CE248" s="409"/>
      <c r="CF248" s="409"/>
      <c r="CG248" s="409"/>
      <c r="CH248" s="409"/>
      <c r="CI248" s="409">
        <v>68843.359199999992</v>
      </c>
      <c r="CJ248" s="409">
        <v>-2159.9486800000013</v>
      </c>
      <c r="CK248" s="409"/>
      <c r="CL248" s="409"/>
      <c r="CM248" s="409"/>
      <c r="CN248" s="409"/>
      <c r="CO248" s="409">
        <v>-3617.7582600000032</v>
      </c>
      <c r="CP248" s="409">
        <v>1459.6790000000001</v>
      </c>
      <c r="CQ248" s="409">
        <v>31</v>
      </c>
      <c r="CR248" s="409">
        <v>1376.8006982432271</v>
      </c>
      <c r="CS248" s="409">
        <v>0</v>
      </c>
      <c r="CT248" s="409">
        <v>0</v>
      </c>
      <c r="CU248" s="409">
        <v>0</v>
      </c>
      <c r="CV248" s="409">
        <v>0</v>
      </c>
      <c r="CW248" s="409">
        <v>0</v>
      </c>
      <c r="CX248" s="409">
        <v>0</v>
      </c>
      <c r="CY248" s="409">
        <v>0</v>
      </c>
      <c r="CZ248" s="409">
        <v>331.34491762882317</v>
      </c>
      <c r="DA248" s="409">
        <v>0</v>
      </c>
      <c r="DB248" s="409">
        <v>0</v>
      </c>
      <c r="DC248" s="409">
        <v>1655.7540197104499</v>
      </c>
      <c r="DD248" s="409">
        <v>0</v>
      </c>
      <c r="DE248" s="409">
        <v>0</v>
      </c>
      <c r="DF248" s="409">
        <v>0</v>
      </c>
      <c r="DG248" s="409">
        <v>22.249526928905254</v>
      </c>
      <c r="DH248" s="409">
        <v>0</v>
      </c>
      <c r="DI248" s="409">
        <v>-432.10338677011896</v>
      </c>
      <c r="DJ248" s="409"/>
      <c r="DK248" s="409">
        <v>0</v>
      </c>
      <c r="DL248" s="409">
        <v>0</v>
      </c>
      <c r="DM248" s="409">
        <v>0</v>
      </c>
      <c r="DN248" s="409">
        <v>0</v>
      </c>
      <c r="DO248" s="409">
        <v>-54.966126005571027</v>
      </c>
      <c r="DP248" s="409">
        <v>-7.8905880511066755</v>
      </c>
      <c r="DQ248" s="409">
        <v>0</v>
      </c>
      <c r="DR248" s="409">
        <v>-137.58766519815157</v>
      </c>
      <c r="DS248" s="409"/>
      <c r="DT248" s="409"/>
      <c r="DU248" s="409"/>
      <c r="DV248" s="409">
        <v>22240.925920236929</v>
      </c>
      <c r="DW248" s="409">
        <v>0</v>
      </c>
      <c r="DX248" s="409">
        <v>0</v>
      </c>
      <c r="DY248" s="409">
        <v>-3617.7582600000023</v>
      </c>
      <c r="DZ248" s="409">
        <v>1459.6790000000001</v>
      </c>
      <c r="EA248" s="409">
        <v>0</v>
      </c>
      <c r="EB248" s="409">
        <v>0</v>
      </c>
      <c r="EC248" s="409">
        <v>-3535.2614911898927</v>
      </c>
      <c r="ED248" s="409">
        <v>0</v>
      </c>
      <c r="EE248" s="409">
        <v>0</v>
      </c>
      <c r="EF248" s="409">
        <v>0</v>
      </c>
      <c r="EG248" s="409">
        <v>0</v>
      </c>
      <c r="EH248" s="409">
        <v>0</v>
      </c>
      <c r="EI248" s="409">
        <v>0</v>
      </c>
      <c r="EJ248" s="409">
        <v>0</v>
      </c>
      <c r="EK248" s="409">
        <v>0</v>
      </c>
      <c r="EL248" s="409">
        <v>0</v>
      </c>
      <c r="EM248" s="409">
        <v>0</v>
      </c>
      <c r="EN248" s="409">
        <v>0</v>
      </c>
      <c r="EO248" s="409">
        <v>0</v>
      </c>
      <c r="EP248" s="409">
        <v>0</v>
      </c>
      <c r="EQ248" s="409">
        <v>0</v>
      </c>
      <c r="ER248" s="409">
        <v>0</v>
      </c>
      <c r="ES248" s="409">
        <v>0</v>
      </c>
      <c r="ET248" s="409">
        <v>0</v>
      </c>
      <c r="EU248" s="409">
        <v>0</v>
      </c>
      <c r="EV248" s="409">
        <v>210</v>
      </c>
      <c r="EW248" s="409">
        <v>0</v>
      </c>
      <c r="EX248" s="409">
        <v>0</v>
      </c>
      <c r="EY248" s="409">
        <v>0</v>
      </c>
      <c r="EZ248" s="409"/>
      <c r="FA248" s="409">
        <v>0</v>
      </c>
      <c r="FB248" s="409"/>
      <c r="FC248" s="409"/>
      <c r="FD248" s="409"/>
      <c r="FE248" s="409"/>
      <c r="FF248" s="409">
        <v>0</v>
      </c>
      <c r="FG248" s="409">
        <v>0</v>
      </c>
      <c r="FH248" s="409">
        <v>0</v>
      </c>
      <c r="FI248" s="409">
        <v>0</v>
      </c>
    </row>
    <row r="249" spans="1:165">
      <c r="A249" s="409">
        <v>247</v>
      </c>
      <c r="B249" s="409" t="s">
        <v>2257</v>
      </c>
      <c r="C249" s="409" t="s">
        <v>2241</v>
      </c>
      <c r="D249" s="409" t="s">
        <v>1989</v>
      </c>
      <c r="E249" s="409" t="s">
        <v>968</v>
      </c>
      <c r="F249" s="409" t="s">
        <v>968</v>
      </c>
      <c r="G249" s="409" t="s">
        <v>1323</v>
      </c>
      <c r="H249" s="409" t="s">
        <v>1323</v>
      </c>
      <c r="I249" s="409" t="s">
        <v>1323</v>
      </c>
      <c r="J249" s="409" t="s">
        <v>2242</v>
      </c>
      <c r="K249" s="838">
        <v>44562</v>
      </c>
      <c r="L249" s="409">
        <v>0</v>
      </c>
      <c r="M249" s="409">
        <v>0</v>
      </c>
      <c r="N249" s="409">
        <v>-0.19</v>
      </c>
      <c r="O249" s="409">
        <v>-0.19</v>
      </c>
      <c r="P249" s="409">
        <v>-0.19</v>
      </c>
      <c r="Q249" s="409">
        <v>-0.19</v>
      </c>
      <c r="R249" s="409"/>
      <c r="S249" s="409">
        <v>358.62</v>
      </c>
      <c r="T249" s="409">
        <v>273.74</v>
      </c>
      <c r="U249" s="409"/>
      <c r="V249" s="409">
        <v>-120.14840000000001</v>
      </c>
      <c r="W249" s="409">
        <v>-120.14840000000001</v>
      </c>
      <c r="X249" s="409">
        <v>-116.4966</v>
      </c>
      <c r="Y249" s="409">
        <v>0</v>
      </c>
      <c r="Z249" s="409">
        <v>-11.471138315945188</v>
      </c>
      <c r="AA249" s="409">
        <v>0</v>
      </c>
      <c r="AB249" s="409">
        <v>0</v>
      </c>
      <c r="AC249" s="409">
        <v>0</v>
      </c>
      <c r="AD249" s="409">
        <v>-16.35681836273265</v>
      </c>
      <c r="AE249" s="409">
        <v>-37.635046488293121</v>
      </c>
      <c r="AF249" s="409">
        <v>-52.010459341051927</v>
      </c>
      <c r="AG249" s="409">
        <v>0</v>
      </c>
      <c r="AH249" s="409">
        <v>0</v>
      </c>
      <c r="AI249" s="409">
        <v>0</v>
      </c>
      <c r="AJ249" s="409">
        <v>0</v>
      </c>
      <c r="AK249" s="409">
        <v>0</v>
      </c>
      <c r="AL249" s="409">
        <v>-1.7739442798664771</v>
      </c>
      <c r="AM249" s="409"/>
      <c r="AN249" s="409">
        <v>-0.202367360520533</v>
      </c>
      <c r="AO249" s="409">
        <v>0</v>
      </c>
      <c r="AP249" s="409">
        <v>0</v>
      </c>
      <c r="AQ249" s="409">
        <v>0</v>
      </c>
      <c r="AR249" s="409">
        <v>0</v>
      </c>
      <c r="AS249" s="409">
        <v>0</v>
      </c>
      <c r="AT249" s="409">
        <v>0</v>
      </c>
      <c r="AU249" s="409">
        <v>0</v>
      </c>
      <c r="AV249" s="409">
        <v>0</v>
      </c>
      <c r="AW249" s="409">
        <v>0</v>
      </c>
      <c r="AX249" s="409">
        <v>0</v>
      </c>
      <c r="AY249" s="409">
        <v>0</v>
      </c>
      <c r="AZ249" s="409">
        <v>0</v>
      </c>
      <c r="BA249" s="409"/>
      <c r="BB249" s="409">
        <v>0</v>
      </c>
      <c r="BC249" s="409">
        <v>0</v>
      </c>
      <c r="BD249" s="409">
        <v>0</v>
      </c>
      <c r="BE249" s="409">
        <v>0</v>
      </c>
      <c r="BF249" s="409">
        <v>0</v>
      </c>
      <c r="BG249" s="409">
        <v>-0.69890098524162969</v>
      </c>
      <c r="BH249" s="409">
        <v>0</v>
      </c>
      <c r="BI249" s="409">
        <v>-1.4</v>
      </c>
      <c r="BJ249" s="409">
        <v>-6.52</v>
      </c>
      <c r="BK249" s="409">
        <v>-65.34</v>
      </c>
      <c r="BL249" s="409">
        <v>0</v>
      </c>
      <c r="BM249" s="409"/>
      <c r="BN249" s="409"/>
      <c r="BO249" s="409"/>
      <c r="BP249" s="409"/>
      <c r="BQ249" s="409"/>
      <c r="BR249" s="409"/>
      <c r="BS249" s="409"/>
      <c r="BT249" s="409"/>
      <c r="BU249" s="409"/>
      <c r="BV249" s="409">
        <v>-52.709360326293556</v>
      </c>
      <c r="BW249" s="409"/>
      <c r="BX249" s="409"/>
      <c r="BY249" s="409"/>
      <c r="BZ249" s="409"/>
      <c r="CA249" s="409"/>
      <c r="CB249" s="409"/>
      <c r="CC249" s="409"/>
      <c r="CD249" s="409"/>
      <c r="CE249" s="409"/>
      <c r="CF249" s="409"/>
      <c r="CG249" s="409"/>
      <c r="CH249" s="409"/>
      <c r="CI249" s="409">
        <v>-116.4966</v>
      </c>
      <c r="CJ249" s="409">
        <v>3.6217999999999932</v>
      </c>
      <c r="CK249" s="409"/>
      <c r="CL249" s="409"/>
      <c r="CM249" s="409"/>
      <c r="CN249" s="409"/>
      <c r="CO249" s="409">
        <v>6.1218000000000057</v>
      </c>
      <c r="CP249" s="409">
        <v>-2.4700000000000002</v>
      </c>
      <c r="CQ249" s="409">
        <v>31</v>
      </c>
      <c r="CR249" s="409">
        <v>-2.3297572443398593</v>
      </c>
      <c r="CS249" s="409">
        <v>0</v>
      </c>
      <c r="CT249" s="409">
        <v>0</v>
      </c>
      <c r="CU249" s="409">
        <v>0</v>
      </c>
      <c r="CV249" s="409">
        <v>0</v>
      </c>
      <c r="CW249" s="409">
        <v>0</v>
      </c>
      <c r="CX249" s="409">
        <v>0</v>
      </c>
      <c r="CY249" s="409">
        <v>0</v>
      </c>
      <c r="CZ249" s="409">
        <v>-0.56068625125331906</v>
      </c>
      <c r="DA249" s="409">
        <v>0</v>
      </c>
      <c r="DB249" s="409">
        <v>0</v>
      </c>
      <c r="DC249" s="409">
        <v>-2.8017889061121011</v>
      </c>
      <c r="DD249" s="409">
        <v>0</v>
      </c>
      <c r="DE249" s="409">
        <v>0</v>
      </c>
      <c r="DF249" s="409">
        <v>0</v>
      </c>
      <c r="DG249" s="409">
        <v>-3.7649600709742215E-2</v>
      </c>
      <c r="DH249" s="409">
        <v>0</v>
      </c>
      <c r="DI249" s="409">
        <v>0.73118498335743354</v>
      </c>
      <c r="DJ249" s="409"/>
      <c r="DK249" s="409">
        <v>0</v>
      </c>
      <c r="DL249" s="409">
        <v>0</v>
      </c>
      <c r="DM249" s="409">
        <v>0</v>
      </c>
      <c r="DN249" s="409">
        <v>0</v>
      </c>
      <c r="DO249" s="409">
        <v>9.3011087529354164E-2</v>
      </c>
      <c r="DP249" s="409">
        <v>1.3352081167320673E-2</v>
      </c>
      <c r="DQ249" s="409">
        <v>0</v>
      </c>
      <c r="DR249" s="409">
        <v>0.23281936168118766</v>
      </c>
      <c r="DS249" s="409"/>
      <c r="DT249" s="409"/>
      <c r="DU249" s="409"/>
      <c r="DV249" s="409">
        <v>-37.635046488293121</v>
      </c>
      <c r="DW249" s="409">
        <v>0</v>
      </c>
      <c r="DX249" s="409">
        <v>0</v>
      </c>
      <c r="DY249" s="409">
        <v>6.1218000000000004</v>
      </c>
      <c r="DZ249" s="409">
        <v>-2.4699999999999989</v>
      </c>
      <c r="EA249" s="409">
        <v>0</v>
      </c>
      <c r="EB249" s="409">
        <v>0</v>
      </c>
      <c r="EC249" s="409">
        <v>5.9822028564081826</v>
      </c>
      <c r="ED249" s="409">
        <v>0</v>
      </c>
      <c r="EE249" s="409">
        <v>0</v>
      </c>
      <c r="EF249" s="409">
        <v>0</v>
      </c>
      <c r="EG249" s="409">
        <v>0</v>
      </c>
      <c r="EH249" s="409">
        <v>0</v>
      </c>
      <c r="EI249" s="409">
        <v>0</v>
      </c>
      <c r="EJ249" s="409">
        <v>0</v>
      </c>
      <c r="EK249" s="409">
        <v>0</v>
      </c>
      <c r="EL249" s="409">
        <v>0</v>
      </c>
      <c r="EM249" s="409">
        <v>0</v>
      </c>
      <c r="EN249" s="409">
        <v>0</v>
      </c>
      <c r="EO249" s="409">
        <v>0</v>
      </c>
      <c r="EP249" s="409">
        <v>0</v>
      </c>
      <c r="EQ249" s="409">
        <v>0</v>
      </c>
      <c r="ER249" s="409">
        <v>0</v>
      </c>
      <c r="ES249" s="409">
        <v>0</v>
      </c>
      <c r="ET249" s="409">
        <v>0</v>
      </c>
      <c r="EU249" s="409">
        <v>0</v>
      </c>
      <c r="EV249" s="409">
        <v>210</v>
      </c>
      <c r="EW249" s="409">
        <v>0</v>
      </c>
      <c r="EX249" s="409">
        <v>0</v>
      </c>
      <c r="EY249" s="409">
        <v>0</v>
      </c>
      <c r="EZ249" s="409"/>
      <c r="FA249" s="409">
        <v>0</v>
      </c>
      <c r="FB249" s="409"/>
      <c r="FC249" s="409"/>
      <c r="FD249" s="409"/>
      <c r="FE249" s="409"/>
      <c r="FF249" s="409">
        <v>0</v>
      </c>
      <c r="FG249" s="409">
        <v>0</v>
      </c>
      <c r="FH249" s="409">
        <v>0</v>
      </c>
      <c r="FI249" s="409">
        <v>0</v>
      </c>
    </row>
    <row r="250" spans="1:165">
      <c r="A250" s="409">
        <v>248</v>
      </c>
      <c r="B250" s="409" t="s">
        <v>2240</v>
      </c>
      <c r="C250" s="409" t="s">
        <v>2241</v>
      </c>
      <c r="D250" s="409" t="s">
        <v>1989</v>
      </c>
      <c r="E250" s="409" t="s">
        <v>968</v>
      </c>
      <c r="F250" s="409" t="s">
        <v>968</v>
      </c>
      <c r="G250" s="409" t="s">
        <v>1323</v>
      </c>
      <c r="H250" s="409" t="s">
        <v>1323</v>
      </c>
      <c r="I250" s="409" t="s">
        <v>1323</v>
      </c>
      <c r="J250" s="409" t="s">
        <v>2242</v>
      </c>
      <c r="K250" s="838">
        <v>44562</v>
      </c>
      <c r="L250" s="409">
        <v>0</v>
      </c>
      <c r="M250" s="409">
        <v>0</v>
      </c>
      <c r="N250" s="409">
        <v>0.496</v>
      </c>
      <c r="O250" s="409">
        <v>0.496</v>
      </c>
      <c r="P250" s="409">
        <v>0.496</v>
      </c>
      <c r="Q250" s="409">
        <v>0.496</v>
      </c>
      <c r="R250" s="409"/>
      <c r="S250" s="409">
        <v>358.62</v>
      </c>
      <c r="T250" s="409">
        <v>273.74</v>
      </c>
      <c r="U250" s="409"/>
      <c r="V250" s="409">
        <v>313.65055999999998</v>
      </c>
      <c r="W250" s="409">
        <v>313.65055999999998</v>
      </c>
      <c r="X250" s="409">
        <v>304.11743999999999</v>
      </c>
      <c r="Y250" s="409">
        <v>0</v>
      </c>
      <c r="Z250" s="409">
        <v>29.945708445835859</v>
      </c>
      <c r="AA250" s="409">
        <v>0</v>
      </c>
      <c r="AB250" s="409">
        <v>0</v>
      </c>
      <c r="AC250" s="409">
        <v>0</v>
      </c>
      <c r="AD250" s="409">
        <v>42.699904778502074</v>
      </c>
      <c r="AE250" s="409">
        <v>98.24727925364941</v>
      </c>
      <c r="AF250" s="409">
        <v>135.77467280611449</v>
      </c>
      <c r="AG250" s="409">
        <v>0</v>
      </c>
      <c r="AH250" s="409">
        <v>0</v>
      </c>
      <c r="AI250" s="409">
        <v>0</v>
      </c>
      <c r="AJ250" s="409">
        <v>0</v>
      </c>
      <c r="AK250" s="409">
        <v>0</v>
      </c>
      <c r="AL250" s="409">
        <v>4.6309282253356452</v>
      </c>
      <c r="AM250" s="409"/>
      <c r="AN250" s="409">
        <v>0.52828532009570717</v>
      </c>
      <c r="AO250" s="409">
        <v>0</v>
      </c>
      <c r="AP250" s="409">
        <v>0</v>
      </c>
      <c r="AQ250" s="409">
        <v>0</v>
      </c>
      <c r="AR250" s="409">
        <v>0</v>
      </c>
      <c r="AS250" s="409">
        <v>0</v>
      </c>
      <c r="AT250" s="409">
        <v>0</v>
      </c>
      <c r="AU250" s="409">
        <v>0</v>
      </c>
      <c r="AV250" s="409">
        <v>0</v>
      </c>
      <c r="AW250" s="409">
        <v>0</v>
      </c>
      <c r="AX250" s="409">
        <v>0</v>
      </c>
      <c r="AY250" s="409">
        <v>0</v>
      </c>
      <c r="AZ250" s="409">
        <v>0</v>
      </c>
      <c r="BA250" s="409"/>
      <c r="BB250" s="409">
        <v>0</v>
      </c>
      <c r="BC250" s="409">
        <v>0</v>
      </c>
      <c r="BD250" s="409">
        <v>0</v>
      </c>
      <c r="BE250" s="409">
        <v>0</v>
      </c>
      <c r="BF250" s="409">
        <v>0</v>
      </c>
      <c r="BG250" s="409">
        <v>1.8244994141044648</v>
      </c>
      <c r="BH250" s="409">
        <v>0</v>
      </c>
      <c r="BI250" s="409">
        <v>3.2</v>
      </c>
      <c r="BJ250" s="409">
        <v>14.84</v>
      </c>
      <c r="BK250" s="409">
        <v>234.99</v>
      </c>
      <c r="BL250" s="409">
        <v>5</v>
      </c>
      <c r="BM250" s="409"/>
      <c r="BN250" s="409"/>
      <c r="BO250" s="409"/>
      <c r="BP250" s="409"/>
      <c r="BQ250" s="409"/>
      <c r="BR250" s="409"/>
      <c r="BS250" s="409"/>
      <c r="BT250" s="409"/>
      <c r="BU250" s="409"/>
      <c r="BV250" s="409">
        <v>137.59917222021895</v>
      </c>
      <c r="BW250" s="409"/>
      <c r="BX250" s="409"/>
      <c r="BY250" s="409"/>
      <c r="BZ250" s="409"/>
      <c r="CA250" s="409"/>
      <c r="CB250" s="409"/>
      <c r="CC250" s="409"/>
      <c r="CD250" s="409"/>
      <c r="CE250" s="409"/>
      <c r="CF250" s="409"/>
      <c r="CG250" s="409"/>
      <c r="CH250" s="409"/>
      <c r="CI250" s="409">
        <v>306.57</v>
      </c>
      <c r="CJ250" s="409">
        <v>-7.110559999999964</v>
      </c>
      <c r="CK250" s="409"/>
      <c r="CL250" s="409"/>
      <c r="CM250" s="409"/>
      <c r="CN250" s="409"/>
      <c r="CO250" s="409">
        <v>-15.981120000000013</v>
      </c>
      <c r="CP250" s="409">
        <v>6.4480000000000004</v>
      </c>
      <c r="CQ250" s="409">
        <v>31</v>
      </c>
      <c r="CR250" s="409">
        <v>6.0818925957504177</v>
      </c>
      <c r="CS250" s="409">
        <v>0</v>
      </c>
      <c r="CT250" s="409">
        <v>0</v>
      </c>
      <c r="CU250" s="409">
        <v>0</v>
      </c>
      <c r="CV250" s="409">
        <v>0</v>
      </c>
      <c r="CW250" s="409">
        <v>0</v>
      </c>
      <c r="CX250" s="409">
        <v>0</v>
      </c>
      <c r="CY250" s="409">
        <v>0</v>
      </c>
      <c r="CZ250" s="409">
        <v>1.463686213798141</v>
      </c>
      <c r="DA250" s="409">
        <v>0</v>
      </c>
      <c r="DB250" s="409">
        <v>0</v>
      </c>
      <c r="DC250" s="409">
        <v>7.3141436706926584</v>
      </c>
      <c r="DD250" s="409">
        <v>0</v>
      </c>
      <c r="DE250" s="409">
        <v>0</v>
      </c>
      <c r="DF250" s="409">
        <v>0</v>
      </c>
      <c r="DG250" s="409">
        <v>9.8285273431748088E-2</v>
      </c>
      <c r="DH250" s="409">
        <v>0</v>
      </c>
      <c r="DI250" s="409">
        <v>-1.9087776407646686</v>
      </c>
      <c r="DJ250" s="409"/>
      <c r="DK250" s="409">
        <v>0</v>
      </c>
      <c r="DL250" s="409">
        <v>0</v>
      </c>
      <c r="DM250" s="409">
        <v>0</v>
      </c>
      <c r="DN250" s="409">
        <v>0</v>
      </c>
      <c r="DO250" s="409">
        <v>-0.24280789165557692</v>
      </c>
      <c r="DP250" s="409">
        <v>-3.485595925784768E-2</v>
      </c>
      <c r="DQ250" s="409">
        <v>0</v>
      </c>
      <c r="DR250" s="409">
        <v>-0.60778107049404784</v>
      </c>
      <c r="DS250" s="409"/>
      <c r="DT250" s="409"/>
      <c r="DU250" s="409"/>
      <c r="DV250" s="409">
        <v>98.24727925364941</v>
      </c>
      <c r="DW250" s="409">
        <v>0</v>
      </c>
      <c r="DX250" s="409">
        <v>0</v>
      </c>
      <c r="DY250" s="409">
        <v>-15.981120000000004</v>
      </c>
      <c r="DZ250" s="409">
        <v>6.4480000000000075</v>
      </c>
      <c r="EA250" s="409">
        <v>0</v>
      </c>
      <c r="EB250" s="409">
        <v>0</v>
      </c>
      <c r="EC250" s="409">
        <v>-15.616697983044517</v>
      </c>
      <c r="ED250" s="409">
        <v>0</v>
      </c>
      <c r="EE250" s="409">
        <v>0</v>
      </c>
      <c r="EF250" s="409">
        <v>0</v>
      </c>
      <c r="EG250" s="409">
        <v>0</v>
      </c>
      <c r="EH250" s="409">
        <v>0</v>
      </c>
      <c r="EI250" s="409">
        <v>0</v>
      </c>
      <c r="EJ250" s="409">
        <v>0</v>
      </c>
      <c r="EK250" s="409">
        <v>0</v>
      </c>
      <c r="EL250" s="409">
        <v>0</v>
      </c>
      <c r="EM250" s="409">
        <v>0</v>
      </c>
      <c r="EN250" s="409">
        <v>0</v>
      </c>
      <c r="EO250" s="409">
        <v>0</v>
      </c>
      <c r="EP250" s="409">
        <v>0</v>
      </c>
      <c r="EQ250" s="409">
        <v>0</v>
      </c>
      <c r="ER250" s="409">
        <v>0</v>
      </c>
      <c r="ES250" s="409">
        <v>0</v>
      </c>
      <c r="ET250" s="409">
        <v>0</v>
      </c>
      <c r="EU250" s="409">
        <v>0</v>
      </c>
      <c r="EV250" s="409">
        <v>210</v>
      </c>
      <c r="EW250" s="409">
        <v>0</v>
      </c>
      <c r="EX250" s="409">
        <v>0</v>
      </c>
      <c r="EY250" s="409">
        <v>0</v>
      </c>
      <c r="EZ250" s="409"/>
      <c r="FA250" s="409">
        <v>0</v>
      </c>
      <c r="FB250" s="409"/>
      <c r="FC250" s="409"/>
      <c r="FD250" s="409"/>
      <c r="FE250" s="409"/>
      <c r="FF250" s="409">
        <v>0</v>
      </c>
      <c r="FG250" s="409">
        <v>0</v>
      </c>
      <c r="FH250" s="409">
        <v>0</v>
      </c>
      <c r="FI250" s="409">
        <v>0</v>
      </c>
    </row>
    <row r="251" spans="1:165">
      <c r="A251" s="409">
        <v>249</v>
      </c>
      <c r="B251" s="409" t="s">
        <v>1035</v>
      </c>
      <c r="C251" s="409" t="s">
        <v>2241</v>
      </c>
      <c r="D251" s="409" t="s">
        <v>1989</v>
      </c>
      <c r="E251" s="409" t="s">
        <v>968</v>
      </c>
      <c r="F251" s="409" t="s">
        <v>2243</v>
      </c>
      <c r="G251" s="409" t="s">
        <v>1323</v>
      </c>
      <c r="H251" s="409" t="s">
        <v>1323</v>
      </c>
      <c r="I251" s="409" t="s">
        <v>1323</v>
      </c>
      <c r="J251" s="409" t="s">
        <v>2242</v>
      </c>
      <c r="K251" s="838">
        <v>44562</v>
      </c>
      <c r="L251" s="409">
        <v>0</v>
      </c>
      <c r="M251" s="409">
        <v>0</v>
      </c>
      <c r="N251" s="409">
        <v>0.3</v>
      </c>
      <c r="O251" s="409">
        <v>0.3</v>
      </c>
      <c r="P251" s="409">
        <v>0.3</v>
      </c>
      <c r="Q251" s="409">
        <v>0.3</v>
      </c>
      <c r="R251" s="409"/>
      <c r="S251" s="409">
        <v>288.91000000000003</v>
      </c>
      <c r="T251" s="409">
        <v>273.74</v>
      </c>
      <c r="U251" s="409"/>
      <c r="V251" s="409">
        <v>168.79500000000002</v>
      </c>
      <c r="W251" s="409">
        <v>168.79500000000002</v>
      </c>
      <c r="X251" s="409">
        <v>164.298</v>
      </c>
      <c r="Y251" s="409">
        <v>0</v>
      </c>
      <c r="Z251" s="409">
        <v>0</v>
      </c>
      <c r="AA251" s="409">
        <v>0</v>
      </c>
      <c r="AB251" s="409">
        <v>0</v>
      </c>
      <c r="AC251" s="409">
        <v>0</v>
      </c>
      <c r="AD251" s="409">
        <v>25.826555309577866</v>
      </c>
      <c r="AE251" s="409">
        <v>59.423757613094395</v>
      </c>
      <c r="AF251" s="409">
        <v>82.121777906924095</v>
      </c>
      <c r="AG251" s="409">
        <v>0</v>
      </c>
      <c r="AH251" s="409">
        <v>0</v>
      </c>
      <c r="AI251" s="409">
        <v>0</v>
      </c>
      <c r="AJ251" s="409">
        <v>0</v>
      </c>
      <c r="AK251" s="409">
        <v>0</v>
      </c>
      <c r="AL251" s="409">
        <v>0</v>
      </c>
      <c r="AM251" s="409"/>
      <c r="AN251" s="409">
        <v>0.31952741134821</v>
      </c>
      <c r="AO251" s="409">
        <v>0</v>
      </c>
      <c r="AP251" s="409">
        <v>0</v>
      </c>
      <c r="AQ251" s="409">
        <v>0</v>
      </c>
      <c r="AR251" s="409">
        <v>0</v>
      </c>
      <c r="AS251" s="409">
        <v>0</v>
      </c>
      <c r="AT251" s="409">
        <v>0</v>
      </c>
      <c r="AU251" s="409">
        <v>0</v>
      </c>
      <c r="AV251" s="409">
        <v>0</v>
      </c>
      <c r="AW251" s="409">
        <v>0</v>
      </c>
      <c r="AX251" s="409">
        <v>0</v>
      </c>
      <c r="AY251" s="409">
        <v>0</v>
      </c>
      <c r="AZ251" s="409">
        <v>0</v>
      </c>
      <c r="BA251" s="409"/>
      <c r="BB251" s="409">
        <v>0</v>
      </c>
      <c r="BC251" s="409">
        <v>0</v>
      </c>
      <c r="BD251" s="409">
        <v>0</v>
      </c>
      <c r="BE251" s="409">
        <v>0</v>
      </c>
      <c r="BF251" s="409">
        <v>0</v>
      </c>
      <c r="BG251" s="409">
        <v>1.1035278714341521</v>
      </c>
      <c r="BH251" s="409">
        <v>0</v>
      </c>
      <c r="BI251" s="409">
        <v>0.46</v>
      </c>
      <c r="BJ251" s="409">
        <v>2.21</v>
      </c>
      <c r="BK251" s="409">
        <v>14.49</v>
      </c>
      <c r="BL251" s="409">
        <v>0</v>
      </c>
      <c r="BM251" s="409"/>
      <c r="BN251" s="409"/>
      <c r="BO251" s="409"/>
      <c r="BP251" s="409"/>
      <c r="BQ251" s="409"/>
      <c r="BR251" s="409"/>
      <c r="BS251" s="409"/>
      <c r="BT251" s="409">
        <v>106.794</v>
      </c>
      <c r="BU251" s="409"/>
      <c r="BV251" s="409">
        <v>83.225305778358248</v>
      </c>
      <c r="BW251" s="409"/>
      <c r="BX251" s="409"/>
      <c r="BY251" s="409"/>
      <c r="BZ251" s="409"/>
      <c r="CA251" s="409"/>
      <c r="CB251" s="409"/>
      <c r="CC251" s="409"/>
      <c r="CD251" s="409"/>
      <c r="CE251" s="409"/>
      <c r="CF251" s="409"/>
      <c r="CG251" s="409"/>
      <c r="CH251" s="409"/>
      <c r="CI251" s="409">
        <v>57.503999999999991</v>
      </c>
      <c r="CJ251" s="409">
        <v>-1.6050000000000111</v>
      </c>
      <c r="CK251" s="409"/>
      <c r="CL251" s="409"/>
      <c r="CM251" s="409"/>
      <c r="CN251" s="409"/>
      <c r="CO251" s="409">
        <v>-8.397000000000002</v>
      </c>
      <c r="CP251" s="409">
        <v>3.9</v>
      </c>
      <c r="CQ251" s="409">
        <v>31</v>
      </c>
      <c r="CR251" s="409">
        <v>4.9497422794861308</v>
      </c>
      <c r="CS251" s="409">
        <v>0</v>
      </c>
      <c r="CT251" s="409">
        <v>0</v>
      </c>
      <c r="CU251" s="409">
        <v>0</v>
      </c>
      <c r="CV251" s="409">
        <v>0</v>
      </c>
      <c r="CW251" s="409">
        <v>0</v>
      </c>
      <c r="CX251" s="409">
        <v>0</v>
      </c>
      <c r="CY251" s="409">
        <v>0</v>
      </c>
      <c r="CZ251" s="409">
        <v>0.88529408092629325</v>
      </c>
      <c r="DA251" s="409">
        <v>0</v>
      </c>
      <c r="DB251" s="409">
        <v>0</v>
      </c>
      <c r="DC251" s="409">
        <v>4.4238772201770047</v>
      </c>
      <c r="DD251" s="409">
        <v>0</v>
      </c>
      <c r="DE251" s="409">
        <v>0</v>
      </c>
      <c r="DF251" s="409">
        <v>0</v>
      </c>
      <c r="DG251" s="409">
        <v>5.9446737962750795E-2</v>
      </c>
      <c r="DH251" s="409">
        <v>0</v>
      </c>
      <c r="DI251" s="409">
        <v>0</v>
      </c>
      <c r="DJ251" s="409"/>
      <c r="DK251" s="409">
        <v>0</v>
      </c>
      <c r="DL251" s="409">
        <v>0</v>
      </c>
      <c r="DM251" s="409">
        <v>0</v>
      </c>
      <c r="DN251" s="409">
        <v>0</v>
      </c>
      <c r="DO251" s="409">
        <v>0</v>
      </c>
      <c r="DP251" s="409">
        <v>-2.1082233422085317E-2</v>
      </c>
      <c r="DQ251" s="409">
        <v>0</v>
      </c>
      <c r="DR251" s="409">
        <v>-0.39779352615783092</v>
      </c>
      <c r="DS251" s="409"/>
      <c r="DT251" s="409"/>
      <c r="DU251" s="409"/>
      <c r="DV251" s="409">
        <v>59.423757613094395</v>
      </c>
      <c r="DW251" s="409">
        <v>0</v>
      </c>
      <c r="DX251" s="409">
        <v>0</v>
      </c>
      <c r="DY251" s="409">
        <v>-8.3970000000000056</v>
      </c>
      <c r="DZ251" s="409">
        <v>3.9000000000000057</v>
      </c>
      <c r="EA251" s="409">
        <v>0</v>
      </c>
      <c r="EB251" s="409">
        <v>0</v>
      </c>
      <c r="EC251" s="409">
        <v>-9.4455834574865989</v>
      </c>
      <c r="ED251" s="409">
        <v>0</v>
      </c>
      <c r="EE251" s="409">
        <v>0</v>
      </c>
      <c r="EF251" s="409">
        <v>0</v>
      </c>
      <c r="EG251" s="409">
        <v>0</v>
      </c>
      <c r="EH251" s="409">
        <v>0</v>
      </c>
      <c r="EI251" s="409">
        <v>0</v>
      </c>
      <c r="EJ251" s="409">
        <v>0</v>
      </c>
      <c r="EK251" s="409">
        <v>0</v>
      </c>
      <c r="EL251" s="409">
        <v>0</v>
      </c>
      <c r="EM251" s="409">
        <v>0</v>
      </c>
      <c r="EN251" s="409">
        <v>0</v>
      </c>
      <c r="EO251" s="409">
        <v>0</v>
      </c>
      <c r="EP251" s="409">
        <v>0</v>
      </c>
      <c r="EQ251" s="409">
        <v>0</v>
      </c>
      <c r="ER251" s="409">
        <v>0</v>
      </c>
      <c r="ES251" s="409">
        <v>0</v>
      </c>
      <c r="ET251" s="409">
        <v>0</v>
      </c>
      <c r="EU251" s="409">
        <v>0</v>
      </c>
      <c r="EV251" s="409">
        <v>210</v>
      </c>
      <c r="EW251" s="409">
        <v>0</v>
      </c>
      <c r="EX251" s="409">
        <v>0</v>
      </c>
      <c r="EY251" s="409">
        <v>0</v>
      </c>
      <c r="EZ251" s="409"/>
      <c r="FA251" s="409">
        <v>0</v>
      </c>
      <c r="FB251" s="409"/>
      <c r="FC251" s="409"/>
      <c r="FD251" s="409"/>
      <c r="FE251" s="409"/>
      <c r="FF251" s="409">
        <v>0</v>
      </c>
      <c r="FG251" s="409">
        <v>0</v>
      </c>
      <c r="FH251" s="409">
        <v>0</v>
      </c>
      <c r="FI251" s="409">
        <v>0</v>
      </c>
    </row>
    <row r="252" spans="1:165">
      <c r="A252" s="409">
        <v>250</v>
      </c>
      <c r="B252" s="409" t="s">
        <v>1035</v>
      </c>
      <c r="C252" s="409" t="s">
        <v>2241</v>
      </c>
      <c r="D252" s="409" t="s">
        <v>1989</v>
      </c>
      <c r="E252" s="409" t="s">
        <v>968</v>
      </c>
      <c r="F252" s="409" t="s">
        <v>2244</v>
      </c>
      <c r="G252" s="409" t="s">
        <v>1323</v>
      </c>
      <c r="H252" s="409" t="s">
        <v>1323</v>
      </c>
      <c r="I252" s="409" t="s">
        <v>1323</v>
      </c>
      <c r="J252" s="409" t="s">
        <v>2242</v>
      </c>
      <c r="K252" s="838">
        <v>44562</v>
      </c>
      <c r="L252" s="409">
        <v>0</v>
      </c>
      <c r="M252" s="409">
        <v>0</v>
      </c>
      <c r="N252" s="409">
        <v>0.67300000000000004</v>
      </c>
      <c r="O252" s="409">
        <v>0.67300000000000004</v>
      </c>
      <c r="P252" s="409">
        <v>0.67300000000000004</v>
      </c>
      <c r="Q252" s="409">
        <v>0.67300000000000004</v>
      </c>
      <c r="R252" s="409"/>
      <c r="S252" s="409">
        <v>288.91000000000003</v>
      </c>
      <c r="T252" s="409">
        <v>273.74</v>
      </c>
      <c r="U252" s="409"/>
      <c r="V252" s="409">
        <v>378.66345000000001</v>
      </c>
      <c r="W252" s="409">
        <v>378.66345000000001</v>
      </c>
      <c r="X252" s="409">
        <v>368.57518000000005</v>
      </c>
      <c r="Y252" s="409">
        <v>0</v>
      </c>
      <c r="Z252" s="409">
        <v>0</v>
      </c>
      <c r="AA252" s="409">
        <v>0</v>
      </c>
      <c r="AB252" s="409">
        <v>0</v>
      </c>
      <c r="AC252" s="409">
        <v>0</v>
      </c>
      <c r="AD252" s="409">
        <v>57.93757241115302</v>
      </c>
      <c r="AE252" s="409">
        <v>133.30729624537511</v>
      </c>
      <c r="AF252" s="409">
        <v>184.22652177119971</v>
      </c>
      <c r="AG252" s="409">
        <v>0</v>
      </c>
      <c r="AH252" s="409">
        <v>0</v>
      </c>
      <c r="AI252" s="409">
        <v>0</v>
      </c>
      <c r="AJ252" s="409">
        <v>0</v>
      </c>
      <c r="AK252" s="409">
        <v>0</v>
      </c>
      <c r="AL252" s="409">
        <v>0</v>
      </c>
      <c r="AM252" s="409"/>
      <c r="AN252" s="409">
        <v>0.71680649279115116</v>
      </c>
      <c r="AO252" s="409">
        <v>0</v>
      </c>
      <c r="AP252" s="409">
        <v>0</v>
      </c>
      <c r="AQ252" s="409">
        <v>0</v>
      </c>
      <c r="AR252" s="409">
        <v>0</v>
      </c>
      <c r="AS252" s="409">
        <v>0</v>
      </c>
      <c r="AT252" s="409">
        <v>0</v>
      </c>
      <c r="AU252" s="409">
        <v>0</v>
      </c>
      <c r="AV252" s="409">
        <v>0</v>
      </c>
      <c r="AW252" s="409">
        <v>0</v>
      </c>
      <c r="AX252" s="409">
        <v>0</v>
      </c>
      <c r="AY252" s="409">
        <v>0</v>
      </c>
      <c r="AZ252" s="409">
        <v>0</v>
      </c>
      <c r="BA252" s="409"/>
      <c r="BB252" s="409">
        <v>0</v>
      </c>
      <c r="BC252" s="409">
        <v>0</v>
      </c>
      <c r="BD252" s="409">
        <v>0</v>
      </c>
      <c r="BE252" s="409">
        <v>0</v>
      </c>
      <c r="BF252" s="409">
        <v>0</v>
      </c>
      <c r="BG252" s="409">
        <v>2.4755808582506145</v>
      </c>
      <c r="BH252" s="409">
        <v>0</v>
      </c>
      <c r="BI252" s="409">
        <v>1.88</v>
      </c>
      <c r="BJ252" s="409">
        <v>8.74</v>
      </c>
      <c r="BK252" s="409">
        <v>58.17</v>
      </c>
      <c r="BL252" s="409">
        <v>1</v>
      </c>
      <c r="BM252" s="409"/>
      <c r="BN252" s="409"/>
      <c r="BO252" s="409"/>
      <c r="BP252" s="409"/>
      <c r="BQ252" s="409"/>
      <c r="BR252" s="409"/>
      <c r="BS252" s="409"/>
      <c r="BT252" s="409">
        <v>147.42738</v>
      </c>
      <c r="BU252" s="409"/>
      <c r="BV252" s="409">
        <v>186.70210262945034</v>
      </c>
      <c r="BW252" s="409"/>
      <c r="BX252" s="409"/>
      <c r="BY252" s="409"/>
      <c r="BZ252" s="409"/>
      <c r="CA252" s="409"/>
      <c r="CB252" s="409"/>
      <c r="CC252" s="409"/>
      <c r="CD252" s="409"/>
      <c r="CE252" s="409"/>
      <c r="CF252" s="409"/>
      <c r="CG252" s="409"/>
      <c r="CH252" s="409"/>
      <c r="CI252" s="409">
        <v>220.16200000000003</v>
      </c>
      <c r="CJ252" s="409">
        <v>-7.0660699999999679</v>
      </c>
      <c r="CK252" s="409"/>
      <c r="CL252" s="409"/>
      <c r="CM252" s="409"/>
      <c r="CN252" s="409"/>
      <c r="CO252" s="409">
        <v>-18.837270000000007</v>
      </c>
      <c r="CP252" s="409">
        <v>8.7490000000000006</v>
      </c>
      <c r="CQ252" s="409">
        <v>31</v>
      </c>
      <c r="CR252" s="409">
        <v>11.103921846980597</v>
      </c>
      <c r="CS252" s="409">
        <v>0</v>
      </c>
      <c r="CT252" s="409">
        <v>0</v>
      </c>
      <c r="CU252" s="409">
        <v>0</v>
      </c>
      <c r="CV252" s="409">
        <v>0</v>
      </c>
      <c r="CW252" s="409">
        <v>0</v>
      </c>
      <c r="CX252" s="409">
        <v>0</v>
      </c>
      <c r="CY252" s="409">
        <v>0</v>
      </c>
      <c r="CZ252" s="409">
        <v>1.9860097215446544</v>
      </c>
      <c r="DA252" s="409">
        <v>0</v>
      </c>
      <c r="DB252" s="409">
        <v>0</v>
      </c>
      <c r="DC252" s="409">
        <v>9.924231230597087</v>
      </c>
      <c r="DD252" s="409">
        <v>0</v>
      </c>
      <c r="DE252" s="409">
        <v>0</v>
      </c>
      <c r="DF252" s="409">
        <v>0</v>
      </c>
      <c r="DG252" s="409">
        <v>0.13335884882977123</v>
      </c>
      <c r="DH252" s="409">
        <v>0</v>
      </c>
      <c r="DI252" s="409">
        <v>0</v>
      </c>
      <c r="DJ252" s="409"/>
      <c r="DK252" s="409">
        <v>0</v>
      </c>
      <c r="DL252" s="409">
        <v>0</v>
      </c>
      <c r="DM252" s="409">
        <v>0</v>
      </c>
      <c r="DN252" s="409">
        <v>0</v>
      </c>
      <c r="DO252" s="409">
        <v>0</v>
      </c>
      <c r="DP252" s="409">
        <v>-4.7294476976878053E-2</v>
      </c>
      <c r="DQ252" s="409">
        <v>0</v>
      </c>
      <c r="DR252" s="409">
        <v>-0.89238347701406739</v>
      </c>
      <c r="DS252" s="409"/>
      <c r="DT252" s="409"/>
      <c r="DU252" s="409"/>
      <c r="DV252" s="409">
        <v>133.30729624537511</v>
      </c>
      <c r="DW252" s="409">
        <v>0</v>
      </c>
      <c r="DX252" s="409">
        <v>0</v>
      </c>
      <c r="DY252" s="409">
        <v>-18.837270000000018</v>
      </c>
      <c r="DZ252" s="409">
        <v>8.7489999999999952</v>
      </c>
      <c r="EA252" s="409">
        <v>0</v>
      </c>
      <c r="EB252" s="409">
        <v>0</v>
      </c>
      <c r="EC252" s="409">
        <v>-21.189592222961608</v>
      </c>
      <c r="ED252" s="409">
        <v>0</v>
      </c>
      <c r="EE252" s="409">
        <v>0</v>
      </c>
      <c r="EF252" s="409">
        <v>0</v>
      </c>
      <c r="EG252" s="409">
        <v>0</v>
      </c>
      <c r="EH252" s="409">
        <v>0</v>
      </c>
      <c r="EI252" s="409">
        <v>0</v>
      </c>
      <c r="EJ252" s="409">
        <v>0</v>
      </c>
      <c r="EK252" s="409">
        <v>0</v>
      </c>
      <c r="EL252" s="409">
        <v>0</v>
      </c>
      <c r="EM252" s="409">
        <v>0</v>
      </c>
      <c r="EN252" s="409">
        <v>0</v>
      </c>
      <c r="EO252" s="409">
        <v>0</v>
      </c>
      <c r="EP252" s="409">
        <v>0</v>
      </c>
      <c r="EQ252" s="409">
        <v>0</v>
      </c>
      <c r="ER252" s="409">
        <v>0</v>
      </c>
      <c r="ES252" s="409">
        <v>0</v>
      </c>
      <c r="ET252" s="409">
        <v>0</v>
      </c>
      <c r="EU252" s="409">
        <v>0</v>
      </c>
      <c r="EV252" s="409">
        <v>210</v>
      </c>
      <c r="EW252" s="409">
        <v>0</v>
      </c>
      <c r="EX252" s="409">
        <v>0</v>
      </c>
      <c r="EY252" s="409">
        <v>0</v>
      </c>
      <c r="EZ252" s="409"/>
      <c r="FA252" s="409">
        <v>0</v>
      </c>
      <c r="FB252" s="409"/>
      <c r="FC252" s="409"/>
      <c r="FD252" s="409"/>
      <c r="FE252" s="409"/>
      <c r="FF252" s="409">
        <v>0</v>
      </c>
      <c r="FG252" s="409">
        <v>0</v>
      </c>
      <c r="FH252" s="409">
        <v>0</v>
      </c>
      <c r="FI252" s="409">
        <v>0</v>
      </c>
    </row>
    <row r="253" spans="1:165">
      <c r="A253" s="409">
        <v>251</v>
      </c>
      <c r="B253" s="409" t="s">
        <v>1035</v>
      </c>
      <c r="C253" s="409" t="s">
        <v>2241</v>
      </c>
      <c r="D253" s="409" t="s">
        <v>1989</v>
      </c>
      <c r="E253" s="409" t="s">
        <v>968</v>
      </c>
      <c r="F253" s="409" t="s">
        <v>2245</v>
      </c>
      <c r="G253" s="409" t="s">
        <v>1323</v>
      </c>
      <c r="H253" s="409" t="s">
        <v>1323</v>
      </c>
      <c r="I253" s="409" t="s">
        <v>1323</v>
      </c>
      <c r="J253" s="409" t="s">
        <v>2242</v>
      </c>
      <c r="K253" s="838">
        <v>44562</v>
      </c>
      <c r="L253" s="409">
        <v>0</v>
      </c>
      <c r="M253" s="409">
        <v>0</v>
      </c>
      <c r="N253" s="409">
        <v>0.89800000000000002</v>
      </c>
      <c r="O253" s="409">
        <v>0.89800000000000002</v>
      </c>
      <c r="P253" s="409">
        <v>0.89800000000000002</v>
      </c>
      <c r="Q253" s="409">
        <v>0.89800000000000002</v>
      </c>
      <c r="R253" s="409"/>
      <c r="S253" s="409">
        <v>288.91000000000003</v>
      </c>
      <c r="T253" s="409">
        <v>273.74</v>
      </c>
      <c r="U253" s="409"/>
      <c r="V253" s="409">
        <v>505.25970000000007</v>
      </c>
      <c r="W253" s="409">
        <v>505.25970000000007</v>
      </c>
      <c r="X253" s="409">
        <v>491.79867999999999</v>
      </c>
      <c r="Y253" s="409">
        <v>0</v>
      </c>
      <c r="Z253" s="409">
        <v>0</v>
      </c>
      <c r="AA253" s="409">
        <v>0</v>
      </c>
      <c r="AB253" s="409">
        <v>0</v>
      </c>
      <c r="AC253" s="409">
        <v>0</v>
      </c>
      <c r="AD253" s="409">
        <v>77.307488893336426</v>
      </c>
      <c r="AE253" s="409">
        <v>177.8751144551959</v>
      </c>
      <c r="AF253" s="409">
        <v>245.81785520139277</v>
      </c>
      <c r="AG253" s="409">
        <v>0</v>
      </c>
      <c r="AH253" s="409">
        <v>0</v>
      </c>
      <c r="AI253" s="409">
        <v>0</v>
      </c>
      <c r="AJ253" s="409">
        <v>0</v>
      </c>
      <c r="AK253" s="409">
        <v>0</v>
      </c>
      <c r="AL253" s="409">
        <v>0</v>
      </c>
      <c r="AM253" s="409"/>
      <c r="AN253" s="409">
        <v>0.95645205130230859</v>
      </c>
      <c r="AO253" s="409">
        <v>0</v>
      </c>
      <c r="AP253" s="409">
        <v>0</v>
      </c>
      <c r="AQ253" s="409">
        <v>0</v>
      </c>
      <c r="AR253" s="409">
        <v>0</v>
      </c>
      <c r="AS253" s="409">
        <v>0</v>
      </c>
      <c r="AT253" s="409">
        <v>0</v>
      </c>
      <c r="AU253" s="409">
        <v>0</v>
      </c>
      <c r="AV253" s="409">
        <v>0</v>
      </c>
      <c r="AW253" s="409">
        <v>0</v>
      </c>
      <c r="AX253" s="409">
        <v>0</v>
      </c>
      <c r="AY253" s="409">
        <v>0</v>
      </c>
      <c r="AZ253" s="409">
        <v>0</v>
      </c>
      <c r="BA253" s="409"/>
      <c r="BB253" s="409">
        <v>0</v>
      </c>
      <c r="BC253" s="409">
        <v>0</v>
      </c>
      <c r="BD253" s="409">
        <v>0</v>
      </c>
      <c r="BE253" s="409">
        <v>0</v>
      </c>
      <c r="BF253" s="409">
        <v>0</v>
      </c>
      <c r="BG253" s="409">
        <v>3.3032267618262288</v>
      </c>
      <c r="BH253" s="409">
        <v>0</v>
      </c>
      <c r="BI253" s="409">
        <v>3.88</v>
      </c>
      <c r="BJ253" s="409">
        <v>17.95</v>
      </c>
      <c r="BK253" s="409">
        <v>134.47</v>
      </c>
      <c r="BL253" s="409">
        <v>6</v>
      </c>
      <c r="BM253" s="409"/>
      <c r="BN253" s="409"/>
      <c r="BO253" s="409"/>
      <c r="BP253" s="409"/>
      <c r="BQ253" s="409"/>
      <c r="BR253" s="409"/>
      <c r="BS253" s="409"/>
      <c r="BT253" s="409">
        <v>49.174480000000017</v>
      </c>
      <c r="BU253" s="409"/>
      <c r="BV253" s="409">
        <v>249.12108196321901</v>
      </c>
      <c r="BW253" s="409"/>
      <c r="BX253" s="409"/>
      <c r="BY253" s="409"/>
      <c r="BZ253" s="409"/>
      <c r="CA253" s="409"/>
      <c r="CB253" s="409"/>
      <c r="CC253" s="409"/>
      <c r="CD253" s="409"/>
      <c r="CE253" s="409"/>
      <c r="CF253" s="409"/>
      <c r="CG253" s="409"/>
      <c r="CH253" s="409"/>
      <c r="CI253" s="409">
        <v>443.61</v>
      </c>
      <c r="CJ253" s="409">
        <v>-11.158219999999915</v>
      </c>
      <c r="CK253" s="409"/>
      <c r="CL253" s="409"/>
      <c r="CM253" s="409"/>
      <c r="CN253" s="409"/>
      <c r="CO253" s="409">
        <v>-25.135020000000008</v>
      </c>
      <c r="CP253" s="409">
        <v>11.673999999999999</v>
      </c>
      <c r="CQ253" s="409">
        <v>31</v>
      </c>
      <c r="CR253" s="409">
        <v>14.816228556595149</v>
      </c>
      <c r="CS253" s="409">
        <v>0</v>
      </c>
      <c r="CT253" s="409">
        <v>0</v>
      </c>
      <c r="CU253" s="409">
        <v>0</v>
      </c>
      <c r="CV253" s="409">
        <v>0</v>
      </c>
      <c r="CW253" s="409">
        <v>0</v>
      </c>
      <c r="CX253" s="409">
        <v>0</v>
      </c>
      <c r="CY253" s="409">
        <v>0</v>
      </c>
      <c r="CZ253" s="409">
        <v>2.649980282239369</v>
      </c>
      <c r="DA253" s="409">
        <v>0</v>
      </c>
      <c r="DB253" s="409">
        <v>0</v>
      </c>
      <c r="DC253" s="409">
        <v>13.24213914572988</v>
      </c>
      <c r="DD253" s="409">
        <v>0</v>
      </c>
      <c r="DE253" s="409">
        <v>0</v>
      </c>
      <c r="DF253" s="409">
        <v>0</v>
      </c>
      <c r="DG253" s="409">
        <v>0.1779439023018341</v>
      </c>
      <c r="DH253" s="409">
        <v>0</v>
      </c>
      <c r="DI253" s="409">
        <v>0</v>
      </c>
      <c r="DJ253" s="409"/>
      <c r="DK253" s="409">
        <v>0</v>
      </c>
      <c r="DL253" s="409">
        <v>0</v>
      </c>
      <c r="DM253" s="409">
        <v>0</v>
      </c>
      <c r="DN253" s="409">
        <v>0</v>
      </c>
      <c r="DO253" s="409">
        <v>0</v>
      </c>
      <c r="DP253" s="409">
        <v>-6.3106152043441943E-2</v>
      </c>
      <c r="DQ253" s="409">
        <v>0</v>
      </c>
      <c r="DR253" s="409">
        <v>-1.1907286216324404</v>
      </c>
      <c r="DS253" s="409"/>
      <c r="DT253" s="409"/>
      <c r="DU253" s="409"/>
      <c r="DV253" s="409">
        <v>177.8751144551959</v>
      </c>
      <c r="DW253" s="409">
        <v>0</v>
      </c>
      <c r="DX253" s="409">
        <v>0</v>
      </c>
      <c r="DY253" s="409">
        <v>-25.135020000000026</v>
      </c>
      <c r="DZ253" s="409">
        <v>11.674000000000007</v>
      </c>
      <c r="EA253" s="409">
        <v>0</v>
      </c>
      <c r="EB253" s="409">
        <v>0</v>
      </c>
      <c r="EC253" s="409">
        <v>-28.273779816076541</v>
      </c>
      <c r="ED253" s="409">
        <v>0</v>
      </c>
      <c r="EE253" s="409">
        <v>0</v>
      </c>
      <c r="EF253" s="409">
        <v>0</v>
      </c>
      <c r="EG253" s="409">
        <v>0</v>
      </c>
      <c r="EH253" s="409">
        <v>0</v>
      </c>
      <c r="EI253" s="409">
        <v>0</v>
      </c>
      <c r="EJ253" s="409">
        <v>0</v>
      </c>
      <c r="EK253" s="409">
        <v>0</v>
      </c>
      <c r="EL253" s="409">
        <v>0</v>
      </c>
      <c r="EM253" s="409">
        <v>0</v>
      </c>
      <c r="EN253" s="409">
        <v>0</v>
      </c>
      <c r="EO253" s="409">
        <v>0</v>
      </c>
      <c r="EP253" s="409">
        <v>0</v>
      </c>
      <c r="EQ253" s="409">
        <v>0</v>
      </c>
      <c r="ER253" s="409">
        <v>0</v>
      </c>
      <c r="ES253" s="409">
        <v>0</v>
      </c>
      <c r="ET253" s="409">
        <v>0</v>
      </c>
      <c r="EU253" s="409">
        <v>0</v>
      </c>
      <c r="EV253" s="409">
        <v>210</v>
      </c>
      <c r="EW253" s="409">
        <v>0</v>
      </c>
      <c r="EX253" s="409">
        <v>0</v>
      </c>
      <c r="EY253" s="409">
        <v>0</v>
      </c>
      <c r="EZ253" s="409"/>
      <c r="FA253" s="409">
        <v>0</v>
      </c>
      <c r="FB253" s="409"/>
      <c r="FC253" s="409"/>
      <c r="FD253" s="409"/>
      <c r="FE253" s="409"/>
      <c r="FF253" s="409">
        <v>0</v>
      </c>
      <c r="FG253" s="409">
        <v>0</v>
      </c>
      <c r="FH253" s="409">
        <v>0</v>
      </c>
      <c r="FI253" s="409">
        <v>0</v>
      </c>
    </row>
    <row r="254" spans="1:165">
      <c r="A254" s="409">
        <v>252</v>
      </c>
      <c r="B254" s="409" t="s">
        <v>1035</v>
      </c>
      <c r="C254" s="409" t="s">
        <v>2241</v>
      </c>
      <c r="D254" s="409" t="s">
        <v>1989</v>
      </c>
      <c r="E254" s="409" t="s">
        <v>968</v>
      </c>
      <c r="F254" s="409" t="s">
        <v>2258</v>
      </c>
      <c r="G254" s="409" t="s">
        <v>1323</v>
      </c>
      <c r="H254" s="409" t="s">
        <v>1323</v>
      </c>
      <c r="I254" s="409" t="s">
        <v>1323</v>
      </c>
      <c r="J254" s="409" t="s">
        <v>2242</v>
      </c>
      <c r="K254" s="838">
        <v>44562</v>
      </c>
      <c r="L254" s="409">
        <v>0</v>
      </c>
      <c r="M254" s="409">
        <v>0</v>
      </c>
      <c r="N254" s="409">
        <v>6.8000000000000005E-2</v>
      </c>
      <c r="O254" s="409">
        <v>6.8000000000000005E-2</v>
      </c>
      <c r="P254" s="409">
        <v>6.8000000000000005E-2</v>
      </c>
      <c r="Q254" s="409">
        <v>6.8000000000000005E-2</v>
      </c>
      <c r="R254" s="409"/>
      <c r="S254" s="409">
        <v>288.91000000000003</v>
      </c>
      <c r="T254" s="409">
        <v>273.74</v>
      </c>
      <c r="U254" s="409"/>
      <c r="V254" s="409">
        <v>38.260200000000005</v>
      </c>
      <c r="W254" s="409">
        <v>38.260200000000005</v>
      </c>
      <c r="X254" s="409">
        <v>37.240880000000004</v>
      </c>
      <c r="Y254" s="409">
        <v>0</v>
      </c>
      <c r="Z254" s="409">
        <v>0</v>
      </c>
      <c r="AA254" s="409">
        <v>0</v>
      </c>
      <c r="AB254" s="409">
        <v>0</v>
      </c>
      <c r="AC254" s="409">
        <v>0</v>
      </c>
      <c r="AD254" s="409">
        <v>5.8540192035043175</v>
      </c>
      <c r="AE254" s="409">
        <v>13.469385058968065</v>
      </c>
      <c r="AF254" s="409">
        <v>18.614269658902796</v>
      </c>
      <c r="AG254" s="409">
        <v>0</v>
      </c>
      <c r="AH254" s="409">
        <v>0</v>
      </c>
      <c r="AI254" s="409">
        <v>0</v>
      </c>
      <c r="AJ254" s="409">
        <v>0</v>
      </c>
      <c r="AK254" s="409">
        <v>0</v>
      </c>
      <c r="AL254" s="409">
        <v>0</v>
      </c>
      <c r="AM254" s="409"/>
      <c r="AN254" s="409">
        <v>7.2426213238927603E-2</v>
      </c>
      <c r="AO254" s="409">
        <v>0</v>
      </c>
      <c r="AP254" s="409">
        <v>0</v>
      </c>
      <c r="AQ254" s="409">
        <v>0</v>
      </c>
      <c r="AR254" s="409">
        <v>0</v>
      </c>
      <c r="AS254" s="409">
        <v>0</v>
      </c>
      <c r="AT254" s="409">
        <v>0</v>
      </c>
      <c r="AU254" s="409">
        <v>0</v>
      </c>
      <c r="AV254" s="409">
        <v>0</v>
      </c>
      <c r="AW254" s="409">
        <v>0</v>
      </c>
      <c r="AX254" s="409">
        <v>0</v>
      </c>
      <c r="AY254" s="409">
        <v>0</v>
      </c>
      <c r="AZ254" s="409">
        <v>0</v>
      </c>
      <c r="BA254" s="409"/>
      <c r="BB254" s="409">
        <v>0</v>
      </c>
      <c r="BC254" s="409">
        <v>0</v>
      </c>
      <c r="BD254" s="409">
        <v>0</v>
      </c>
      <c r="BE254" s="409">
        <v>0</v>
      </c>
      <c r="BF254" s="409">
        <v>0</v>
      </c>
      <c r="BG254" s="409">
        <v>0.25013298419174113</v>
      </c>
      <c r="BH254" s="409">
        <v>0</v>
      </c>
      <c r="BI254" s="409">
        <v>0.34</v>
      </c>
      <c r="BJ254" s="409">
        <v>1.57</v>
      </c>
      <c r="BK254" s="409">
        <v>13.11</v>
      </c>
      <c r="BL254" s="409">
        <v>3</v>
      </c>
      <c r="BM254" s="409"/>
      <c r="BN254" s="409"/>
      <c r="BO254" s="409"/>
      <c r="BP254" s="409"/>
      <c r="BQ254" s="409"/>
      <c r="BR254" s="409"/>
      <c r="BS254" s="409"/>
      <c r="BT254" s="409"/>
      <c r="BU254" s="409"/>
      <c r="BV254" s="409">
        <v>18.864402643094536</v>
      </c>
      <c r="BW254" s="409"/>
      <c r="BX254" s="409"/>
      <c r="BY254" s="409"/>
      <c r="BZ254" s="409"/>
      <c r="CA254" s="409"/>
      <c r="CB254" s="409"/>
      <c r="CC254" s="409"/>
      <c r="CD254" s="409"/>
      <c r="CE254" s="409"/>
      <c r="CF254" s="409"/>
      <c r="CG254" s="409"/>
      <c r="CH254" s="409"/>
      <c r="CI254" s="409">
        <v>38.336200000000005</v>
      </c>
      <c r="CJ254" s="409">
        <v>4.5999999999999375E-2</v>
      </c>
      <c r="CK254" s="409"/>
      <c r="CL254" s="409"/>
      <c r="CM254" s="409"/>
      <c r="CN254" s="409"/>
      <c r="CO254" s="409">
        <v>-1.9033200000000008</v>
      </c>
      <c r="CP254" s="409">
        <v>0.88400000000000012</v>
      </c>
      <c r="CQ254" s="409">
        <v>31</v>
      </c>
      <c r="CR254" s="409">
        <v>1.1219415833501891</v>
      </c>
      <c r="CS254" s="409">
        <v>0</v>
      </c>
      <c r="CT254" s="409">
        <v>0</v>
      </c>
      <c r="CU254" s="409">
        <v>0</v>
      </c>
      <c r="CV254" s="409">
        <v>0</v>
      </c>
      <c r="CW254" s="409">
        <v>0</v>
      </c>
      <c r="CX254" s="409">
        <v>0</v>
      </c>
      <c r="CY254" s="409">
        <v>0</v>
      </c>
      <c r="CZ254" s="409">
        <v>0.20066665834329278</v>
      </c>
      <c r="DA254" s="409">
        <v>0</v>
      </c>
      <c r="DB254" s="409">
        <v>0</v>
      </c>
      <c r="DC254" s="409">
        <v>1.0027455032401207</v>
      </c>
      <c r="DD254" s="409">
        <v>0</v>
      </c>
      <c r="DE254" s="409">
        <v>0</v>
      </c>
      <c r="DF254" s="409">
        <v>0</v>
      </c>
      <c r="DG254" s="409">
        <v>1.3474593938223589E-2</v>
      </c>
      <c r="DH254" s="409">
        <v>0</v>
      </c>
      <c r="DI254" s="409">
        <v>0</v>
      </c>
      <c r="DJ254" s="409"/>
      <c r="DK254" s="409">
        <v>0</v>
      </c>
      <c r="DL254" s="409">
        <v>0</v>
      </c>
      <c r="DM254" s="409">
        <v>0</v>
      </c>
      <c r="DN254" s="409">
        <v>0</v>
      </c>
      <c r="DO254" s="409">
        <v>0</v>
      </c>
      <c r="DP254" s="409">
        <v>-4.7786395756726635E-3</v>
      </c>
      <c r="DQ254" s="409">
        <v>0</v>
      </c>
      <c r="DR254" s="409">
        <v>-9.0166532595775006E-2</v>
      </c>
      <c r="DS254" s="409"/>
      <c r="DT254" s="409"/>
      <c r="DU254" s="409"/>
      <c r="DV254" s="409">
        <v>13.469385058968065</v>
      </c>
      <c r="DW254" s="409">
        <v>0</v>
      </c>
      <c r="DX254" s="409">
        <v>0</v>
      </c>
      <c r="DY254" s="409">
        <v>-1.9033200000000008</v>
      </c>
      <c r="DZ254" s="409">
        <v>0.88400000000000034</v>
      </c>
      <c r="EA254" s="409">
        <v>0</v>
      </c>
      <c r="EB254" s="409">
        <v>0</v>
      </c>
      <c r="EC254" s="409">
        <v>-2.1409989170302968</v>
      </c>
      <c r="ED254" s="409">
        <v>0</v>
      </c>
      <c r="EE254" s="409">
        <v>0</v>
      </c>
      <c r="EF254" s="409">
        <v>0</v>
      </c>
      <c r="EG254" s="409">
        <v>0</v>
      </c>
      <c r="EH254" s="409">
        <v>0</v>
      </c>
      <c r="EI254" s="409">
        <v>0</v>
      </c>
      <c r="EJ254" s="409">
        <v>0</v>
      </c>
      <c r="EK254" s="409">
        <v>0</v>
      </c>
      <c r="EL254" s="409">
        <v>0</v>
      </c>
      <c r="EM254" s="409">
        <v>0</v>
      </c>
      <c r="EN254" s="409">
        <v>0</v>
      </c>
      <c r="EO254" s="409">
        <v>0</v>
      </c>
      <c r="EP254" s="409">
        <v>0</v>
      </c>
      <c r="EQ254" s="409">
        <v>0</v>
      </c>
      <c r="ER254" s="409">
        <v>0</v>
      </c>
      <c r="ES254" s="409">
        <v>0</v>
      </c>
      <c r="ET254" s="409">
        <v>0</v>
      </c>
      <c r="EU254" s="409">
        <v>0</v>
      </c>
      <c r="EV254" s="409">
        <v>210</v>
      </c>
      <c r="EW254" s="409">
        <v>0</v>
      </c>
      <c r="EX254" s="409">
        <v>0</v>
      </c>
      <c r="EY254" s="409">
        <v>0</v>
      </c>
      <c r="EZ254" s="409"/>
      <c r="FA254" s="409">
        <v>0</v>
      </c>
      <c r="FB254" s="409"/>
      <c r="FC254" s="409"/>
      <c r="FD254" s="409"/>
      <c r="FE254" s="409"/>
      <c r="FF254" s="409">
        <v>0</v>
      </c>
      <c r="FG254" s="409">
        <v>0</v>
      </c>
      <c r="FH254" s="409">
        <v>0</v>
      </c>
      <c r="FI254" s="409">
        <v>0</v>
      </c>
    </row>
    <row r="255" spans="1:165">
      <c r="A255" s="409">
        <v>253</v>
      </c>
      <c r="B255" s="409" t="s">
        <v>1035</v>
      </c>
      <c r="C255" s="409" t="s">
        <v>2241</v>
      </c>
      <c r="D255" s="409" t="s">
        <v>1992</v>
      </c>
      <c r="E255" s="409" t="s">
        <v>969</v>
      </c>
      <c r="F255" s="409" t="s">
        <v>1323</v>
      </c>
      <c r="G255" s="409" t="s">
        <v>1323</v>
      </c>
      <c r="H255" s="409" t="s">
        <v>1323</v>
      </c>
      <c r="I255" s="409" t="s">
        <v>1323</v>
      </c>
      <c r="J255" s="409" t="s">
        <v>2242</v>
      </c>
      <c r="K255" s="838">
        <v>44562</v>
      </c>
      <c r="L255" s="409">
        <v>0</v>
      </c>
      <c r="M255" s="409">
        <v>0</v>
      </c>
      <c r="N255" s="409">
        <v>28.773</v>
      </c>
      <c r="O255" s="409">
        <v>28.773</v>
      </c>
      <c r="P255" s="409">
        <v>28.773</v>
      </c>
      <c r="Q255" s="409">
        <v>28.773</v>
      </c>
      <c r="R255" s="409"/>
      <c r="S255" s="409">
        <v>358.62</v>
      </c>
      <c r="T255" s="409">
        <v>273.74</v>
      </c>
      <c r="U255" s="409"/>
      <c r="V255" s="409">
        <v>18194.89428</v>
      </c>
      <c r="W255" s="409">
        <v>18194.89428</v>
      </c>
      <c r="X255" s="409">
        <v>17641.877220000002</v>
      </c>
      <c r="Y255" s="409">
        <v>0</v>
      </c>
      <c r="Z255" s="409">
        <v>1737.1529619194257</v>
      </c>
      <c r="AA255" s="409">
        <v>0</v>
      </c>
      <c r="AB255" s="409">
        <v>0</v>
      </c>
      <c r="AC255" s="409">
        <v>0</v>
      </c>
      <c r="AD255" s="409">
        <v>2477.0249197416133</v>
      </c>
      <c r="AE255" s="409">
        <v>5699.3325926718835</v>
      </c>
      <c r="AF255" s="409">
        <v>7876.2997190530896</v>
      </c>
      <c r="AG255" s="409">
        <v>0</v>
      </c>
      <c r="AH255" s="409">
        <v>0</v>
      </c>
      <c r="AI255" s="409">
        <v>0</v>
      </c>
      <c r="AJ255" s="409">
        <v>0</v>
      </c>
      <c r="AK255" s="409">
        <v>0</v>
      </c>
      <c r="AL255" s="409">
        <v>268.64051981367442</v>
      </c>
      <c r="AM255" s="409"/>
      <c r="AN255" s="409">
        <v>30.645874022406819</v>
      </c>
      <c r="AO255" s="409">
        <v>0</v>
      </c>
      <c r="AP255" s="409">
        <v>0</v>
      </c>
      <c r="AQ255" s="409">
        <v>0</v>
      </c>
      <c r="AR255" s="409">
        <v>0</v>
      </c>
      <c r="AS255" s="409">
        <v>0</v>
      </c>
      <c r="AT255" s="409">
        <v>0</v>
      </c>
      <c r="AU255" s="409">
        <v>0</v>
      </c>
      <c r="AV255" s="409">
        <v>0</v>
      </c>
      <c r="AW255" s="409">
        <v>0</v>
      </c>
      <c r="AX255" s="409">
        <v>0</v>
      </c>
      <c r="AY255" s="409">
        <v>0</v>
      </c>
      <c r="AZ255" s="409">
        <v>0</v>
      </c>
      <c r="BA255" s="409"/>
      <c r="BB255" s="409">
        <v>0</v>
      </c>
      <c r="BC255" s="409">
        <v>0</v>
      </c>
      <c r="BD255" s="409">
        <v>0</v>
      </c>
      <c r="BE255" s="409">
        <v>0</v>
      </c>
      <c r="BF255" s="409">
        <v>0</v>
      </c>
      <c r="BG255" s="409">
        <v>105.83935814924952</v>
      </c>
      <c r="BH255" s="409">
        <v>0</v>
      </c>
      <c r="BI255" s="409">
        <v>180.19</v>
      </c>
      <c r="BJ255" s="409">
        <v>831.95</v>
      </c>
      <c r="BK255" s="409">
        <v>4991.57</v>
      </c>
      <c r="BL255" s="409">
        <v>12</v>
      </c>
      <c r="BM255" s="409"/>
      <c r="BN255" s="409"/>
      <c r="BO255" s="409"/>
      <c r="BP255" s="409"/>
      <c r="BQ255" s="409"/>
      <c r="BR255" s="409"/>
      <c r="BS255" s="409"/>
      <c r="BT255" s="409"/>
      <c r="BU255" s="409"/>
      <c r="BV255" s="409">
        <v>7982.1390772023387</v>
      </c>
      <c r="BW255" s="409"/>
      <c r="BX255" s="409"/>
      <c r="BY255" s="409"/>
      <c r="BZ255" s="409"/>
      <c r="CA255" s="409"/>
      <c r="CB255" s="409"/>
      <c r="CC255" s="409"/>
      <c r="CD255" s="409"/>
      <c r="CE255" s="409"/>
      <c r="CF255" s="409"/>
      <c r="CG255" s="409"/>
      <c r="CH255" s="409"/>
      <c r="CI255" s="409">
        <v>17640.037799999998</v>
      </c>
      <c r="CJ255" s="409">
        <v>-554.88648000000103</v>
      </c>
      <c r="CK255" s="409"/>
      <c r="CL255" s="409"/>
      <c r="CM255" s="409"/>
      <c r="CN255" s="409"/>
      <c r="CO255" s="409">
        <v>-927.06606000000079</v>
      </c>
      <c r="CP255" s="409">
        <v>374.04899999999998</v>
      </c>
      <c r="CQ255" s="409">
        <v>31</v>
      </c>
      <c r="CR255" s="409">
        <v>352.81107995468665</v>
      </c>
      <c r="CS255" s="409">
        <v>0</v>
      </c>
      <c r="CT255" s="409">
        <v>0</v>
      </c>
      <c r="CU255" s="409">
        <v>0</v>
      </c>
      <c r="CV255" s="409">
        <v>0</v>
      </c>
      <c r="CW255" s="409">
        <v>0</v>
      </c>
      <c r="CX255" s="409">
        <v>0</v>
      </c>
      <c r="CY255" s="409">
        <v>0</v>
      </c>
      <c r="CZ255" s="409">
        <v>84.908555301640718</v>
      </c>
      <c r="DA255" s="409">
        <v>0</v>
      </c>
      <c r="DB255" s="409">
        <v>0</v>
      </c>
      <c r="DC255" s="409">
        <v>424.29406418717736</v>
      </c>
      <c r="DD255" s="409">
        <v>0</v>
      </c>
      <c r="DE255" s="409">
        <v>0</v>
      </c>
      <c r="DF255" s="409">
        <v>0</v>
      </c>
      <c r="DG255" s="409">
        <v>5.7015366380074397</v>
      </c>
      <c r="DH255" s="409">
        <v>0</v>
      </c>
      <c r="DI255" s="409">
        <v>-110.72834487443902</v>
      </c>
      <c r="DJ255" s="409"/>
      <c r="DK255" s="409">
        <v>0</v>
      </c>
      <c r="DL255" s="409">
        <v>0</v>
      </c>
      <c r="DM255" s="409">
        <v>0</v>
      </c>
      <c r="DN255" s="409">
        <v>0</v>
      </c>
      <c r="DO255" s="409">
        <v>-14.085305376221612</v>
      </c>
      <c r="DP255" s="409">
        <v>-2.0219970075121978</v>
      </c>
      <c r="DQ255" s="409">
        <v>0</v>
      </c>
      <c r="DR255" s="409">
        <v>-35.257428913962173</v>
      </c>
      <c r="DS255" s="409"/>
      <c r="DT255" s="409"/>
      <c r="DU255" s="409"/>
      <c r="DV255" s="409">
        <v>5699.3325926718835</v>
      </c>
      <c r="DW255" s="409">
        <v>0</v>
      </c>
      <c r="DX255" s="409">
        <v>0</v>
      </c>
      <c r="DY255" s="409">
        <v>-927.0660599999992</v>
      </c>
      <c r="DZ255" s="409">
        <v>374.04899999999998</v>
      </c>
      <c r="EA255" s="409">
        <v>0</v>
      </c>
      <c r="EB255" s="409">
        <v>0</v>
      </c>
      <c r="EC255" s="409">
        <v>-905.92590940753962</v>
      </c>
      <c r="ED255" s="409">
        <v>0</v>
      </c>
      <c r="EE255" s="409">
        <v>0</v>
      </c>
      <c r="EF255" s="409">
        <v>0</v>
      </c>
      <c r="EG255" s="409">
        <v>0</v>
      </c>
      <c r="EH255" s="409">
        <v>0</v>
      </c>
      <c r="EI255" s="409">
        <v>0</v>
      </c>
      <c r="EJ255" s="409">
        <v>0</v>
      </c>
      <c r="EK255" s="409">
        <v>0</v>
      </c>
      <c r="EL255" s="409">
        <v>0</v>
      </c>
      <c r="EM255" s="409">
        <v>0</v>
      </c>
      <c r="EN255" s="409">
        <v>0</v>
      </c>
      <c r="EO255" s="409">
        <v>0</v>
      </c>
      <c r="EP255" s="409">
        <v>0</v>
      </c>
      <c r="EQ255" s="409">
        <v>0</v>
      </c>
      <c r="ER255" s="409">
        <v>0</v>
      </c>
      <c r="ES255" s="409">
        <v>0</v>
      </c>
      <c r="ET255" s="409">
        <v>0</v>
      </c>
      <c r="EU255" s="409">
        <v>0</v>
      </c>
      <c r="EV255" s="409">
        <v>210</v>
      </c>
      <c r="EW255" s="409">
        <v>0</v>
      </c>
      <c r="EX255" s="409">
        <v>0</v>
      </c>
      <c r="EY255" s="409">
        <v>0</v>
      </c>
      <c r="EZ255" s="409"/>
      <c r="FA255" s="409">
        <v>0</v>
      </c>
      <c r="FB255" s="409"/>
      <c r="FC255" s="409"/>
      <c r="FD255" s="409"/>
      <c r="FE255" s="409"/>
      <c r="FF255" s="409">
        <v>0</v>
      </c>
      <c r="FG255" s="409">
        <v>0</v>
      </c>
      <c r="FH255" s="409">
        <v>0</v>
      </c>
      <c r="FI255" s="409">
        <v>0</v>
      </c>
    </row>
    <row r="256" spans="1:165">
      <c r="A256" s="409">
        <v>254</v>
      </c>
      <c r="B256" s="409" t="s">
        <v>2240</v>
      </c>
      <c r="C256" s="409" t="s">
        <v>2241</v>
      </c>
      <c r="D256" s="409" t="s">
        <v>1992</v>
      </c>
      <c r="E256" s="409" t="s">
        <v>969</v>
      </c>
      <c r="F256" s="409" t="s">
        <v>1323</v>
      </c>
      <c r="G256" s="409" t="s">
        <v>1323</v>
      </c>
      <c r="H256" s="409" t="s">
        <v>1323</v>
      </c>
      <c r="I256" s="409" t="s">
        <v>1323</v>
      </c>
      <c r="J256" s="409" t="s">
        <v>2242</v>
      </c>
      <c r="K256" s="838">
        <v>44562</v>
      </c>
      <c r="L256" s="409">
        <v>0</v>
      </c>
      <c r="M256" s="409">
        <v>0</v>
      </c>
      <c r="N256" s="409">
        <v>0.1</v>
      </c>
      <c r="O256" s="409">
        <v>0.1</v>
      </c>
      <c r="P256" s="409">
        <v>0.1</v>
      </c>
      <c r="Q256" s="409">
        <v>0.1</v>
      </c>
      <c r="R256" s="409"/>
      <c r="S256" s="409">
        <v>358.62</v>
      </c>
      <c r="T256" s="409">
        <v>273.74</v>
      </c>
      <c r="U256" s="409"/>
      <c r="V256" s="409">
        <v>63.236000000000004</v>
      </c>
      <c r="W256" s="409">
        <v>63.236000000000004</v>
      </c>
      <c r="X256" s="409">
        <v>61.314000000000007</v>
      </c>
      <c r="Y256" s="409">
        <v>0</v>
      </c>
      <c r="Z256" s="409">
        <v>6.03744121891852</v>
      </c>
      <c r="AA256" s="409">
        <v>0</v>
      </c>
      <c r="AB256" s="409">
        <v>0</v>
      </c>
      <c r="AC256" s="409">
        <v>0</v>
      </c>
      <c r="AD256" s="409">
        <v>8.6088517698592906</v>
      </c>
      <c r="AE256" s="409">
        <v>19.807919204364801</v>
      </c>
      <c r="AF256" s="409">
        <v>27.373925968974699</v>
      </c>
      <c r="AG256" s="409">
        <v>0</v>
      </c>
      <c r="AH256" s="409">
        <v>0</v>
      </c>
      <c r="AI256" s="409">
        <v>0</v>
      </c>
      <c r="AJ256" s="409">
        <v>0</v>
      </c>
      <c r="AK256" s="409">
        <v>0</v>
      </c>
      <c r="AL256" s="409">
        <v>0.93365488414025111</v>
      </c>
      <c r="AM256" s="409"/>
      <c r="AN256" s="409">
        <v>0.10650913711607</v>
      </c>
      <c r="AO256" s="409">
        <v>0</v>
      </c>
      <c r="AP256" s="409">
        <v>0</v>
      </c>
      <c r="AQ256" s="409">
        <v>0</v>
      </c>
      <c r="AR256" s="409">
        <v>0</v>
      </c>
      <c r="AS256" s="409">
        <v>0</v>
      </c>
      <c r="AT256" s="409">
        <v>0</v>
      </c>
      <c r="AU256" s="409">
        <v>0</v>
      </c>
      <c r="AV256" s="409">
        <v>0</v>
      </c>
      <c r="AW256" s="409">
        <v>0</v>
      </c>
      <c r="AX256" s="409">
        <v>0</v>
      </c>
      <c r="AY256" s="409">
        <v>0</v>
      </c>
      <c r="AZ256" s="409">
        <v>0</v>
      </c>
      <c r="BA256" s="409"/>
      <c r="BB256" s="409">
        <v>0</v>
      </c>
      <c r="BC256" s="409">
        <v>0</v>
      </c>
      <c r="BD256" s="409">
        <v>0</v>
      </c>
      <c r="BE256" s="409">
        <v>0</v>
      </c>
      <c r="BF256" s="409">
        <v>0</v>
      </c>
      <c r="BG256" s="409">
        <v>0.36784262381138405</v>
      </c>
      <c r="BH256" s="409">
        <v>0</v>
      </c>
      <c r="BI256" s="409">
        <v>0.62</v>
      </c>
      <c r="BJ256" s="409">
        <v>2.89</v>
      </c>
      <c r="BK256" s="409">
        <v>124.38</v>
      </c>
      <c r="BL256" s="409">
        <v>1</v>
      </c>
      <c r="BM256" s="409"/>
      <c r="BN256" s="409"/>
      <c r="BO256" s="409"/>
      <c r="BP256" s="409"/>
      <c r="BQ256" s="409"/>
      <c r="BR256" s="409"/>
      <c r="BS256" s="409"/>
      <c r="BT256" s="409"/>
      <c r="BU256" s="409"/>
      <c r="BV256" s="409">
        <v>27.741768592786084</v>
      </c>
      <c r="BW256" s="409"/>
      <c r="BX256" s="409"/>
      <c r="BY256" s="409"/>
      <c r="BZ256" s="409"/>
      <c r="CA256" s="409"/>
      <c r="CB256" s="409"/>
      <c r="CC256" s="409"/>
      <c r="CD256" s="409"/>
      <c r="CE256" s="409"/>
      <c r="CF256" s="409"/>
      <c r="CG256" s="409"/>
      <c r="CH256" s="409"/>
      <c r="CI256" s="409">
        <v>61.314000000000007</v>
      </c>
      <c r="CJ256" s="409">
        <v>-1.9519999999999911</v>
      </c>
      <c r="CK256" s="409"/>
      <c r="CL256" s="409"/>
      <c r="CM256" s="409"/>
      <c r="CN256" s="409"/>
      <c r="CO256" s="409">
        <v>-3.2220000000000031</v>
      </c>
      <c r="CP256" s="409">
        <v>1.3</v>
      </c>
      <c r="CQ256" s="409">
        <v>31</v>
      </c>
      <c r="CR256" s="409">
        <v>1.2261880233367748</v>
      </c>
      <c r="CS256" s="409">
        <v>0</v>
      </c>
      <c r="CT256" s="409">
        <v>0</v>
      </c>
      <c r="CU256" s="409">
        <v>0</v>
      </c>
      <c r="CV256" s="409">
        <v>0</v>
      </c>
      <c r="CW256" s="409">
        <v>0</v>
      </c>
      <c r="CX256" s="409">
        <v>0</v>
      </c>
      <c r="CY256" s="409">
        <v>0</v>
      </c>
      <c r="CZ256" s="409">
        <v>0.29509802697543108</v>
      </c>
      <c r="DA256" s="409">
        <v>0</v>
      </c>
      <c r="DB256" s="409">
        <v>0</v>
      </c>
      <c r="DC256" s="409">
        <v>1.4746257400590004</v>
      </c>
      <c r="DD256" s="409">
        <v>0</v>
      </c>
      <c r="DE256" s="409">
        <v>0</v>
      </c>
      <c r="DF256" s="409">
        <v>0</v>
      </c>
      <c r="DG256" s="409">
        <v>1.9815579320916987E-2</v>
      </c>
      <c r="DH256" s="409">
        <v>0</v>
      </c>
      <c r="DI256" s="409">
        <v>-0.38483420176707028</v>
      </c>
      <c r="DJ256" s="409"/>
      <c r="DK256" s="409">
        <v>0</v>
      </c>
      <c r="DL256" s="409">
        <v>0</v>
      </c>
      <c r="DM256" s="409">
        <v>0</v>
      </c>
      <c r="DN256" s="409">
        <v>0</v>
      </c>
      <c r="DO256" s="409">
        <v>-4.8953203962817993E-2</v>
      </c>
      <c r="DP256" s="409">
        <v>-7.0274111406950918E-3</v>
      </c>
      <c r="DQ256" s="409">
        <v>0</v>
      </c>
      <c r="DR256" s="409">
        <v>-0.12253650614799351</v>
      </c>
      <c r="DS256" s="409"/>
      <c r="DT256" s="409"/>
      <c r="DU256" s="409"/>
      <c r="DV256" s="409">
        <v>19.807919204364801</v>
      </c>
      <c r="DW256" s="409">
        <v>0</v>
      </c>
      <c r="DX256" s="409">
        <v>0</v>
      </c>
      <c r="DY256" s="409">
        <v>-3.2220000000000013</v>
      </c>
      <c r="DZ256" s="409">
        <v>1.3000000000000007</v>
      </c>
      <c r="EA256" s="409">
        <v>0</v>
      </c>
      <c r="EB256" s="409">
        <v>0</v>
      </c>
      <c r="EC256" s="409">
        <v>-3.1485278191622008</v>
      </c>
      <c r="ED256" s="409">
        <v>0</v>
      </c>
      <c r="EE256" s="409">
        <v>0</v>
      </c>
      <c r="EF256" s="409">
        <v>0</v>
      </c>
      <c r="EG256" s="409">
        <v>0</v>
      </c>
      <c r="EH256" s="409">
        <v>0</v>
      </c>
      <c r="EI256" s="409">
        <v>0</v>
      </c>
      <c r="EJ256" s="409">
        <v>0</v>
      </c>
      <c r="EK256" s="409">
        <v>0</v>
      </c>
      <c r="EL256" s="409">
        <v>0</v>
      </c>
      <c r="EM256" s="409">
        <v>0</v>
      </c>
      <c r="EN256" s="409">
        <v>0</v>
      </c>
      <c r="EO256" s="409">
        <v>0</v>
      </c>
      <c r="EP256" s="409">
        <v>0</v>
      </c>
      <c r="EQ256" s="409">
        <v>0</v>
      </c>
      <c r="ER256" s="409">
        <v>0</v>
      </c>
      <c r="ES256" s="409">
        <v>0</v>
      </c>
      <c r="ET256" s="409">
        <v>0</v>
      </c>
      <c r="EU256" s="409">
        <v>0</v>
      </c>
      <c r="EV256" s="409">
        <v>210</v>
      </c>
      <c r="EW256" s="409">
        <v>0</v>
      </c>
      <c r="EX256" s="409">
        <v>0</v>
      </c>
      <c r="EY256" s="409">
        <v>0</v>
      </c>
      <c r="EZ256" s="409"/>
      <c r="FA256" s="409">
        <v>0</v>
      </c>
      <c r="FB256" s="409"/>
      <c r="FC256" s="409"/>
      <c r="FD256" s="409"/>
      <c r="FE256" s="409"/>
      <c r="FF256" s="409">
        <v>0</v>
      </c>
      <c r="FG256" s="409">
        <v>0</v>
      </c>
      <c r="FH256" s="409">
        <v>0</v>
      </c>
      <c r="FI256" s="409">
        <v>0</v>
      </c>
    </row>
    <row r="257" spans="1:165">
      <c r="A257" s="409">
        <v>255</v>
      </c>
      <c r="B257" s="409" t="s">
        <v>1035</v>
      </c>
      <c r="C257" s="409" t="s">
        <v>2246</v>
      </c>
      <c r="D257" s="409" t="s">
        <v>595</v>
      </c>
      <c r="E257" s="409" t="s">
        <v>969</v>
      </c>
      <c r="F257" s="409" t="s">
        <v>1323</v>
      </c>
      <c r="G257" s="409" t="s">
        <v>1323</v>
      </c>
      <c r="H257" s="409" t="s">
        <v>1323</v>
      </c>
      <c r="I257" s="409" t="s">
        <v>972</v>
      </c>
      <c r="J257" s="409" t="s">
        <v>2242</v>
      </c>
      <c r="K257" s="838">
        <v>44562</v>
      </c>
      <c r="L257" s="409">
        <v>0</v>
      </c>
      <c r="M257" s="409">
        <v>0</v>
      </c>
      <c r="N257" s="409">
        <v>10.907</v>
      </c>
      <c r="O257" s="409">
        <v>10.907</v>
      </c>
      <c r="P257" s="409">
        <v>10.907</v>
      </c>
      <c r="Q257" s="409">
        <v>10.907</v>
      </c>
      <c r="R257" s="409"/>
      <c r="S257" s="409">
        <v>1856.88</v>
      </c>
      <c r="T257" s="409">
        <v>273.74</v>
      </c>
      <c r="U257" s="409"/>
      <c r="V257" s="409">
        <v>23238.672340000001</v>
      </c>
      <c r="W257" s="409">
        <v>23238.672340000001</v>
      </c>
      <c r="X257" s="409">
        <v>21293.408890000002</v>
      </c>
      <c r="Y257" s="409">
        <v>0</v>
      </c>
      <c r="Z257" s="409">
        <v>572.8982309602751</v>
      </c>
      <c r="AA257" s="409">
        <v>0</v>
      </c>
      <c r="AB257" s="409">
        <v>0</v>
      </c>
      <c r="AC257" s="409">
        <v>0</v>
      </c>
      <c r="AD257" s="409">
        <v>5345.4320307292483</v>
      </c>
      <c r="AE257" s="409">
        <v>14205.075249116064</v>
      </c>
      <c r="AF257" s="409">
        <v>2985.67410543607</v>
      </c>
      <c r="AG257" s="409">
        <v>0</v>
      </c>
      <c r="AH257" s="409">
        <v>0</v>
      </c>
      <c r="AI257" s="409">
        <v>0</v>
      </c>
      <c r="AJ257" s="409">
        <v>0</v>
      </c>
      <c r="AK257" s="409">
        <v>0</v>
      </c>
      <c r="AL257" s="409">
        <v>101.83373821317718</v>
      </c>
      <c r="AM257" s="409"/>
      <c r="AN257" s="409">
        <v>9.4682348361953945</v>
      </c>
      <c r="AO257" s="409">
        <v>0</v>
      </c>
      <c r="AP257" s="409">
        <v>0</v>
      </c>
      <c r="AQ257" s="409">
        <v>0</v>
      </c>
      <c r="AR257" s="409">
        <v>0</v>
      </c>
      <c r="AS257" s="409">
        <v>0</v>
      </c>
      <c r="AT257" s="409">
        <v>0</v>
      </c>
      <c r="AU257" s="409">
        <v>0</v>
      </c>
      <c r="AV257" s="409">
        <v>0</v>
      </c>
      <c r="AW257" s="409">
        <v>0</v>
      </c>
      <c r="AX257" s="409">
        <v>0</v>
      </c>
      <c r="AY257" s="409">
        <v>0</v>
      </c>
      <c r="AZ257" s="409">
        <v>0</v>
      </c>
      <c r="BA257" s="409"/>
      <c r="BB257" s="409">
        <v>0</v>
      </c>
      <c r="BC257" s="409">
        <v>0</v>
      </c>
      <c r="BD257" s="409">
        <v>0</v>
      </c>
      <c r="BE257" s="409">
        <v>0</v>
      </c>
      <c r="BF257" s="409">
        <v>0</v>
      </c>
      <c r="BG257" s="409">
        <v>18.250965297101018</v>
      </c>
      <c r="BH257" s="409">
        <v>0</v>
      </c>
      <c r="BI257" s="409">
        <v>0</v>
      </c>
      <c r="BJ257" s="409">
        <v>0</v>
      </c>
      <c r="BK257" s="409">
        <v>0</v>
      </c>
      <c r="BL257" s="409">
        <v>0</v>
      </c>
      <c r="BM257" s="409"/>
      <c r="BN257" s="409"/>
      <c r="BO257" s="409"/>
      <c r="BP257" s="409"/>
      <c r="BQ257" s="409"/>
      <c r="BR257" s="409"/>
      <c r="BS257" s="409"/>
      <c r="BT257" s="409"/>
      <c r="BU257" s="409"/>
      <c r="BV257" s="409">
        <v>3003.9250707331712</v>
      </c>
      <c r="BW257" s="409"/>
      <c r="BX257" s="409"/>
      <c r="BY257" s="409"/>
      <c r="BZ257" s="409"/>
      <c r="CA257" s="409"/>
      <c r="CB257" s="409"/>
      <c r="CC257" s="409"/>
      <c r="CD257" s="409"/>
      <c r="CE257" s="409"/>
      <c r="CF257" s="409"/>
      <c r="CG257" s="409"/>
      <c r="CH257" s="409"/>
      <c r="CI257" s="409">
        <v>21299.2657</v>
      </c>
      <c r="CJ257" s="409">
        <v>-1939.4366399999963</v>
      </c>
      <c r="CK257" s="409"/>
      <c r="CL257" s="409"/>
      <c r="CM257" s="409"/>
      <c r="CN257" s="409"/>
      <c r="CO257" s="409">
        <v>-2087.0544500000015</v>
      </c>
      <c r="CP257" s="409">
        <v>141.791</v>
      </c>
      <c r="CQ257" s="409">
        <v>31</v>
      </c>
      <c r="CR257" s="409">
        <v>312.79285898006674</v>
      </c>
      <c r="CS257" s="409">
        <v>0</v>
      </c>
      <c r="CT257" s="409">
        <v>0</v>
      </c>
      <c r="CU257" s="409">
        <v>0</v>
      </c>
      <c r="CV257" s="409">
        <v>0</v>
      </c>
      <c r="CW257" s="409">
        <v>0</v>
      </c>
      <c r="CX257" s="409">
        <v>0</v>
      </c>
      <c r="CY257" s="409">
        <v>0</v>
      </c>
      <c r="CZ257" s="409">
        <v>183.23308238645677</v>
      </c>
      <c r="DA257" s="409">
        <v>0</v>
      </c>
      <c r="DB257" s="409">
        <v>0</v>
      </c>
      <c r="DC257" s="409">
        <v>160.83742946823577</v>
      </c>
      <c r="DD257" s="409">
        <v>0</v>
      </c>
      <c r="DE257" s="409">
        <v>0</v>
      </c>
      <c r="DF257" s="409">
        <v>0</v>
      </c>
      <c r="DG257" s="409">
        <v>0.98317439882518798</v>
      </c>
      <c r="DH257" s="409">
        <v>0</v>
      </c>
      <c r="DI257" s="409">
        <v>-36.51726375645876</v>
      </c>
      <c r="DJ257" s="409"/>
      <c r="DK257" s="409">
        <v>0</v>
      </c>
      <c r="DL257" s="409">
        <v>0</v>
      </c>
      <c r="DM257" s="409">
        <v>0</v>
      </c>
      <c r="DN257" s="409">
        <v>0</v>
      </c>
      <c r="DO257" s="409">
        <v>-5.3393259562245561</v>
      </c>
      <c r="DP257" s="409">
        <v>-0.62470864727864139</v>
      </c>
      <c r="DQ257" s="409">
        <v>0</v>
      </c>
      <c r="DR257" s="409">
        <v>10.220471086508965</v>
      </c>
      <c r="DS257" s="409"/>
      <c r="DT257" s="409"/>
      <c r="DU257" s="409"/>
      <c r="DV257" s="409">
        <v>14205.075249116064</v>
      </c>
      <c r="DW257" s="409">
        <v>0</v>
      </c>
      <c r="DX257" s="409">
        <v>0</v>
      </c>
      <c r="DY257" s="409">
        <v>-2087.0544499999996</v>
      </c>
      <c r="DZ257" s="409">
        <v>141.79099999999971</v>
      </c>
      <c r="EA257" s="409">
        <v>0</v>
      </c>
      <c r="EB257" s="409">
        <v>0</v>
      </c>
      <c r="EC257" s="409">
        <v>-2257.9390663748654</v>
      </c>
      <c r="ED257" s="409">
        <v>0</v>
      </c>
      <c r="EE257" s="409">
        <v>0</v>
      </c>
      <c r="EF257" s="409">
        <v>0</v>
      </c>
      <c r="EG257" s="409">
        <v>0</v>
      </c>
      <c r="EH257" s="409">
        <v>0</v>
      </c>
      <c r="EI257" s="409">
        <v>0</v>
      </c>
      <c r="EJ257" s="409">
        <v>0</v>
      </c>
      <c r="EK257" s="409">
        <v>0</v>
      </c>
      <c r="EL257" s="409">
        <v>0</v>
      </c>
      <c r="EM257" s="409">
        <v>0</v>
      </c>
      <c r="EN257" s="409">
        <v>0</v>
      </c>
      <c r="EO257" s="409">
        <v>0</v>
      </c>
      <c r="EP257" s="409">
        <v>0</v>
      </c>
      <c r="EQ257" s="409">
        <v>0</v>
      </c>
      <c r="ER257" s="409">
        <v>0</v>
      </c>
      <c r="ES257" s="409">
        <v>0</v>
      </c>
      <c r="ET257" s="409">
        <v>0</v>
      </c>
      <c r="EU257" s="409">
        <v>0</v>
      </c>
      <c r="EV257" s="409">
        <v>210</v>
      </c>
      <c r="EW257" s="409">
        <v>0</v>
      </c>
      <c r="EX257" s="409">
        <v>0</v>
      </c>
      <c r="EY257" s="409">
        <v>0</v>
      </c>
      <c r="EZ257" s="409"/>
      <c r="FA257" s="409">
        <v>0</v>
      </c>
      <c r="FB257" s="409"/>
      <c r="FC257" s="409"/>
      <c r="FD257" s="409"/>
      <c r="FE257" s="409"/>
      <c r="FF257" s="409">
        <v>0</v>
      </c>
      <c r="FG257" s="409">
        <v>0</v>
      </c>
      <c r="FH257" s="409">
        <v>0</v>
      </c>
      <c r="FI257" s="409">
        <v>0</v>
      </c>
    </row>
    <row r="258" spans="1:165">
      <c r="A258" s="409">
        <v>256</v>
      </c>
      <c r="B258" s="409" t="s">
        <v>1035</v>
      </c>
      <c r="C258" s="409" t="s">
        <v>2246</v>
      </c>
      <c r="D258" s="409" t="s">
        <v>595</v>
      </c>
      <c r="E258" s="409" t="s">
        <v>969</v>
      </c>
      <c r="F258" s="409" t="s">
        <v>1323</v>
      </c>
      <c r="G258" s="409" t="s">
        <v>1323</v>
      </c>
      <c r="H258" s="409" t="s">
        <v>1323</v>
      </c>
      <c r="I258" s="409" t="s">
        <v>2234</v>
      </c>
      <c r="J258" s="409" t="s">
        <v>2242</v>
      </c>
      <c r="K258" s="838">
        <v>44562</v>
      </c>
      <c r="L258" s="409">
        <v>0</v>
      </c>
      <c r="M258" s="409">
        <v>0</v>
      </c>
      <c r="N258" s="409">
        <v>91.887</v>
      </c>
      <c r="O258" s="409">
        <v>91.887</v>
      </c>
      <c r="P258" s="409">
        <v>91.887</v>
      </c>
      <c r="Q258" s="409">
        <v>91.887</v>
      </c>
      <c r="R258" s="409"/>
      <c r="S258" s="409">
        <v>64.400000000000006</v>
      </c>
      <c r="T258" s="409">
        <v>273.74</v>
      </c>
      <c r="U258" s="409"/>
      <c r="V258" s="409">
        <v>31070.670180000001</v>
      </c>
      <c r="W258" s="409">
        <v>31070.670180000001</v>
      </c>
      <c r="X258" s="409">
        <v>31924.30041</v>
      </c>
      <c r="Y258" s="409">
        <v>0</v>
      </c>
      <c r="Z258" s="409">
        <v>4826.4325431600619</v>
      </c>
      <c r="AA258" s="409">
        <v>0</v>
      </c>
      <c r="AB258" s="409">
        <v>0</v>
      </c>
      <c r="AC258" s="409">
        <v>0</v>
      </c>
      <c r="AD258" s="409">
        <v>0</v>
      </c>
      <c r="AE258" s="409">
        <v>0</v>
      </c>
      <c r="AF258" s="409">
        <v>25153.079355111779</v>
      </c>
      <c r="AG258" s="409">
        <v>0</v>
      </c>
      <c r="AH258" s="409">
        <v>0</v>
      </c>
      <c r="AI258" s="409">
        <v>0</v>
      </c>
      <c r="AJ258" s="409">
        <v>0</v>
      </c>
      <c r="AK258" s="409">
        <v>0</v>
      </c>
      <c r="AL258" s="409">
        <v>857.90746338995257</v>
      </c>
      <c r="AM258" s="409"/>
      <c r="AN258" s="409">
        <v>79.765993801548206</v>
      </c>
      <c r="AO258" s="409">
        <v>0</v>
      </c>
      <c r="AP258" s="409">
        <v>0</v>
      </c>
      <c r="AQ258" s="409">
        <v>0</v>
      </c>
      <c r="AR258" s="409">
        <v>0</v>
      </c>
      <c r="AS258" s="409">
        <v>0</v>
      </c>
      <c r="AT258" s="409">
        <v>0</v>
      </c>
      <c r="AU258" s="409">
        <v>0</v>
      </c>
      <c r="AV258" s="409">
        <v>0</v>
      </c>
      <c r="AW258" s="409">
        <v>0</v>
      </c>
      <c r="AX258" s="409">
        <v>0</v>
      </c>
      <c r="AY258" s="409">
        <v>0</v>
      </c>
      <c r="AZ258" s="409">
        <v>0</v>
      </c>
      <c r="BA258" s="409"/>
      <c r="BB258" s="409">
        <v>0</v>
      </c>
      <c r="BC258" s="409">
        <v>0</v>
      </c>
      <c r="BD258" s="409">
        <v>0</v>
      </c>
      <c r="BE258" s="409">
        <v>0</v>
      </c>
      <c r="BF258" s="409">
        <v>0</v>
      </c>
      <c r="BG258" s="409">
        <v>153.7568944947943</v>
      </c>
      <c r="BH258" s="409">
        <v>0</v>
      </c>
      <c r="BI258" s="409">
        <v>0</v>
      </c>
      <c r="BJ258" s="409">
        <v>0</v>
      </c>
      <c r="BK258" s="409">
        <v>0</v>
      </c>
      <c r="BL258" s="409">
        <v>0</v>
      </c>
      <c r="BM258" s="409"/>
      <c r="BN258" s="409"/>
      <c r="BO258" s="409"/>
      <c r="BP258" s="409"/>
      <c r="BQ258" s="409"/>
      <c r="BR258" s="409"/>
      <c r="BS258" s="409"/>
      <c r="BT258" s="409"/>
      <c r="BU258" s="409"/>
      <c r="BV258" s="409">
        <v>25306.836249606571</v>
      </c>
      <c r="BW258" s="409"/>
      <c r="BX258" s="409"/>
      <c r="BY258" s="409"/>
      <c r="BZ258" s="409"/>
      <c r="CA258" s="409"/>
      <c r="CB258" s="409"/>
      <c r="CC258" s="409"/>
      <c r="CD258" s="409"/>
      <c r="CE258" s="409"/>
      <c r="CF258" s="409"/>
      <c r="CG258" s="409"/>
      <c r="CH258" s="409"/>
      <c r="CI258" s="409">
        <v>31925.342700000001</v>
      </c>
      <c r="CJ258" s="409">
        <v>854.6425199999976</v>
      </c>
      <c r="CK258" s="409"/>
      <c r="CL258" s="409"/>
      <c r="CM258" s="409"/>
      <c r="CN258" s="409"/>
      <c r="CO258" s="409">
        <v>-340.9007700000007</v>
      </c>
      <c r="CP258" s="409">
        <v>1194.5309999999999</v>
      </c>
      <c r="CQ258" s="409">
        <v>31</v>
      </c>
      <c r="CR258" s="409">
        <v>853.77034383020509</v>
      </c>
      <c r="CS258" s="409">
        <v>0</v>
      </c>
      <c r="CT258" s="409">
        <v>0</v>
      </c>
      <c r="CU258" s="409">
        <v>0</v>
      </c>
      <c r="CV258" s="409">
        <v>0</v>
      </c>
      <c r="CW258" s="409">
        <v>0</v>
      </c>
      <c r="CX258" s="409">
        <v>0</v>
      </c>
      <c r="CY258" s="409">
        <v>0</v>
      </c>
      <c r="CZ258" s="409">
        <v>0</v>
      </c>
      <c r="DA258" s="409">
        <v>0</v>
      </c>
      <c r="DB258" s="409">
        <v>0</v>
      </c>
      <c r="DC258" s="409">
        <v>1354.9893537680182</v>
      </c>
      <c r="DD258" s="409">
        <v>0</v>
      </c>
      <c r="DE258" s="409">
        <v>0</v>
      </c>
      <c r="DF258" s="409">
        <v>0</v>
      </c>
      <c r="DG258" s="409">
        <v>8.2828409264554637</v>
      </c>
      <c r="DH258" s="409">
        <v>0</v>
      </c>
      <c r="DI258" s="409">
        <v>-307.64296459060461</v>
      </c>
      <c r="DJ258" s="409"/>
      <c r="DK258" s="409">
        <v>0</v>
      </c>
      <c r="DL258" s="409">
        <v>0</v>
      </c>
      <c r="DM258" s="409">
        <v>0</v>
      </c>
      <c r="DN258" s="409">
        <v>0</v>
      </c>
      <c r="DO258" s="409">
        <v>-44.981630525314699</v>
      </c>
      <c r="DP258" s="409">
        <v>-5.2629140435034856</v>
      </c>
      <c r="DQ258" s="409">
        <v>0</v>
      </c>
      <c r="DR258" s="409">
        <v>-151.6143417048485</v>
      </c>
      <c r="DS258" s="409"/>
      <c r="DT258" s="409"/>
      <c r="DU258" s="409"/>
      <c r="DV258" s="409">
        <v>0</v>
      </c>
      <c r="DW258" s="409">
        <v>0</v>
      </c>
      <c r="DX258" s="409">
        <v>0</v>
      </c>
      <c r="DY258" s="409">
        <v>-340.9007700000011</v>
      </c>
      <c r="DZ258" s="409">
        <v>1194.530999999999</v>
      </c>
      <c r="EA258" s="409">
        <v>0</v>
      </c>
      <c r="EB258" s="409">
        <v>0</v>
      </c>
      <c r="EC258" s="409">
        <v>0</v>
      </c>
      <c r="ED258" s="409">
        <v>0</v>
      </c>
      <c r="EE258" s="409">
        <v>0</v>
      </c>
      <c r="EF258" s="409">
        <v>0</v>
      </c>
      <c r="EG258" s="409">
        <v>0</v>
      </c>
      <c r="EH258" s="409">
        <v>0</v>
      </c>
      <c r="EI258" s="409">
        <v>0</v>
      </c>
      <c r="EJ258" s="409">
        <v>0</v>
      </c>
      <c r="EK258" s="409">
        <v>0</v>
      </c>
      <c r="EL258" s="409">
        <v>0</v>
      </c>
      <c r="EM258" s="409">
        <v>0</v>
      </c>
      <c r="EN258" s="409">
        <v>0</v>
      </c>
      <c r="EO258" s="409">
        <v>0</v>
      </c>
      <c r="EP258" s="409">
        <v>0</v>
      </c>
      <c r="EQ258" s="409">
        <v>0</v>
      </c>
      <c r="ER258" s="409">
        <v>0</v>
      </c>
      <c r="ES258" s="409">
        <v>0</v>
      </c>
      <c r="ET258" s="409">
        <v>0</v>
      </c>
      <c r="EU258" s="409">
        <v>0</v>
      </c>
      <c r="EV258" s="409">
        <v>210</v>
      </c>
      <c r="EW258" s="409">
        <v>0</v>
      </c>
      <c r="EX258" s="409">
        <v>0</v>
      </c>
      <c r="EY258" s="409">
        <v>0</v>
      </c>
      <c r="EZ258" s="409"/>
      <c r="FA258" s="409">
        <v>0</v>
      </c>
      <c r="FB258" s="409"/>
      <c r="FC258" s="409"/>
      <c r="FD258" s="409"/>
      <c r="FE258" s="409"/>
      <c r="FF258" s="409">
        <v>0</v>
      </c>
      <c r="FG258" s="409">
        <v>0</v>
      </c>
      <c r="FH258" s="409">
        <v>0</v>
      </c>
      <c r="FI258" s="409">
        <v>0</v>
      </c>
    </row>
    <row r="259" spans="1:165">
      <c r="A259" s="409">
        <v>257</v>
      </c>
      <c r="B259" s="409" t="s">
        <v>1035</v>
      </c>
      <c r="C259" s="409" t="s">
        <v>2246</v>
      </c>
      <c r="D259" s="409" t="s">
        <v>595</v>
      </c>
      <c r="E259" s="409" t="s">
        <v>969</v>
      </c>
      <c r="F259" s="409" t="s">
        <v>1323</v>
      </c>
      <c r="G259" s="409" t="s">
        <v>1323</v>
      </c>
      <c r="H259" s="409" t="s">
        <v>1323</v>
      </c>
      <c r="I259" s="409" t="s">
        <v>1323</v>
      </c>
      <c r="J259" s="409" t="s">
        <v>2242</v>
      </c>
      <c r="K259" s="838">
        <v>44562</v>
      </c>
      <c r="L259" s="409">
        <v>843</v>
      </c>
      <c r="M259" s="409">
        <v>843</v>
      </c>
      <c r="N259" s="409">
        <v>0</v>
      </c>
      <c r="O259" s="409">
        <v>0</v>
      </c>
      <c r="P259" s="409">
        <v>0</v>
      </c>
      <c r="Q259" s="409">
        <v>0</v>
      </c>
      <c r="R259" s="409">
        <v>33.6</v>
      </c>
      <c r="S259" s="409"/>
      <c r="T259" s="409"/>
      <c r="U259" s="409">
        <v>28324.800000000003</v>
      </c>
      <c r="V259" s="409"/>
      <c r="W259" s="409">
        <v>28324.800000000003</v>
      </c>
      <c r="X259" s="409">
        <v>26773.68</v>
      </c>
      <c r="Y259" s="409">
        <v>0</v>
      </c>
      <c r="Z259" s="409">
        <v>0</v>
      </c>
      <c r="AA259" s="409">
        <v>0</v>
      </c>
      <c r="AB259" s="409">
        <v>0</v>
      </c>
      <c r="AC259" s="409">
        <v>0</v>
      </c>
      <c r="AD259" s="409">
        <v>15043.769038745078</v>
      </c>
      <c r="AE259" s="409">
        <v>13281.591460987915</v>
      </c>
      <c r="AF259" s="409"/>
      <c r="AG259" s="409"/>
      <c r="AH259" s="409"/>
      <c r="AI259" s="409">
        <v>0</v>
      </c>
      <c r="AJ259" s="409">
        <v>0</v>
      </c>
      <c r="AK259" s="409">
        <v>0</v>
      </c>
      <c r="AL259" s="409">
        <v>0</v>
      </c>
      <c r="AM259" s="409"/>
      <c r="AN259" s="409">
        <v>0</v>
      </c>
      <c r="AO259" s="409">
        <v>0</v>
      </c>
      <c r="AP259" s="409">
        <v>0</v>
      </c>
      <c r="AQ259" s="409">
        <v>0</v>
      </c>
      <c r="AR259" s="409">
        <v>0</v>
      </c>
      <c r="AS259" s="409"/>
      <c r="AT259" s="409"/>
      <c r="AU259" s="409">
        <v>0</v>
      </c>
      <c r="AV259" s="409">
        <v>0</v>
      </c>
      <c r="AW259" s="409">
        <v>0</v>
      </c>
      <c r="AX259" s="409"/>
      <c r="AY259" s="409"/>
      <c r="AZ259" s="409">
        <v>0</v>
      </c>
      <c r="BA259" s="409"/>
      <c r="BB259" s="409">
        <v>0</v>
      </c>
      <c r="BC259" s="409">
        <v>0</v>
      </c>
      <c r="BD259" s="409">
        <v>0</v>
      </c>
      <c r="BE259" s="409">
        <v>0</v>
      </c>
      <c r="BF259" s="409"/>
      <c r="BG259" s="409">
        <v>0</v>
      </c>
      <c r="BH259" s="409">
        <v>0</v>
      </c>
      <c r="BI259" s="409">
        <v>658.81</v>
      </c>
      <c r="BJ259" s="409">
        <v>3040.74</v>
      </c>
      <c r="BK259" s="409">
        <v>17764.27</v>
      </c>
      <c r="BL259" s="409">
        <v>3</v>
      </c>
      <c r="BM259" s="409"/>
      <c r="BN259" s="409"/>
      <c r="BO259" s="409"/>
      <c r="BP259" s="409"/>
      <c r="BQ259" s="409"/>
      <c r="BR259" s="409"/>
      <c r="BS259" s="409"/>
      <c r="BT259" s="409"/>
      <c r="BU259" s="409"/>
      <c r="BV259" s="409">
        <v>0</v>
      </c>
      <c r="BW259" s="409"/>
      <c r="BX259" s="409"/>
      <c r="BY259" s="409"/>
      <c r="BZ259" s="409"/>
      <c r="CA259" s="409"/>
      <c r="CB259" s="409"/>
      <c r="CC259" s="409"/>
      <c r="CD259" s="409"/>
      <c r="CE259" s="409"/>
      <c r="CF259" s="409"/>
      <c r="CG259" s="409"/>
      <c r="CH259" s="409"/>
      <c r="CI259" s="409">
        <v>26773.68</v>
      </c>
      <c r="CJ259" s="409">
        <v>-1551.1499999999978</v>
      </c>
      <c r="CK259" s="409"/>
      <c r="CL259" s="409"/>
      <c r="CM259" s="409"/>
      <c r="CN259" s="409"/>
      <c r="CO259" s="409">
        <v>-1551.12</v>
      </c>
      <c r="CP259" s="409">
        <v>0</v>
      </c>
      <c r="CQ259" s="409">
        <v>31</v>
      </c>
      <c r="CR259" s="409">
        <v>556.55876744722991</v>
      </c>
      <c r="CS259" s="409">
        <v>0</v>
      </c>
      <c r="CT259" s="409">
        <v>0</v>
      </c>
      <c r="CU259" s="409">
        <v>0</v>
      </c>
      <c r="CV259" s="409">
        <v>0</v>
      </c>
      <c r="CW259" s="409"/>
      <c r="CX259" s="409"/>
      <c r="CY259" s="409"/>
      <c r="CZ259" s="409">
        <v>515.67696602117758</v>
      </c>
      <c r="DA259" s="409">
        <v>0</v>
      </c>
      <c r="DB259" s="409">
        <v>0</v>
      </c>
      <c r="DC259" s="409"/>
      <c r="DD259" s="409"/>
      <c r="DE259" s="409">
        <v>0</v>
      </c>
      <c r="DF259" s="409">
        <v>0</v>
      </c>
      <c r="DG259" s="409">
        <v>0</v>
      </c>
      <c r="DH259" s="409">
        <v>0</v>
      </c>
      <c r="DI259" s="409">
        <v>0</v>
      </c>
      <c r="DJ259" s="409"/>
      <c r="DK259" s="409">
        <v>0</v>
      </c>
      <c r="DL259" s="409">
        <v>0</v>
      </c>
      <c r="DM259" s="409"/>
      <c r="DN259" s="409">
        <v>0</v>
      </c>
      <c r="DO259" s="409">
        <v>0</v>
      </c>
      <c r="DP259" s="409">
        <v>0</v>
      </c>
      <c r="DQ259" s="409">
        <v>0</v>
      </c>
      <c r="DR259" s="409">
        <v>40.881801426052682</v>
      </c>
      <c r="DS259" s="409"/>
      <c r="DT259" s="409"/>
      <c r="DU259" s="409">
        <v>13281.591460987915</v>
      </c>
      <c r="DV259" s="409"/>
      <c r="DW259" s="409">
        <v>0</v>
      </c>
      <c r="DX259" s="409">
        <v>0</v>
      </c>
      <c r="DY259" s="409">
        <v>-1551.1200000000026</v>
      </c>
      <c r="DZ259" s="409"/>
      <c r="EA259" s="409">
        <v>0</v>
      </c>
      <c r="EB259" s="409"/>
      <c r="EC259" s="409">
        <v>-2111.1485646837755</v>
      </c>
      <c r="ED259" s="409"/>
      <c r="EE259" s="409">
        <v>0</v>
      </c>
      <c r="EF259" s="409">
        <v>0</v>
      </c>
      <c r="EG259" s="409"/>
      <c r="EH259" s="409">
        <v>0</v>
      </c>
      <c r="EI259" s="409">
        <v>0</v>
      </c>
      <c r="EJ259" s="409">
        <v>0</v>
      </c>
      <c r="EK259" s="409">
        <v>0</v>
      </c>
      <c r="EL259" s="409">
        <v>0</v>
      </c>
      <c r="EM259" s="409"/>
      <c r="EN259" s="409"/>
      <c r="EO259" s="409">
        <v>0</v>
      </c>
      <c r="EP259" s="409">
        <v>0</v>
      </c>
      <c r="EQ259" s="409"/>
      <c r="ER259" s="409">
        <v>0</v>
      </c>
      <c r="ES259" s="409"/>
      <c r="ET259" s="409">
        <v>0</v>
      </c>
      <c r="EU259" s="409"/>
      <c r="EV259" s="409">
        <v>210</v>
      </c>
      <c r="EW259" s="409"/>
      <c r="EX259" s="409"/>
      <c r="EY259" s="409"/>
      <c r="EZ259" s="409"/>
      <c r="FA259" s="409">
        <v>0</v>
      </c>
      <c r="FB259" s="409"/>
      <c r="FC259" s="409"/>
      <c r="FD259" s="409"/>
      <c r="FE259" s="409"/>
      <c r="FF259" s="409">
        <v>0</v>
      </c>
      <c r="FG259" s="409">
        <v>0</v>
      </c>
      <c r="FH259" s="409">
        <v>0</v>
      </c>
      <c r="FI259" s="409">
        <v>0</v>
      </c>
    </row>
    <row r="260" spans="1:165">
      <c r="A260" s="409">
        <v>258</v>
      </c>
      <c r="B260" s="409" t="s">
        <v>1035</v>
      </c>
      <c r="C260" s="409" t="s">
        <v>2241</v>
      </c>
      <c r="D260" s="409" t="s">
        <v>1992</v>
      </c>
      <c r="E260" s="409" t="s">
        <v>997</v>
      </c>
      <c r="F260" s="409" t="s">
        <v>1323</v>
      </c>
      <c r="G260" s="409" t="s">
        <v>1323</v>
      </c>
      <c r="H260" s="409" t="s">
        <v>1323</v>
      </c>
      <c r="I260" s="409" t="s">
        <v>1323</v>
      </c>
      <c r="J260" s="409" t="s">
        <v>2242</v>
      </c>
      <c r="K260" s="838">
        <v>44562</v>
      </c>
      <c r="L260" s="409">
        <v>0</v>
      </c>
      <c r="M260" s="409">
        <v>0</v>
      </c>
      <c r="N260" s="409">
        <v>61.015999999999998</v>
      </c>
      <c r="O260" s="409">
        <v>61.015999999999998</v>
      </c>
      <c r="P260" s="409">
        <v>61.015999999999998</v>
      </c>
      <c r="Q260" s="409">
        <v>61.015999999999998</v>
      </c>
      <c r="R260" s="409"/>
      <c r="S260" s="409">
        <v>358.62</v>
      </c>
      <c r="T260" s="409">
        <v>273.74</v>
      </c>
      <c r="U260" s="409"/>
      <c r="V260" s="409">
        <v>38584.07776</v>
      </c>
      <c r="W260" s="409">
        <v>38584.07776</v>
      </c>
      <c r="X260" s="409">
        <v>37411.35024</v>
      </c>
      <c r="Y260" s="409">
        <v>0</v>
      </c>
      <c r="Z260" s="409">
        <v>3683.8051341353239</v>
      </c>
      <c r="AA260" s="409">
        <v>0</v>
      </c>
      <c r="AB260" s="409">
        <v>0</v>
      </c>
      <c r="AC260" s="409">
        <v>0</v>
      </c>
      <c r="AD260" s="409">
        <v>5252.776995897344</v>
      </c>
      <c r="AE260" s="409">
        <v>12085.999981735225</v>
      </c>
      <c r="AF260" s="409">
        <v>16702.474669229599</v>
      </c>
      <c r="AG260" s="409">
        <v>0</v>
      </c>
      <c r="AH260" s="409">
        <v>0</v>
      </c>
      <c r="AI260" s="409">
        <v>0</v>
      </c>
      <c r="AJ260" s="409">
        <v>0</v>
      </c>
      <c r="AK260" s="409">
        <v>0</v>
      </c>
      <c r="AL260" s="409">
        <v>569.67886410701556</v>
      </c>
      <c r="AM260" s="409"/>
      <c r="AN260" s="409">
        <v>64.987615102741273</v>
      </c>
      <c r="AO260" s="409">
        <v>0</v>
      </c>
      <c r="AP260" s="409">
        <v>0</v>
      </c>
      <c r="AQ260" s="409">
        <v>0</v>
      </c>
      <c r="AR260" s="409">
        <v>0</v>
      </c>
      <c r="AS260" s="409">
        <v>0</v>
      </c>
      <c r="AT260" s="409">
        <v>0</v>
      </c>
      <c r="AU260" s="409">
        <v>0</v>
      </c>
      <c r="AV260" s="409">
        <v>0</v>
      </c>
      <c r="AW260" s="409">
        <v>0</v>
      </c>
      <c r="AX260" s="409">
        <v>0</v>
      </c>
      <c r="AY260" s="409">
        <v>0</v>
      </c>
      <c r="AZ260" s="409">
        <v>0</v>
      </c>
      <c r="BA260" s="409"/>
      <c r="BB260" s="409">
        <v>0</v>
      </c>
      <c r="BC260" s="409">
        <v>0</v>
      </c>
      <c r="BD260" s="409">
        <v>0</v>
      </c>
      <c r="BE260" s="409">
        <v>0</v>
      </c>
      <c r="BF260" s="409">
        <v>0</v>
      </c>
      <c r="BG260" s="409">
        <v>224.44285534475407</v>
      </c>
      <c r="BH260" s="409">
        <v>0</v>
      </c>
      <c r="BI260" s="409">
        <v>297.08</v>
      </c>
      <c r="BJ260" s="409">
        <v>1372.37</v>
      </c>
      <c r="BK260" s="409">
        <v>10480.030000000001</v>
      </c>
      <c r="BL260" s="409">
        <v>71</v>
      </c>
      <c r="BM260" s="409"/>
      <c r="BN260" s="409"/>
      <c r="BO260" s="409"/>
      <c r="BP260" s="409"/>
      <c r="BQ260" s="409"/>
      <c r="BR260" s="409"/>
      <c r="BS260" s="409"/>
      <c r="BT260" s="409"/>
      <c r="BU260" s="409"/>
      <c r="BV260" s="409">
        <v>16926.917524574354</v>
      </c>
      <c r="BW260" s="409"/>
      <c r="BX260" s="409"/>
      <c r="BY260" s="409"/>
      <c r="BZ260" s="409"/>
      <c r="CA260" s="409"/>
      <c r="CB260" s="409"/>
      <c r="CC260" s="409"/>
      <c r="CD260" s="409"/>
      <c r="CE260" s="409"/>
      <c r="CF260" s="409"/>
      <c r="CG260" s="409"/>
      <c r="CH260" s="409"/>
      <c r="CI260" s="409">
        <v>37413.802800000005</v>
      </c>
      <c r="CJ260" s="409">
        <v>-1170.304959999994</v>
      </c>
      <c r="CK260" s="409"/>
      <c r="CL260" s="409"/>
      <c r="CM260" s="409"/>
      <c r="CN260" s="409"/>
      <c r="CO260" s="409">
        <v>-1965.9355200000016</v>
      </c>
      <c r="CP260" s="409">
        <v>793.20799999999997</v>
      </c>
      <c r="CQ260" s="409">
        <v>31</v>
      </c>
      <c r="CR260" s="409">
        <v>748.17088431916636</v>
      </c>
      <c r="CS260" s="409">
        <v>0</v>
      </c>
      <c r="CT260" s="409">
        <v>0</v>
      </c>
      <c r="CU260" s="409">
        <v>0</v>
      </c>
      <c r="CV260" s="409">
        <v>0</v>
      </c>
      <c r="CW260" s="409">
        <v>0</v>
      </c>
      <c r="CX260" s="409">
        <v>0</v>
      </c>
      <c r="CY260" s="409">
        <v>0</v>
      </c>
      <c r="CZ260" s="409">
        <v>180.05701213932934</v>
      </c>
      <c r="DA260" s="409">
        <v>0</v>
      </c>
      <c r="DB260" s="409">
        <v>0</v>
      </c>
      <c r="DC260" s="409">
        <v>899.75764155440265</v>
      </c>
      <c r="DD260" s="409">
        <v>0</v>
      </c>
      <c r="DE260" s="409">
        <v>0</v>
      </c>
      <c r="DF260" s="409">
        <v>0</v>
      </c>
      <c r="DG260" s="409">
        <v>12.090673878450701</v>
      </c>
      <c r="DH260" s="409">
        <v>0</v>
      </c>
      <c r="DI260" s="409">
        <v>-234.81043655019539</v>
      </c>
      <c r="DJ260" s="409"/>
      <c r="DK260" s="409">
        <v>0</v>
      </c>
      <c r="DL260" s="409">
        <v>0</v>
      </c>
      <c r="DM260" s="409">
        <v>0</v>
      </c>
      <c r="DN260" s="409">
        <v>0</v>
      </c>
      <c r="DO260" s="409">
        <v>-29.869286929952978</v>
      </c>
      <c r="DP260" s="409">
        <v>-4.2878451816065279</v>
      </c>
      <c r="DQ260" s="409">
        <v>0</v>
      </c>
      <c r="DR260" s="409">
        <v>-74.766874591259707</v>
      </c>
      <c r="DS260" s="409"/>
      <c r="DT260" s="409"/>
      <c r="DU260" s="409"/>
      <c r="DV260" s="409">
        <v>12085.999981735225</v>
      </c>
      <c r="DW260" s="409">
        <v>0</v>
      </c>
      <c r="DX260" s="409">
        <v>0</v>
      </c>
      <c r="DY260" s="409">
        <v>-1965.9355200000027</v>
      </c>
      <c r="DZ260" s="409">
        <v>793.20799999999872</v>
      </c>
      <c r="EA260" s="409">
        <v>0</v>
      </c>
      <c r="EB260" s="409">
        <v>0</v>
      </c>
      <c r="EC260" s="409">
        <v>-1921.1057341400083</v>
      </c>
      <c r="ED260" s="409">
        <v>0</v>
      </c>
      <c r="EE260" s="409">
        <v>0</v>
      </c>
      <c r="EF260" s="409">
        <v>0</v>
      </c>
      <c r="EG260" s="409">
        <v>0</v>
      </c>
      <c r="EH260" s="409">
        <v>0</v>
      </c>
      <c r="EI260" s="409">
        <v>0</v>
      </c>
      <c r="EJ260" s="409">
        <v>0</v>
      </c>
      <c r="EK260" s="409">
        <v>0</v>
      </c>
      <c r="EL260" s="409">
        <v>0</v>
      </c>
      <c r="EM260" s="409">
        <v>0</v>
      </c>
      <c r="EN260" s="409">
        <v>0</v>
      </c>
      <c r="EO260" s="409">
        <v>0</v>
      </c>
      <c r="EP260" s="409">
        <v>0</v>
      </c>
      <c r="EQ260" s="409">
        <v>0</v>
      </c>
      <c r="ER260" s="409">
        <v>0</v>
      </c>
      <c r="ES260" s="409">
        <v>0</v>
      </c>
      <c r="ET260" s="409">
        <v>0</v>
      </c>
      <c r="EU260" s="409">
        <v>0</v>
      </c>
      <c r="EV260" s="409">
        <v>210</v>
      </c>
      <c r="EW260" s="409">
        <v>0</v>
      </c>
      <c r="EX260" s="409">
        <v>0</v>
      </c>
      <c r="EY260" s="409">
        <v>0</v>
      </c>
      <c r="EZ260" s="409"/>
      <c r="FA260" s="409">
        <v>0</v>
      </c>
      <c r="FB260" s="409"/>
      <c r="FC260" s="409"/>
      <c r="FD260" s="409"/>
      <c r="FE260" s="409"/>
      <c r="FF260" s="409">
        <v>0</v>
      </c>
      <c r="FG260" s="409">
        <v>0</v>
      </c>
      <c r="FH260" s="409">
        <v>0</v>
      </c>
      <c r="FI260" s="409">
        <v>0</v>
      </c>
    </row>
    <row r="261" spans="1:165">
      <c r="A261" s="409">
        <v>259</v>
      </c>
      <c r="B261" s="409" t="s">
        <v>2240</v>
      </c>
      <c r="C261" s="409" t="s">
        <v>2241</v>
      </c>
      <c r="D261" s="409" t="s">
        <v>1992</v>
      </c>
      <c r="E261" s="409" t="s">
        <v>997</v>
      </c>
      <c r="F261" s="409" t="s">
        <v>1323</v>
      </c>
      <c r="G261" s="409" t="s">
        <v>1323</v>
      </c>
      <c r="H261" s="409" t="s">
        <v>1323</v>
      </c>
      <c r="I261" s="409" t="s">
        <v>1323</v>
      </c>
      <c r="J261" s="409" t="s">
        <v>2242</v>
      </c>
      <c r="K261" s="838">
        <v>44562</v>
      </c>
      <c r="L261" s="409">
        <v>0</v>
      </c>
      <c r="M261" s="409">
        <v>0</v>
      </c>
      <c r="N261" s="409">
        <v>0.1</v>
      </c>
      <c r="O261" s="409">
        <v>0.1</v>
      </c>
      <c r="P261" s="409">
        <v>0.1</v>
      </c>
      <c r="Q261" s="409">
        <v>0.1</v>
      </c>
      <c r="R261" s="409"/>
      <c r="S261" s="409">
        <v>358.62</v>
      </c>
      <c r="T261" s="409">
        <v>273.74</v>
      </c>
      <c r="U261" s="409"/>
      <c r="V261" s="409">
        <v>63.236000000000004</v>
      </c>
      <c r="W261" s="409">
        <v>63.236000000000004</v>
      </c>
      <c r="X261" s="409">
        <v>61.314000000000007</v>
      </c>
      <c r="Y261" s="409">
        <v>0</v>
      </c>
      <c r="Z261" s="409">
        <v>6.03744121891852</v>
      </c>
      <c r="AA261" s="409">
        <v>0</v>
      </c>
      <c r="AB261" s="409">
        <v>0</v>
      </c>
      <c r="AC261" s="409">
        <v>0</v>
      </c>
      <c r="AD261" s="409">
        <v>8.6088517698592906</v>
      </c>
      <c r="AE261" s="409">
        <v>19.807919204364801</v>
      </c>
      <c r="AF261" s="409">
        <v>27.373925968974699</v>
      </c>
      <c r="AG261" s="409">
        <v>0</v>
      </c>
      <c r="AH261" s="409">
        <v>0</v>
      </c>
      <c r="AI261" s="409">
        <v>0</v>
      </c>
      <c r="AJ261" s="409">
        <v>0</v>
      </c>
      <c r="AK261" s="409">
        <v>0</v>
      </c>
      <c r="AL261" s="409">
        <v>0.93365488414025111</v>
      </c>
      <c r="AM261" s="409"/>
      <c r="AN261" s="409">
        <v>0.10650913711607</v>
      </c>
      <c r="AO261" s="409">
        <v>0</v>
      </c>
      <c r="AP261" s="409">
        <v>0</v>
      </c>
      <c r="AQ261" s="409">
        <v>0</v>
      </c>
      <c r="AR261" s="409">
        <v>0</v>
      </c>
      <c r="AS261" s="409">
        <v>0</v>
      </c>
      <c r="AT261" s="409">
        <v>0</v>
      </c>
      <c r="AU261" s="409">
        <v>0</v>
      </c>
      <c r="AV261" s="409">
        <v>0</v>
      </c>
      <c r="AW261" s="409">
        <v>0</v>
      </c>
      <c r="AX261" s="409">
        <v>0</v>
      </c>
      <c r="AY261" s="409">
        <v>0</v>
      </c>
      <c r="AZ261" s="409">
        <v>0</v>
      </c>
      <c r="BA261" s="409"/>
      <c r="BB261" s="409">
        <v>0</v>
      </c>
      <c r="BC261" s="409">
        <v>0</v>
      </c>
      <c r="BD261" s="409">
        <v>0</v>
      </c>
      <c r="BE261" s="409">
        <v>0</v>
      </c>
      <c r="BF261" s="409">
        <v>0</v>
      </c>
      <c r="BG261" s="409">
        <v>0.36784262381138405</v>
      </c>
      <c r="BH261" s="409">
        <v>0</v>
      </c>
      <c r="BI261" s="409">
        <v>0.62</v>
      </c>
      <c r="BJ261" s="409">
        <v>2.89</v>
      </c>
      <c r="BK261" s="409">
        <v>205.99</v>
      </c>
      <c r="BL261" s="409">
        <v>1</v>
      </c>
      <c r="BM261" s="409"/>
      <c r="BN261" s="409"/>
      <c r="BO261" s="409"/>
      <c r="BP261" s="409"/>
      <c r="BQ261" s="409"/>
      <c r="BR261" s="409"/>
      <c r="BS261" s="409"/>
      <c r="BT261" s="409"/>
      <c r="BU261" s="409"/>
      <c r="BV261" s="409">
        <v>27.741768592786084</v>
      </c>
      <c r="BW261" s="409"/>
      <c r="BX261" s="409"/>
      <c r="BY261" s="409"/>
      <c r="BZ261" s="409"/>
      <c r="CA261" s="409"/>
      <c r="CB261" s="409"/>
      <c r="CC261" s="409"/>
      <c r="CD261" s="409"/>
      <c r="CE261" s="409"/>
      <c r="CF261" s="409"/>
      <c r="CG261" s="409"/>
      <c r="CH261" s="409"/>
      <c r="CI261" s="409">
        <v>61.314000000000007</v>
      </c>
      <c r="CJ261" s="409">
        <v>-1.9519999999999911</v>
      </c>
      <c r="CK261" s="409"/>
      <c r="CL261" s="409"/>
      <c r="CM261" s="409"/>
      <c r="CN261" s="409"/>
      <c r="CO261" s="409">
        <v>-3.2220000000000031</v>
      </c>
      <c r="CP261" s="409">
        <v>1.3</v>
      </c>
      <c r="CQ261" s="409">
        <v>31</v>
      </c>
      <c r="CR261" s="409">
        <v>1.2261880233367748</v>
      </c>
      <c r="CS261" s="409">
        <v>0</v>
      </c>
      <c r="CT261" s="409">
        <v>0</v>
      </c>
      <c r="CU261" s="409">
        <v>0</v>
      </c>
      <c r="CV261" s="409">
        <v>0</v>
      </c>
      <c r="CW261" s="409">
        <v>0</v>
      </c>
      <c r="CX261" s="409">
        <v>0</v>
      </c>
      <c r="CY261" s="409">
        <v>0</v>
      </c>
      <c r="CZ261" s="409">
        <v>0.29509802697543108</v>
      </c>
      <c r="DA261" s="409">
        <v>0</v>
      </c>
      <c r="DB261" s="409">
        <v>0</v>
      </c>
      <c r="DC261" s="409">
        <v>1.4746257400590004</v>
      </c>
      <c r="DD261" s="409">
        <v>0</v>
      </c>
      <c r="DE261" s="409">
        <v>0</v>
      </c>
      <c r="DF261" s="409">
        <v>0</v>
      </c>
      <c r="DG261" s="409">
        <v>1.9815579320916987E-2</v>
      </c>
      <c r="DH261" s="409">
        <v>0</v>
      </c>
      <c r="DI261" s="409">
        <v>-0.38483420176707028</v>
      </c>
      <c r="DJ261" s="409"/>
      <c r="DK261" s="409">
        <v>0</v>
      </c>
      <c r="DL261" s="409">
        <v>0</v>
      </c>
      <c r="DM261" s="409">
        <v>0</v>
      </c>
      <c r="DN261" s="409">
        <v>0</v>
      </c>
      <c r="DO261" s="409">
        <v>-4.8953203962817993E-2</v>
      </c>
      <c r="DP261" s="409">
        <v>-7.0274111406950918E-3</v>
      </c>
      <c r="DQ261" s="409">
        <v>0</v>
      </c>
      <c r="DR261" s="409">
        <v>-0.12253650614799351</v>
      </c>
      <c r="DS261" s="409"/>
      <c r="DT261" s="409"/>
      <c r="DU261" s="409"/>
      <c r="DV261" s="409">
        <v>19.807919204364801</v>
      </c>
      <c r="DW261" s="409">
        <v>0</v>
      </c>
      <c r="DX261" s="409">
        <v>0</v>
      </c>
      <c r="DY261" s="409">
        <v>-3.2220000000000013</v>
      </c>
      <c r="DZ261" s="409">
        <v>1.3000000000000007</v>
      </c>
      <c r="EA261" s="409">
        <v>0</v>
      </c>
      <c r="EB261" s="409">
        <v>0</v>
      </c>
      <c r="EC261" s="409">
        <v>-3.1485278191622008</v>
      </c>
      <c r="ED261" s="409">
        <v>0</v>
      </c>
      <c r="EE261" s="409">
        <v>0</v>
      </c>
      <c r="EF261" s="409">
        <v>0</v>
      </c>
      <c r="EG261" s="409">
        <v>0</v>
      </c>
      <c r="EH261" s="409">
        <v>0</v>
      </c>
      <c r="EI261" s="409">
        <v>0</v>
      </c>
      <c r="EJ261" s="409">
        <v>0</v>
      </c>
      <c r="EK261" s="409">
        <v>0</v>
      </c>
      <c r="EL261" s="409">
        <v>0</v>
      </c>
      <c r="EM261" s="409">
        <v>0</v>
      </c>
      <c r="EN261" s="409">
        <v>0</v>
      </c>
      <c r="EO261" s="409">
        <v>0</v>
      </c>
      <c r="EP261" s="409">
        <v>0</v>
      </c>
      <c r="EQ261" s="409">
        <v>0</v>
      </c>
      <c r="ER261" s="409">
        <v>0</v>
      </c>
      <c r="ES261" s="409">
        <v>0</v>
      </c>
      <c r="ET261" s="409">
        <v>0</v>
      </c>
      <c r="EU261" s="409">
        <v>0</v>
      </c>
      <c r="EV261" s="409">
        <v>210</v>
      </c>
      <c r="EW261" s="409">
        <v>0</v>
      </c>
      <c r="EX261" s="409">
        <v>0</v>
      </c>
      <c r="EY261" s="409">
        <v>0</v>
      </c>
      <c r="EZ261" s="409"/>
      <c r="FA261" s="409">
        <v>0</v>
      </c>
      <c r="FB261" s="409"/>
      <c r="FC261" s="409"/>
      <c r="FD261" s="409"/>
      <c r="FE261" s="409"/>
      <c r="FF261" s="409">
        <v>0</v>
      </c>
      <c r="FG261" s="409">
        <v>0</v>
      </c>
      <c r="FH261" s="409">
        <v>0</v>
      </c>
      <c r="FI261" s="409">
        <v>0</v>
      </c>
    </row>
    <row r="262" spans="1:165">
      <c r="A262" s="409">
        <v>260</v>
      </c>
      <c r="B262" s="409" t="s">
        <v>1035</v>
      </c>
      <c r="C262" s="409" t="s">
        <v>2246</v>
      </c>
      <c r="D262" s="409" t="s">
        <v>595</v>
      </c>
      <c r="E262" s="409" t="s">
        <v>997</v>
      </c>
      <c r="F262" s="409" t="s">
        <v>1323</v>
      </c>
      <c r="G262" s="409" t="s">
        <v>1323</v>
      </c>
      <c r="H262" s="409" t="s">
        <v>1323</v>
      </c>
      <c r="I262" s="409" t="s">
        <v>972</v>
      </c>
      <c r="J262" s="409" t="s">
        <v>2242</v>
      </c>
      <c r="K262" s="838">
        <v>44562</v>
      </c>
      <c r="L262" s="409">
        <v>0</v>
      </c>
      <c r="M262" s="409">
        <v>0</v>
      </c>
      <c r="N262" s="409">
        <v>0.29399999999999998</v>
      </c>
      <c r="O262" s="409">
        <v>0.29399999999999998</v>
      </c>
      <c r="P262" s="409">
        <v>0.29399999999999998</v>
      </c>
      <c r="Q262" s="409">
        <v>0.29399999999999998</v>
      </c>
      <c r="R262" s="409"/>
      <c r="S262" s="409">
        <v>1856.88</v>
      </c>
      <c r="T262" s="409">
        <v>273.74</v>
      </c>
      <c r="U262" s="409"/>
      <c r="V262" s="409">
        <v>626.40228000000002</v>
      </c>
      <c r="W262" s="409">
        <v>626.40228000000002</v>
      </c>
      <c r="X262" s="409">
        <v>573.96737999999993</v>
      </c>
      <c r="Y262" s="409">
        <v>0</v>
      </c>
      <c r="Z262" s="409">
        <v>15.442567149749783</v>
      </c>
      <c r="AA262" s="409">
        <v>0</v>
      </c>
      <c r="AB262" s="409">
        <v>0</v>
      </c>
      <c r="AC262" s="409">
        <v>0</v>
      </c>
      <c r="AD262" s="409">
        <v>144.0870099050517</v>
      </c>
      <c r="AE262" s="409">
        <v>382.90016716238404</v>
      </c>
      <c r="AF262" s="409">
        <v>80.479342348785607</v>
      </c>
      <c r="AG262" s="409">
        <v>0</v>
      </c>
      <c r="AH262" s="409">
        <v>0</v>
      </c>
      <c r="AI262" s="409">
        <v>0</v>
      </c>
      <c r="AJ262" s="409">
        <v>0</v>
      </c>
      <c r="AK262" s="409">
        <v>0</v>
      </c>
      <c r="AL262" s="409">
        <v>2.7449453593723381</v>
      </c>
      <c r="AM262" s="409"/>
      <c r="AN262" s="409">
        <v>0.2552178455892038</v>
      </c>
      <c r="AO262" s="409">
        <v>0</v>
      </c>
      <c r="AP262" s="409">
        <v>0</v>
      </c>
      <c r="AQ262" s="409">
        <v>0</v>
      </c>
      <c r="AR262" s="409">
        <v>0</v>
      </c>
      <c r="AS262" s="409">
        <v>0</v>
      </c>
      <c r="AT262" s="409">
        <v>0</v>
      </c>
      <c r="AU262" s="409">
        <v>0</v>
      </c>
      <c r="AV262" s="409">
        <v>0</v>
      </c>
      <c r="AW262" s="409">
        <v>0</v>
      </c>
      <c r="AX262" s="409">
        <v>0</v>
      </c>
      <c r="AY262" s="409">
        <v>0</v>
      </c>
      <c r="AZ262" s="409">
        <v>0</v>
      </c>
      <c r="BA262" s="409"/>
      <c r="BB262" s="409">
        <v>0</v>
      </c>
      <c r="BC262" s="409">
        <v>0</v>
      </c>
      <c r="BD262" s="409">
        <v>0</v>
      </c>
      <c r="BE262" s="409">
        <v>0</v>
      </c>
      <c r="BF262" s="409">
        <v>0</v>
      </c>
      <c r="BG262" s="409">
        <v>0.49195780666981748</v>
      </c>
      <c r="BH262" s="409">
        <v>0</v>
      </c>
      <c r="BI262" s="409">
        <v>0</v>
      </c>
      <c r="BJ262" s="409">
        <v>0</v>
      </c>
      <c r="BK262" s="409">
        <v>0</v>
      </c>
      <c r="BL262" s="409">
        <v>0</v>
      </c>
      <c r="BM262" s="409"/>
      <c r="BN262" s="409"/>
      <c r="BO262" s="409"/>
      <c r="BP262" s="409"/>
      <c r="BQ262" s="409"/>
      <c r="BR262" s="409"/>
      <c r="BS262" s="409"/>
      <c r="BT262" s="409"/>
      <c r="BU262" s="409"/>
      <c r="BV262" s="409">
        <v>80.971300155455424</v>
      </c>
      <c r="BW262" s="409"/>
      <c r="BX262" s="409"/>
      <c r="BY262" s="409"/>
      <c r="BZ262" s="409"/>
      <c r="CA262" s="409"/>
      <c r="CB262" s="409"/>
      <c r="CC262" s="409"/>
      <c r="CD262" s="409"/>
      <c r="CE262" s="409"/>
      <c r="CF262" s="409"/>
      <c r="CG262" s="409"/>
      <c r="CH262" s="409"/>
      <c r="CI262" s="409">
        <v>566.15829999999994</v>
      </c>
      <c r="CJ262" s="409">
        <v>-60.273980000000051</v>
      </c>
      <c r="CK262" s="409"/>
      <c r="CL262" s="409"/>
      <c r="CM262" s="409"/>
      <c r="CN262" s="409"/>
      <c r="CO262" s="409">
        <v>-56.256900000000037</v>
      </c>
      <c r="CP262" s="409">
        <v>3.8219999999999996</v>
      </c>
      <c r="CQ262" s="409">
        <v>31</v>
      </c>
      <c r="CR262" s="409">
        <v>8.4313835646959205</v>
      </c>
      <c r="CS262" s="409">
        <v>0</v>
      </c>
      <c r="CT262" s="409">
        <v>0</v>
      </c>
      <c r="CU262" s="409">
        <v>0</v>
      </c>
      <c r="CV262" s="409">
        <v>0</v>
      </c>
      <c r="CW262" s="409">
        <v>0</v>
      </c>
      <c r="CX262" s="409">
        <v>0</v>
      </c>
      <c r="CY262" s="409">
        <v>0</v>
      </c>
      <c r="CZ262" s="409">
        <v>4.9390782269751696</v>
      </c>
      <c r="DA262" s="409">
        <v>0</v>
      </c>
      <c r="DB262" s="409">
        <v>0</v>
      </c>
      <c r="DC262" s="409">
        <v>4.3353996757734592</v>
      </c>
      <c r="DD262" s="409">
        <v>0</v>
      </c>
      <c r="DE262" s="409">
        <v>0</v>
      </c>
      <c r="DF262" s="409">
        <v>0</v>
      </c>
      <c r="DG262" s="409">
        <v>2.6501629527331483E-2</v>
      </c>
      <c r="DH262" s="409">
        <v>0</v>
      </c>
      <c r="DI262" s="409">
        <v>-0.98432892127980942</v>
      </c>
      <c r="DJ262" s="409"/>
      <c r="DK262" s="409">
        <v>0</v>
      </c>
      <c r="DL262" s="409">
        <v>0</v>
      </c>
      <c r="DM262" s="409">
        <v>0</v>
      </c>
      <c r="DN262" s="409">
        <v>0</v>
      </c>
      <c r="DO262" s="409">
        <v>-0.1439224196506852</v>
      </c>
      <c r="DP262" s="409">
        <v>-1.6839125543221811E-2</v>
      </c>
      <c r="DQ262" s="409">
        <v>0</v>
      </c>
      <c r="DR262" s="409">
        <v>0.27549449889370459</v>
      </c>
      <c r="DS262" s="409"/>
      <c r="DT262" s="409"/>
      <c r="DU262" s="409"/>
      <c r="DV262" s="409">
        <v>382.90016716238404</v>
      </c>
      <c r="DW262" s="409">
        <v>0</v>
      </c>
      <c r="DX262" s="409">
        <v>0</v>
      </c>
      <c r="DY262" s="409">
        <v>-56.256900000000087</v>
      </c>
      <c r="DZ262" s="409">
        <v>3.8220000000000027</v>
      </c>
      <c r="EA262" s="409">
        <v>0</v>
      </c>
      <c r="EB262" s="409">
        <v>0</v>
      </c>
      <c r="EC262" s="409">
        <v>-60.863123270762856</v>
      </c>
      <c r="ED262" s="409">
        <v>0</v>
      </c>
      <c r="EE262" s="409">
        <v>0</v>
      </c>
      <c r="EF262" s="409">
        <v>0</v>
      </c>
      <c r="EG262" s="409">
        <v>0</v>
      </c>
      <c r="EH262" s="409">
        <v>0</v>
      </c>
      <c r="EI262" s="409">
        <v>0</v>
      </c>
      <c r="EJ262" s="409">
        <v>0</v>
      </c>
      <c r="EK262" s="409">
        <v>0</v>
      </c>
      <c r="EL262" s="409">
        <v>0</v>
      </c>
      <c r="EM262" s="409">
        <v>0</v>
      </c>
      <c r="EN262" s="409">
        <v>0</v>
      </c>
      <c r="EO262" s="409">
        <v>0</v>
      </c>
      <c r="EP262" s="409">
        <v>0</v>
      </c>
      <c r="EQ262" s="409">
        <v>0</v>
      </c>
      <c r="ER262" s="409">
        <v>0</v>
      </c>
      <c r="ES262" s="409">
        <v>0</v>
      </c>
      <c r="ET262" s="409">
        <v>0</v>
      </c>
      <c r="EU262" s="409">
        <v>0</v>
      </c>
      <c r="EV262" s="409">
        <v>210</v>
      </c>
      <c r="EW262" s="409">
        <v>0</v>
      </c>
      <c r="EX262" s="409">
        <v>0</v>
      </c>
      <c r="EY262" s="409">
        <v>0</v>
      </c>
      <c r="EZ262" s="409"/>
      <c r="FA262" s="409">
        <v>0</v>
      </c>
      <c r="FB262" s="409"/>
      <c r="FC262" s="409"/>
      <c r="FD262" s="409"/>
      <c r="FE262" s="409"/>
      <c r="FF262" s="409">
        <v>0</v>
      </c>
      <c r="FG262" s="409">
        <v>0</v>
      </c>
      <c r="FH262" s="409">
        <v>0</v>
      </c>
      <c r="FI262" s="409">
        <v>0</v>
      </c>
    </row>
    <row r="263" spans="1:165">
      <c r="A263" s="409">
        <v>261</v>
      </c>
      <c r="B263" s="409" t="s">
        <v>1035</v>
      </c>
      <c r="C263" s="409" t="s">
        <v>2246</v>
      </c>
      <c r="D263" s="409" t="s">
        <v>595</v>
      </c>
      <c r="E263" s="409" t="s">
        <v>997</v>
      </c>
      <c r="F263" s="409" t="s">
        <v>1323</v>
      </c>
      <c r="G263" s="409" t="s">
        <v>1323</v>
      </c>
      <c r="H263" s="409" t="s">
        <v>1323</v>
      </c>
      <c r="I263" s="409" t="s">
        <v>2234</v>
      </c>
      <c r="J263" s="409" t="s">
        <v>2242</v>
      </c>
      <c r="K263" s="838">
        <v>44562</v>
      </c>
      <c r="L263" s="409">
        <v>0</v>
      </c>
      <c r="M263" s="409">
        <v>0</v>
      </c>
      <c r="N263" s="409">
        <v>23.805</v>
      </c>
      <c r="O263" s="409">
        <v>23.805</v>
      </c>
      <c r="P263" s="409">
        <v>23.805</v>
      </c>
      <c r="Q263" s="409">
        <v>23.805</v>
      </c>
      <c r="R263" s="409"/>
      <c r="S263" s="409">
        <v>64.400000000000006</v>
      </c>
      <c r="T263" s="409">
        <v>273.74</v>
      </c>
      <c r="U263" s="409"/>
      <c r="V263" s="409">
        <v>8049.4227000000001</v>
      </c>
      <c r="W263" s="409">
        <v>8049.4227000000001</v>
      </c>
      <c r="X263" s="409">
        <v>8270.5711499999998</v>
      </c>
      <c r="Y263" s="409">
        <v>0</v>
      </c>
      <c r="Z263" s="409">
        <v>1250.375207482291</v>
      </c>
      <c r="AA263" s="409">
        <v>0</v>
      </c>
      <c r="AB263" s="409">
        <v>0</v>
      </c>
      <c r="AC263" s="409">
        <v>0</v>
      </c>
      <c r="AD263" s="409">
        <v>0</v>
      </c>
      <c r="AE263" s="409">
        <v>0</v>
      </c>
      <c r="AF263" s="409">
        <v>6516.3630769144265</v>
      </c>
      <c r="AG263" s="409">
        <v>0</v>
      </c>
      <c r="AH263" s="409">
        <v>0</v>
      </c>
      <c r="AI263" s="409">
        <v>0</v>
      </c>
      <c r="AJ263" s="409">
        <v>0</v>
      </c>
      <c r="AK263" s="409">
        <v>0</v>
      </c>
      <c r="AL263" s="409">
        <v>222.25654516958676</v>
      </c>
      <c r="AM263" s="409"/>
      <c r="AN263" s="409">
        <v>20.664832701534003</v>
      </c>
      <c r="AO263" s="409">
        <v>0</v>
      </c>
      <c r="AP263" s="409">
        <v>0</v>
      </c>
      <c r="AQ263" s="409">
        <v>0</v>
      </c>
      <c r="AR263" s="409">
        <v>0</v>
      </c>
      <c r="AS263" s="409">
        <v>0</v>
      </c>
      <c r="AT263" s="409">
        <v>0</v>
      </c>
      <c r="AU263" s="409">
        <v>0</v>
      </c>
      <c r="AV263" s="409">
        <v>0</v>
      </c>
      <c r="AW263" s="409">
        <v>0</v>
      </c>
      <c r="AX263" s="409">
        <v>0</v>
      </c>
      <c r="AY263" s="409">
        <v>0</v>
      </c>
      <c r="AZ263" s="409">
        <v>0</v>
      </c>
      <c r="BA263" s="409"/>
      <c r="BB263" s="409">
        <v>0</v>
      </c>
      <c r="BC263" s="409">
        <v>0</v>
      </c>
      <c r="BD263" s="409">
        <v>0</v>
      </c>
      <c r="BE263" s="409">
        <v>0</v>
      </c>
      <c r="BF263" s="409">
        <v>0</v>
      </c>
      <c r="BG263" s="409">
        <v>39.833522407397979</v>
      </c>
      <c r="BH263" s="409">
        <v>0</v>
      </c>
      <c r="BI263" s="409">
        <v>0</v>
      </c>
      <c r="BJ263" s="409">
        <v>0</v>
      </c>
      <c r="BK263" s="409">
        <v>0</v>
      </c>
      <c r="BL263" s="409">
        <v>0</v>
      </c>
      <c r="BM263" s="409"/>
      <c r="BN263" s="409"/>
      <c r="BO263" s="409"/>
      <c r="BP263" s="409"/>
      <c r="BQ263" s="409"/>
      <c r="BR263" s="409"/>
      <c r="BS263" s="409"/>
      <c r="BT263" s="409"/>
      <c r="BU263" s="409"/>
      <c r="BV263" s="409">
        <v>6556.1965993218246</v>
      </c>
      <c r="BW263" s="409"/>
      <c r="BX263" s="409"/>
      <c r="BY263" s="409"/>
      <c r="BZ263" s="409"/>
      <c r="CA263" s="409"/>
      <c r="CB263" s="409"/>
      <c r="CC263" s="409"/>
      <c r="CD263" s="409"/>
      <c r="CE263" s="409"/>
      <c r="CF263" s="409"/>
      <c r="CG263" s="409"/>
      <c r="CH263" s="409"/>
      <c r="CI263" s="409">
        <v>8272.3082999999988</v>
      </c>
      <c r="CJ263" s="409">
        <v>222.85559999999896</v>
      </c>
      <c r="CK263" s="409"/>
      <c r="CL263" s="409"/>
      <c r="CM263" s="409"/>
      <c r="CN263" s="409"/>
      <c r="CO263" s="409">
        <v>-88.316550000000191</v>
      </c>
      <c r="CP263" s="409">
        <v>309.46499999999997</v>
      </c>
      <c r="CQ263" s="409">
        <v>31</v>
      </c>
      <c r="CR263" s="409">
        <v>221.18474903825336</v>
      </c>
      <c r="CS263" s="409">
        <v>0</v>
      </c>
      <c r="CT263" s="409">
        <v>0</v>
      </c>
      <c r="CU263" s="409">
        <v>0</v>
      </c>
      <c r="CV263" s="409">
        <v>0</v>
      </c>
      <c r="CW263" s="409">
        <v>0</v>
      </c>
      <c r="CX263" s="409">
        <v>0</v>
      </c>
      <c r="CY263" s="409">
        <v>0</v>
      </c>
      <c r="CZ263" s="409">
        <v>0</v>
      </c>
      <c r="DA263" s="409">
        <v>0</v>
      </c>
      <c r="DB263" s="409">
        <v>0</v>
      </c>
      <c r="DC263" s="409">
        <v>351.03465742104527</v>
      </c>
      <c r="DD263" s="409">
        <v>0</v>
      </c>
      <c r="DE263" s="409">
        <v>0</v>
      </c>
      <c r="DF263" s="409">
        <v>0</v>
      </c>
      <c r="DG263" s="409">
        <v>2.1458207173405626</v>
      </c>
      <c r="DH263" s="409">
        <v>0</v>
      </c>
      <c r="DI263" s="409">
        <v>-79.700510105666126</v>
      </c>
      <c r="DJ263" s="409"/>
      <c r="DK263" s="409">
        <v>0</v>
      </c>
      <c r="DL263" s="409">
        <v>0</v>
      </c>
      <c r="DM263" s="409">
        <v>0</v>
      </c>
      <c r="DN263" s="409">
        <v>0</v>
      </c>
      <c r="DO263" s="409">
        <v>-11.653310203348838</v>
      </c>
      <c r="DP263" s="409">
        <v>-1.3634536855659718</v>
      </c>
      <c r="DQ263" s="409">
        <v>0</v>
      </c>
      <c r="DR263" s="409">
        <v>-39.278455105552673</v>
      </c>
      <c r="DS263" s="409"/>
      <c r="DT263" s="409"/>
      <c r="DU263" s="409"/>
      <c r="DV263" s="409">
        <v>0</v>
      </c>
      <c r="DW263" s="409">
        <v>0</v>
      </c>
      <c r="DX263" s="409">
        <v>0</v>
      </c>
      <c r="DY263" s="409">
        <v>-88.316550000000234</v>
      </c>
      <c r="DZ263" s="409">
        <v>309.46500000000015</v>
      </c>
      <c r="EA263" s="409">
        <v>0</v>
      </c>
      <c r="EB263" s="409">
        <v>0</v>
      </c>
      <c r="EC263" s="409">
        <v>0</v>
      </c>
      <c r="ED263" s="409">
        <v>0</v>
      </c>
      <c r="EE263" s="409">
        <v>0</v>
      </c>
      <c r="EF263" s="409">
        <v>0</v>
      </c>
      <c r="EG263" s="409">
        <v>0</v>
      </c>
      <c r="EH263" s="409">
        <v>0</v>
      </c>
      <c r="EI263" s="409">
        <v>0</v>
      </c>
      <c r="EJ263" s="409">
        <v>0</v>
      </c>
      <c r="EK263" s="409">
        <v>0</v>
      </c>
      <c r="EL263" s="409">
        <v>0</v>
      </c>
      <c r="EM263" s="409">
        <v>0</v>
      </c>
      <c r="EN263" s="409">
        <v>0</v>
      </c>
      <c r="EO263" s="409">
        <v>0</v>
      </c>
      <c r="EP263" s="409">
        <v>0</v>
      </c>
      <c r="EQ263" s="409">
        <v>0</v>
      </c>
      <c r="ER263" s="409">
        <v>0</v>
      </c>
      <c r="ES263" s="409">
        <v>0</v>
      </c>
      <c r="ET263" s="409">
        <v>0</v>
      </c>
      <c r="EU263" s="409">
        <v>0</v>
      </c>
      <c r="EV263" s="409">
        <v>210</v>
      </c>
      <c r="EW263" s="409">
        <v>0</v>
      </c>
      <c r="EX263" s="409">
        <v>0</v>
      </c>
      <c r="EY263" s="409">
        <v>0</v>
      </c>
      <c r="EZ263" s="409"/>
      <c r="FA263" s="409">
        <v>0</v>
      </c>
      <c r="FB263" s="409"/>
      <c r="FC263" s="409"/>
      <c r="FD263" s="409"/>
      <c r="FE263" s="409"/>
      <c r="FF263" s="409">
        <v>0</v>
      </c>
      <c r="FG263" s="409">
        <v>0</v>
      </c>
      <c r="FH263" s="409">
        <v>0</v>
      </c>
      <c r="FI263" s="409">
        <v>0</v>
      </c>
    </row>
    <row r="264" spans="1:165">
      <c r="A264" s="409">
        <v>262</v>
      </c>
      <c r="B264" s="409" t="s">
        <v>1035</v>
      </c>
      <c r="C264" s="409" t="s">
        <v>2246</v>
      </c>
      <c r="D264" s="409" t="s">
        <v>595</v>
      </c>
      <c r="E264" s="409" t="s">
        <v>997</v>
      </c>
      <c r="F264" s="409" t="s">
        <v>1323</v>
      </c>
      <c r="G264" s="409" t="s">
        <v>1323</v>
      </c>
      <c r="H264" s="409" t="s">
        <v>1323</v>
      </c>
      <c r="I264" s="409" t="s">
        <v>1323</v>
      </c>
      <c r="J264" s="409" t="s">
        <v>2242</v>
      </c>
      <c r="K264" s="838">
        <v>44562</v>
      </c>
      <c r="L264" s="409">
        <v>215</v>
      </c>
      <c r="M264" s="409">
        <v>215</v>
      </c>
      <c r="N264" s="409">
        <v>0</v>
      </c>
      <c r="O264" s="409">
        <v>0</v>
      </c>
      <c r="P264" s="409">
        <v>0</v>
      </c>
      <c r="Q264" s="409">
        <v>0</v>
      </c>
      <c r="R264" s="409">
        <v>33.6</v>
      </c>
      <c r="S264" s="409"/>
      <c r="T264" s="409"/>
      <c r="U264" s="409">
        <v>7224</v>
      </c>
      <c r="V264" s="409"/>
      <c r="W264" s="409">
        <v>7224</v>
      </c>
      <c r="X264" s="409">
        <v>6828.4000000000005</v>
      </c>
      <c r="Y264" s="409">
        <v>0</v>
      </c>
      <c r="Z264" s="409">
        <v>0</v>
      </c>
      <c r="AA264" s="409">
        <v>0</v>
      </c>
      <c r="AB264" s="409">
        <v>0</v>
      </c>
      <c r="AC264" s="409">
        <v>0</v>
      </c>
      <c r="AD264" s="409">
        <v>3836.7856979005833</v>
      </c>
      <c r="AE264" s="409">
        <v>3387.3572528023742</v>
      </c>
      <c r="AF264" s="409"/>
      <c r="AG264" s="409"/>
      <c r="AH264" s="409"/>
      <c r="AI264" s="409">
        <v>0</v>
      </c>
      <c r="AJ264" s="409">
        <v>0</v>
      </c>
      <c r="AK264" s="409">
        <v>0</v>
      </c>
      <c r="AL264" s="409">
        <v>0</v>
      </c>
      <c r="AM264" s="409"/>
      <c r="AN264" s="409">
        <v>0</v>
      </c>
      <c r="AO264" s="409">
        <v>0</v>
      </c>
      <c r="AP264" s="409">
        <v>0</v>
      </c>
      <c r="AQ264" s="409">
        <v>0</v>
      </c>
      <c r="AR264" s="409">
        <v>0</v>
      </c>
      <c r="AS264" s="409"/>
      <c r="AT264" s="409"/>
      <c r="AU264" s="409">
        <v>0</v>
      </c>
      <c r="AV264" s="409">
        <v>0</v>
      </c>
      <c r="AW264" s="409">
        <v>0</v>
      </c>
      <c r="AX264" s="409"/>
      <c r="AY264" s="409"/>
      <c r="AZ264" s="409">
        <v>0</v>
      </c>
      <c r="BA264" s="409"/>
      <c r="BB264" s="409">
        <v>0</v>
      </c>
      <c r="BC264" s="409">
        <v>0</v>
      </c>
      <c r="BD264" s="409">
        <v>0</v>
      </c>
      <c r="BE264" s="409">
        <v>0</v>
      </c>
      <c r="BF264" s="409"/>
      <c r="BG264" s="409">
        <v>0</v>
      </c>
      <c r="BH264" s="409">
        <v>0</v>
      </c>
      <c r="BI264" s="409">
        <v>155.84</v>
      </c>
      <c r="BJ264" s="409">
        <v>719.33</v>
      </c>
      <c r="BK264" s="409">
        <v>4007.42</v>
      </c>
      <c r="BL264" s="409">
        <v>2</v>
      </c>
      <c r="BM264" s="409"/>
      <c r="BN264" s="409"/>
      <c r="BO264" s="409"/>
      <c r="BP264" s="409"/>
      <c r="BQ264" s="409"/>
      <c r="BR264" s="409"/>
      <c r="BS264" s="409"/>
      <c r="BT264" s="409"/>
      <c r="BU264" s="409"/>
      <c r="BV264" s="409">
        <v>0</v>
      </c>
      <c r="BW264" s="409"/>
      <c r="BX264" s="409"/>
      <c r="BY264" s="409"/>
      <c r="BZ264" s="409"/>
      <c r="CA264" s="409"/>
      <c r="CB264" s="409"/>
      <c r="CC264" s="409"/>
      <c r="CD264" s="409"/>
      <c r="CE264" s="409"/>
      <c r="CF264" s="409"/>
      <c r="CG264" s="409"/>
      <c r="CH264" s="409"/>
      <c r="CI264" s="409">
        <v>6828.4000000000005</v>
      </c>
      <c r="CJ264" s="409">
        <v>-395.63000000000011</v>
      </c>
      <c r="CK264" s="409"/>
      <c r="CL264" s="409"/>
      <c r="CM264" s="409"/>
      <c r="CN264" s="409"/>
      <c r="CO264" s="409">
        <v>-395.59999999999997</v>
      </c>
      <c r="CP264" s="409">
        <v>0</v>
      </c>
      <c r="CQ264" s="409">
        <v>31</v>
      </c>
      <c r="CR264" s="409">
        <v>141.94559312118008</v>
      </c>
      <c r="CS264" s="409">
        <v>0</v>
      </c>
      <c r="CT264" s="409">
        <v>0</v>
      </c>
      <c r="CU264" s="409">
        <v>0</v>
      </c>
      <c r="CV264" s="409">
        <v>0</v>
      </c>
      <c r="CW264" s="409"/>
      <c r="CX264" s="409"/>
      <c r="CY264" s="409"/>
      <c r="CZ264" s="409">
        <v>131.51903641109539</v>
      </c>
      <c r="DA264" s="409">
        <v>0</v>
      </c>
      <c r="DB264" s="409">
        <v>0</v>
      </c>
      <c r="DC264" s="409"/>
      <c r="DD264" s="409"/>
      <c r="DE264" s="409">
        <v>0</v>
      </c>
      <c r="DF264" s="409">
        <v>0</v>
      </c>
      <c r="DG264" s="409">
        <v>0</v>
      </c>
      <c r="DH264" s="409">
        <v>0</v>
      </c>
      <c r="DI264" s="409">
        <v>0</v>
      </c>
      <c r="DJ264" s="409"/>
      <c r="DK264" s="409">
        <v>0</v>
      </c>
      <c r="DL264" s="409">
        <v>0</v>
      </c>
      <c r="DM264" s="409"/>
      <c r="DN264" s="409">
        <v>0</v>
      </c>
      <c r="DO264" s="409">
        <v>0</v>
      </c>
      <c r="DP264" s="409">
        <v>0</v>
      </c>
      <c r="DQ264" s="409">
        <v>0</v>
      </c>
      <c r="DR264" s="409">
        <v>10.426556710084611</v>
      </c>
      <c r="DS264" s="409"/>
      <c r="DT264" s="409"/>
      <c r="DU264" s="409">
        <v>3387.3572528023742</v>
      </c>
      <c r="DV264" s="409"/>
      <c r="DW264" s="409">
        <v>0</v>
      </c>
      <c r="DX264" s="409">
        <v>0</v>
      </c>
      <c r="DY264" s="409">
        <v>-395.59999999999945</v>
      </c>
      <c r="DZ264" s="409"/>
      <c r="EA264" s="409">
        <v>0</v>
      </c>
      <c r="EB264" s="409"/>
      <c r="EC264" s="409">
        <v>-538.43053547688214</v>
      </c>
      <c r="ED264" s="409"/>
      <c r="EE264" s="409">
        <v>0</v>
      </c>
      <c r="EF264" s="409">
        <v>0</v>
      </c>
      <c r="EG264" s="409"/>
      <c r="EH264" s="409">
        <v>0</v>
      </c>
      <c r="EI264" s="409">
        <v>0</v>
      </c>
      <c r="EJ264" s="409">
        <v>0</v>
      </c>
      <c r="EK264" s="409">
        <v>0</v>
      </c>
      <c r="EL264" s="409">
        <v>0</v>
      </c>
      <c r="EM264" s="409"/>
      <c r="EN264" s="409"/>
      <c r="EO264" s="409">
        <v>0</v>
      </c>
      <c r="EP264" s="409">
        <v>0</v>
      </c>
      <c r="EQ264" s="409"/>
      <c r="ER264" s="409">
        <v>0</v>
      </c>
      <c r="ES264" s="409"/>
      <c r="ET264" s="409">
        <v>0</v>
      </c>
      <c r="EU264" s="409"/>
      <c r="EV264" s="409">
        <v>210</v>
      </c>
      <c r="EW264" s="409"/>
      <c r="EX264" s="409"/>
      <c r="EY264" s="409"/>
      <c r="EZ264" s="409"/>
      <c r="FA264" s="409">
        <v>0</v>
      </c>
      <c r="FB264" s="409"/>
      <c r="FC264" s="409"/>
      <c r="FD264" s="409"/>
      <c r="FE264" s="409"/>
      <c r="FF264" s="409">
        <v>0</v>
      </c>
      <c r="FG264" s="409">
        <v>0</v>
      </c>
      <c r="FH264" s="409">
        <v>0</v>
      </c>
      <c r="FI264" s="409">
        <v>0</v>
      </c>
    </row>
    <row r="265" spans="1:165">
      <c r="A265" s="409">
        <v>263</v>
      </c>
      <c r="B265" s="409" t="s">
        <v>1035</v>
      </c>
      <c r="C265" s="409" t="s">
        <v>2241</v>
      </c>
      <c r="D265" s="409" t="s">
        <v>2247</v>
      </c>
      <c r="E265" s="409" t="s">
        <v>973</v>
      </c>
      <c r="F265" s="409" t="s">
        <v>1323</v>
      </c>
      <c r="G265" s="409" t="s">
        <v>1323</v>
      </c>
      <c r="H265" s="409" t="s">
        <v>1323</v>
      </c>
      <c r="I265" s="409" t="s">
        <v>1323</v>
      </c>
      <c r="J265" s="409" t="s">
        <v>2242</v>
      </c>
      <c r="K265" s="838">
        <v>44562</v>
      </c>
      <c r="L265" s="409">
        <v>0</v>
      </c>
      <c r="M265" s="409">
        <v>0</v>
      </c>
      <c r="N265" s="409">
        <v>440.31799999999998</v>
      </c>
      <c r="O265" s="409">
        <v>440.31799999999998</v>
      </c>
      <c r="P265" s="409">
        <v>440.31799999999998</v>
      </c>
      <c r="Q265" s="409">
        <v>440.31799999999998</v>
      </c>
      <c r="R265" s="409"/>
      <c r="S265" s="409">
        <v>358.62</v>
      </c>
      <c r="T265" s="409">
        <v>273.74</v>
      </c>
      <c r="U265" s="409"/>
      <c r="V265" s="409">
        <v>278439.49047999998</v>
      </c>
      <c r="W265" s="409">
        <v>278439.49047999998</v>
      </c>
      <c r="X265" s="409">
        <v>269976.57851999998</v>
      </c>
      <c r="Y265" s="409">
        <v>0</v>
      </c>
      <c r="Z265" s="409">
        <v>26583.940426317648</v>
      </c>
      <c r="AA265" s="409">
        <v>0</v>
      </c>
      <c r="AB265" s="409">
        <v>0</v>
      </c>
      <c r="AC265" s="409">
        <v>0</v>
      </c>
      <c r="AD265" s="409">
        <v>37906.323936009023</v>
      </c>
      <c r="AE265" s="409">
        <v>87217.833682274999</v>
      </c>
      <c r="AF265" s="409">
        <v>120532.32334807</v>
      </c>
      <c r="AG265" s="409">
        <v>0</v>
      </c>
      <c r="AH265" s="409">
        <v>0</v>
      </c>
      <c r="AI265" s="409">
        <v>0</v>
      </c>
      <c r="AJ265" s="409">
        <v>0</v>
      </c>
      <c r="AK265" s="409">
        <v>0</v>
      </c>
      <c r="AL265" s="409">
        <v>4111.0505127486704</v>
      </c>
      <c r="AM265" s="409"/>
      <c r="AN265" s="409">
        <v>468.97890236673709</v>
      </c>
      <c r="AO265" s="409">
        <v>0</v>
      </c>
      <c r="AP265" s="409">
        <v>0</v>
      </c>
      <c r="AQ265" s="409">
        <v>0</v>
      </c>
      <c r="AR265" s="409">
        <v>0</v>
      </c>
      <c r="AS265" s="409">
        <v>0</v>
      </c>
      <c r="AT265" s="409">
        <v>0</v>
      </c>
      <c r="AU265" s="409">
        <v>0</v>
      </c>
      <c r="AV265" s="409">
        <v>0</v>
      </c>
      <c r="AW265" s="409">
        <v>0</v>
      </c>
      <c r="AX265" s="409">
        <v>0</v>
      </c>
      <c r="AY265" s="409">
        <v>0</v>
      </c>
      <c r="AZ265" s="409">
        <v>0</v>
      </c>
      <c r="BA265" s="409"/>
      <c r="BB265" s="409">
        <v>0</v>
      </c>
      <c r="BC265" s="409">
        <v>0</v>
      </c>
      <c r="BD265" s="409">
        <v>0</v>
      </c>
      <c r="BE265" s="409">
        <v>0</v>
      </c>
      <c r="BF265" s="409">
        <v>0</v>
      </c>
      <c r="BG265" s="409">
        <v>1619.6772843138099</v>
      </c>
      <c r="BH265" s="409">
        <v>0</v>
      </c>
      <c r="BI265" s="409">
        <v>862.05</v>
      </c>
      <c r="BJ265" s="409">
        <v>3989.69</v>
      </c>
      <c r="BK265" s="409">
        <v>17483.560000000001</v>
      </c>
      <c r="BL265" s="409">
        <v>1023</v>
      </c>
      <c r="BM265" s="409"/>
      <c r="BN265" s="409"/>
      <c r="BO265" s="409"/>
      <c r="BP265" s="409"/>
      <c r="BQ265" s="409"/>
      <c r="BR265" s="409">
        <v>37796.897120000001</v>
      </c>
      <c r="BS265" s="409"/>
      <c r="BT265" s="409"/>
      <c r="BU265" s="409"/>
      <c r="BV265" s="409">
        <v>122152.00063238382</v>
      </c>
      <c r="BW265" s="409"/>
      <c r="BX265" s="409"/>
      <c r="BY265" s="409"/>
      <c r="BZ265" s="409"/>
      <c r="CA265" s="409"/>
      <c r="CB265" s="409"/>
      <c r="CC265" s="409"/>
      <c r="CD265" s="409"/>
      <c r="CE265" s="409"/>
      <c r="CF265" s="409"/>
      <c r="CG265" s="409"/>
      <c r="CH265" s="409"/>
      <c r="CI265" s="409">
        <v>232180.73599999998</v>
      </c>
      <c r="CJ265" s="409">
        <v>-7281.8351200000325</v>
      </c>
      <c r="CK265" s="409"/>
      <c r="CL265" s="409"/>
      <c r="CM265" s="409"/>
      <c r="CN265" s="409"/>
      <c r="CO265" s="409">
        <v>-14187.045960000012</v>
      </c>
      <c r="CP265" s="409">
        <v>5724.134</v>
      </c>
      <c r="CQ265" s="409">
        <v>31</v>
      </c>
      <c r="CR265" s="409">
        <v>5399.1265805959993</v>
      </c>
      <c r="CS265" s="409">
        <v>0</v>
      </c>
      <c r="CT265" s="409">
        <v>0</v>
      </c>
      <c r="CU265" s="409">
        <v>0</v>
      </c>
      <c r="CV265" s="409">
        <v>0</v>
      </c>
      <c r="CW265" s="409">
        <v>0</v>
      </c>
      <c r="CX265" s="409">
        <v>0</v>
      </c>
      <c r="CY265" s="409">
        <v>0</v>
      </c>
      <c r="CZ265" s="409">
        <v>1299.3697304176821</v>
      </c>
      <c r="DA265" s="409">
        <v>0</v>
      </c>
      <c r="DB265" s="409">
        <v>0</v>
      </c>
      <c r="DC265" s="409">
        <v>6493.0425661129993</v>
      </c>
      <c r="DD265" s="409">
        <v>0</v>
      </c>
      <c r="DE265" s="409">
        <v>0</v>
      </c>
      <c r="DF265" s="409">
        <v>0</v>
      </c>
      <c r="DG265" s="409">
        <v>87.251562554275097</v>
      </c>
      <c r="DH265" s="409">
        <v>0</v>
      </c>
      <c r="DI265" s="409">
        <v>-1694.4942605367287</v>
      </c>
      <c r="DJ265" s="409"/>
      <c r="DK265" s="409">
        <v>0</v>
      </c>
      <c r="DL265" s="409">
        <v>0</v>
      </c>
      <c r="DM265" s="409">
        <v>0</v>
      </c>
      <c r="DN265" s="409">
        <v>0</v>
      </c>
      <c r="DO265" s="409">
        <v>-215.54976862500098</v>
      </c>
      <c r="DP265" s="409">
        <v>-30.942956186485844</v>
      </c>
      <c r="DQ265" s="409">
        <v>0</v>
      </c>
      <c r="DR265" s="409">
        <v>-539.55029314072203</v>
      </c>
      <c r="DS265" s="409"/>
      <c r="DT265" s="409"/>
      <c r="DU265" s="409"/>
      <c r="DV265" s="409">
        <v>87217.833682274999</v>
      </c>
      <c r="DW265" s="409">
        <v>0</v>
      </c>
      <c r="DX265" s="409">
        <v>0</v>
      </c>
      <c r="DY265" s="409">
        <v>-14187.045959999989</v>
      </c>
      <c r="DZ265" s="409">
        <v>5724.1340000000055</v>
      </c>
      <c r="EA265" s="409">
        <v>0</v>
      </c>
      <c r="EB265" s="409">
        <v>0</v>
      </c>
      <c r="EC265" s="409">
        <v>-13863.534722778626</v>
      </c>
      <c r="ED265" s="409">
        <v>0</v>
      </c>
      <c r="EE265" s="409">
        <v>0</v>
      </c>
      <c r="EF265" s="409">
        <v>0</v>
      </c>
      <c r="EG265" s="409">
        <v>0</v>
      </c>
      <c r="EH265" s="409">
        <v>0</v>
      </c>
      <c r="EI265" s="409">
        <v>0</v>
      </c>
      <c r="EJ265" s="409">
        <v>0</v>
      </c>
      <c r="EK265" s="409">
        <v>0</v>
      </c>
      <c r="EL265" s="409">
        <v>0</v>
      </c>
      <c r="EM265" s="409">
        <v>0</v>
      </c>
      <c r="EN265" s="409">
        <v>0</v>
      </c>
      <c r="EO265" s="409">
        <v>0</v>
      </c>
      <c r="EP265" s="409">
        <v>0</v>
      </c>
      <c r="EQ265" s="409">
        <v>0</v>
      </c>
      <c r="ER265" s="409">
        <v>0</v>
      </c>
      <c r="ES265" s="409">
        <v>0</v>
      </c>
      <c r="ET265" s="409">
        <v>0</v>
      </c>
      <c r="EU265" s="409">
        <v>0</v>
      </c>
      <c r="EV265" s="409">
        <v>210</v>
      </c>
      <c r="EW265" s="409">
        <v>0</v>
      </c>
      <c r="EX265" s="409">
        <v>0</v>
      </c>
      <c r="EY265" s="409">
        <v>0</v>
      </c>
      <c r="EZ265" s="409"/>
      <c r="FA265" s="409">
        <v>0</v>
      </c>
      <c r="FB265" s="409"/>
      <c r="FC265" s="409"/>
      <c r="FD265" s="409"/>
      <c r="FE265" s="409"/>
      <c r="FF265" s="409">
        <v>0</v>
      </c>
      <c r="FG265" s="409">
        <v>0</v>
      </c>
      <c r="FH265" s="409">
        <v>0</v>
      </c>
      <c r="FI265" s="409">
        <v>0</v>
      </c>
    </row>
    <row r="266" spans="1:165">
      <c r="A266" s="409">
        <v>264</v>
      </c>
      <c r="B266" s="409" t="s">
        <v>2257</v>
      </c>
      <c r="C266" s="409" t="s">
        <v>2241</v>
      </c>
      <c r="D266" s="409" t="s">
        <v>2247</v>
      </c>
      <c r="E266" s="409" t="s">
        <v>973</v>
      </c>
      <c r="F266" s="409" t="s">
        <v>1323</v>
      </c>
      <c r="G266" s="409" t="s">
        <v>1323</v>
      </c>
      <c r="H266" s="409" t="s">
        <v>1323</v>
      </c>
      <c r="I266" s="409" t="s">
        <v>1323</v>
      </c>
      <c r="J266" s="409" t="s">
        <v>2242</v>
      </c>
      <c r="K266" s="838">
        <v>44562</v>
      </c>
      <c r="L266" s="409">
        <v>0</v>
      </c>
      <c r="M266" s="409">
        <v>0</v>
      </c>
      <c r="N266" s="409">
        <v>0.32900000000000001</v>
      </c>
      <c r="O266" s="409">
        <v>0.32900000000000001</v>
      </c>
      <c r="P266" s="409">
        <v>0.32900000000000001</v>
      </c>
      <c r="Q266" s="409">
        <v>0.32900000000000001</v>
      </c>
      <c r="R266" s="409"/>
      <c r="S266" s="409">
        <v>358.62</v>
      </c>
      <c r="T266" s="409">
        <v>273.74</v>
      </c>
      <c r="U266" s="409"/>
      <c r="V266" s="409">
        <v>208.04644000000002</v>
      </c>
      <c r="W266" s="409">
        <v>208.04644000000002</v>
      </c>
      <c r="X266" s="409">
        <v>201.72306</v>
      </c>
      <c r="Y266" s="409">
        <v>0</v>
      </c>
      <c r="Z266" s="409">
        <v>19.863181610241931</v>
      </c>
      <c r="AA266" s="409">
        <v>0</v>
      </c>
      <c r="AB266" s="409">
        <v>0</v>
      </c>
      <c r="AC266" s="409">
        <v>0</v>
      </c>
      <c r="AD266" s="409">
        <v>28.323122322837065</v>
      </c>
      <c r="AE266" s="409">
        <v>65.168054182360194</v>
      </c>
      <c r="AF266" s="409">
        <v>90.060216437926755</v>
      </c>
      <c r="AG266" s="409">
        <v>0</v>
      </c>
      <c r="AH266" s="409">
        <v>0</v>
      </c>
      <c r="AI266" s="409">
        <v>0</v>
      </c>
      <c r="AJ266" s="409">
        <v>0</v>
      </c>
      <c r="AK266" s="409">
        <v>0</v>
      </c>
      <c r="AL266" s="409">
        <v>3.0717245688214261</v>
      </c>
      <c r="AM266" s="409"/>
      <c r="AN266" s="409">
        <v>0.35041506111187032</v>
      </c>
      <c r="AO266" s="409">
        <v>0</v>
      </c>
      <c r="AP266" s="409">
        <v>0</v>
      </c>
      <c r="AQ266" s="409">
        <v>0</v>
      </c>
      <c r="AR266" s="409">
        <v>0</v>
      </c>
      <c r="AS266" s="409">
        <v>0</v>
      </c>
      <c r="AT266" s="409">
        <v>0</v>
      </c>
      <c r="AU266" s="409">
        <v>0</v>
      </c>
      <c r="AV266" s="409">
        <v>0</v>
      </c>
      <c r="AW266" s="409">
        <v>0</v>
      </c>
      <c r="AX266" s="409">
        <v>0</v>
      </c>
      <c r="AY266" s="409">
        <v>0</v>
      </c>
      <c r="AZ266" s="409">
        <v>0</v>
      </c>
      <c r="BA266" s="409"/>
      <c r="BB266" s="409">
        <v>0</v>
      </c>
      <c r="BC266" s="409">
        <v>0</v>
      </c>
      <c r="BD266" s="409">
        <v>0</v>
      </c>
      <c r="BE266" s="409">
        <v>0</v>
      </c>
      <c r="BF266" s="409">
        <v>0</v>
      </c>
      <c r="BG266" s="409">
        <v>1.2102022323394535</v>
      </c>
      <c r="BH266" s="409">
        <v>0</v>
      </c>
      <c r="BI266" s="409">
        <v>0</v>
      </c>
      <c r="BJ266" s="409">
        <v>0</v>
      </c>
      <c r="BK266" s="409">
        <v>78.02</v>
      </c>
      <c r="BL266" s="409">
        <v>0</v>
      </c>
      <c r="BM266" s="409"/>
      <c r="BN266" s="409"/>
      <c r="BO266" s="409"/>
      <c r="BP266" s="409"/>
      <c r="BQ266" s="409"/>
      <c r="BR266" s="409">
        <v>28.241360000000004</v>
      </c>
      <c r="BS266" s="409"/>
      <c r="BT266" s="409"/>
      <c r="BU266" s="409"/>
      <c r="BV266" s="409">
        <v>91.27041867026621</v>
      </c>
      <c r="BW266" s="409"/>
      <c r="BX266" s="409"/>
      <c r="BY266" s="409"/>
      <c r="BZ266" s="409"/>
      <c r="CA266" s="409"/>
      <c r="CB266" s="409"/>
      <c r="CC266" s="409"/>
      <c r="CD266" s="409"/>
      <c r="CE266" s="409"/>
      <c r="CF266" s="409"/>
      <c r="CG266" s="409"/>
      <c r="CH266" s="409"/>
      <c r="CI266" s="409">
        <v>174.00900000000001</v>
      </c>
      <c r="CJ266" s="409">
        <v>-4.9443600000000174</v>
      </c>
      <c r="CK266" s="409"/>
      <c r="CL266" s="409"/>
      <c r="CM266" s="409"/>
      <c r="CN266" s="409"/>
      <c r="CO266" s="409">
        <v>-10.60038000000001</v>
      </c>
      <c r="CP266" s="409">
        <v>4.2770000000000001</v>
      </c>
      <c r="CQ266" s="409">
        <v>31</v>
      </c>
      <c r="CR266" s="409">
        <v>4.0341585967779565</v>
      </c>
      <c r="CS266" s="409">
        <v>0</v>
      </c>
      <c r="CT266" s="409">
        <v>0</v>
      </c>
      <c r="CU266" s="409">
        <v>0</v>
      </c>
      <c r="CV266" s="409">
        <v>0</v>
      </c>
      <c r="CW266" s="409">
        <v>0</v>
      </c>
      <c r="CX266" s="409">
        <v>0</v>
      </c>
      <c r="CY266" s="409">
        <v>0</v>
      </c>
      <c r="CZ266" s="409">
        <v>0.9708725087491672</v>
      </c>
      <c r="DA266" s="409">
        <v>0</v>
      </c>
      <c r="DB266" s="409">
        <v>0</v>
      </c>
      <c r="DC266" s="409">
        <v>4.8515186847941152</v>
      </c>
      <c r="DD266" s="409">
        <v>0</v>
      </c>
      <c r="DE266" s="409">
        <v>0</v>
      </c>
      <c r="DF266" s="409">
        <v>0</v>
      </c>
      <c r="DG266" s="409">
        <v>6.5193255965816821E-2</v>
      </c>
      <c r="DH266" s="409">
        <v>0</v>
      </c>
      <c r="DI266" s="409">
        <v>-1.2661045238136595</v>
      </c>
      <c r="DJ266" s="409"/>
      <c r="DK266" s="409">
        <v>0</v>
      </c>
      <c r="DL266" s="409">
        <v>0</v>
      </c>
      <c r="DM266" s="409">
        <v>0</v>
      </c>
      <c r="DN266" s="409">
        <v>0</v>
      </c>
      <c r="DO266" s="409">
        <v>-0.16105604103767135</v>
      </c>
      <c r="DP266" s="409">
        <v>-2.31201826528869E-2</v>
      </c>
      <c r="DQ266" s="409">
        <v>0</v>
      </c>
      <c r="DR266" s="409">
        <v>-0.40314510522689861</v>
      </c>
      <c r="DS266" s="409"/>
      <c r="DT266" s="409"/>
      <c r="DU266" s="409"/>
      <c r="DV266" s="409">
        <v>65.168054182360194</v>
      </c>
      <c r="DW266" s="409">
        <v>0</v>
      </c>
      <c r="DX266" s="409">
        <v>0</v>
      </c>
      <c r="DY266" s="409">
        <v>-10.600380000000015</v>
      </c>
      <c r="DZ266" s="409">
        <v>4.277000000000001</v>
      </c>
      <c r="EA266" s="409">
        <v>0</v>
      </c>
      <c r="EB266" s="409">
        <v>0</v>
      </c>
      <c r="EC266" s="409">
        <v>-10.358656525043642</v>
      </c>
      <c r="ED266" s="409">
        <v>0</v>
      </c>
      <c r="EE266" s="409">
        <v>0</v>
      </c>
      <c r="EF266" s="409">
        <v>0</v>
      </c>
      <c r="EG266" s="409">
        <v>0</v>
      </c>
      <c r="EH266" s="409">
        <v>0</v>
      </c>
      <c r="EI266" s="409">
        <v>0</v>
      </c>
      <c r="EJ266" s="409">
        <v>0</v>
      </c>
      <c r="EK266" s="409">
        <v>0</v>
      </c>
      <c r="EL266" s="409">
        <v>0</v>
      </c>
      <c r="EM266" s="409">
        <v>0</v>
      </c>
      <c r="EN266" s="409">
        <v>0</v>
      </c>
      <c r="EO266" s="409">
        <v>0</v>
      </c>
      <c r="EP266" s="409">
        <v>0</v>
      </c>
      <c r="EQ266" s="409">
        <v>0</v>
      </c>
      <c r="ER266" s="409">
        <v>0</v>
      </c>
      <c r="ES266" s="409">
        <v>0</v>
      </c>
      <c r="ET266" s="409">
        <v>0</v>
      </c>
      <c r="EU266" s="409">
        <v>0</v>
      </c>
      <c r="EV266" s="409">
        <v>210</v>
      </c>
      <c r="EW266" s="409">
        <v>0</v>
      </c>
      <c r="EX266" s="409">
        <v>0</v>
      </c>
      <c r="EY266" s="409">
        <v>0</v>
      </c>
      <c r="EZ266" s="409"/>
      <c r="FA266" s="409">
        <v>0</v>
      </c>
      <c r="FB266" s="409"/>
      <c r="FC266" s="409"/>
      <c r="FD266" s="409"/>
      <c r="FE266" s="409"/>
      <c r="FF266" s="409">
        <v>0</v>
      </c>
      <c r="FG266" s="409">
        <v>0</v>
      </c>
      <c r="FH266" s="409">
        <v>0</v>
      </c>
      <c r="FI266" s="409">
        <v>0</v>
      </c>
    </row>
    <row r="267" spans="1:165">
      <c r="A267" s="409">
        <v>265</v>
      </c>
      <c r="B267" s="409" t="s">
        <v>2240</v>
      </c>
      <c r="C267" s="409" t="s">
        <v>2241</v>
      </c>
      <c r="D267" s="409" t="s">
        <v>2247</v>
      </c>
      <c r="E267" s="409" t="s">
        <v>973</v>
      </c>
      <c r="F267" s="409" t="s">
        <v>1323</v>
      </c>
      <c r="G267" s="409" t="s">
        <v>1323</v>
      </c>
      <c r="H267" s="409" t="s">
        <v>1323</v>
      </c>
      <c r="I267" s="409" t="s">
        <v>1323</v>
      </c>
      <c r="J267" s="409" t="s">
        <v>2242</v>
      </c>
      <c r="K267" s="838">
        <v>44562</v>
      </c>
      <c r="L267" s="409">
        <v>0</v>
      </c>
      <c r="M267" s="409">
        <v>0</v>
      </c>
      <c r="N267" s="409">
        <v>1.4990000000000001</v>
      </c>
      <c r="O267" s="409">
        <v>1.4990000000000001</v>
      </c>
      <c r="P267" s="409">
        <v>1.4990000000000001</v>
      </c>
      <c r="Q267" s="409">
        <v>1.4990000000000001</v>
      </c>
      <c r="R267" s="409"/>
      <c r="S267" s="409">
        <v>358.62</v>
      </c>
      <c r="T267" s="409">
        <v>273.74</v>
      </c>
      <c r="U267" s="409"/>
      <c r="V267" s="409">
        <v>947.90764000000013</v>
      </c>
      <c r="W267" s="409">
        <v>947.90764000000013</v>
      </c>
      <c r="X267" s="409">
        <v>919.09686000000011</v>
      </c>
      <c r="Y267" s="409">
        <v>0</v>
      </c>
      <c r="Z267" s="409">
        <v>90.501243871588628</v>
      </c>
      <c r="AA267" s="409">
        <v>0</v>
      </c>
      <c r="AB267" s="409">
        <v>0</v>
      </c>
      <c r="AC267" s="409">
        <v>0</v>
      </c>
      <c r="AD267" s="409">
        <v>129.04668803019075</v>
      </c>
      <c r="AE267" s="409">
        <v>296.92070887342834</v>
      </c>
      <c r="AF267" s="409">
        <v>410.33515027493075</v>
      </c>
      <c r="AG267" s="409">
        <v>0</v>
      </c>
      <c r="AH267" s="409">
        <v>0</v>
      </c>
      <c r="AI267" s="409">
        <v>0</v>
      </c>
      <c r="AJ267" s="409">
        <v>0</v>
      </c>
      <c r="AK267" s="409">
        <v>0</v>
      </c>
      <c r="AL267" s="409">
        <v>13.995486713262364</v>
      </c>
      <c r="AM267" s="409"/>
      <c r="AN267" s="409">
        <v>1.5965719653698893</v>
      </c>
      <c r="AO267" s="409">
        <v>0</v>
      </c>
      <c r="AP267" s="409">
        <v>0</v>
      </c>
      <c r="AQ267" s="409">
        <v>0</v>
      </c>
      <c r="AR267" s="409">
        <v>0</v>
      </c>
      <c r="AS267" s="409">
        <v>0</v>
      </c>
      <c r="AT267" s="409">
        <v>0</v>
      </c>
      <c r="AU267" s="409">
        <v>0</v>
      </c>
      <c r="AV267" s="409">
        <v>0</v>
      </c>
      <c r="AW267" s="409">
        <v>0</v>
      </c>
      <c r="AX267" s="409">
        <v>0</v>
      </c>
      <c r="AY267" s="409">
        <v>0</v>
      </c>
      <c r="AZ267" s="409">
        <v>0</v>
      </c>
      <c r="BA267" s="409"/>
      <c r="BB267" s="409">
        <v>0</v>
      </c>
      <c r="BC267" s="409">
        <v>0</v>
      </c>
      <c r="BD267" s="409">
        <v>0</v>
      </c>
      <c r="BE267" s="409">
        <v>0</v>
      </c>
      <c r="BF267" s="409">
        <v>0</v>
      </c>
      <c r="BG267" s="409">
        <v>5.5139609309326465</v>
      </c>
      <c r="BH267" s="409">
        <v>0</v>
      </c>
      <c r="BI267" s="409">
        <v>4.25</v>
      </c>
      <c r="BJ267" s="409">
        <v>19.68</v>
      </c>
      <c r="BK267" s="409">
        <v>201.38</v>
      </c>
      <c r="BL267" s="409">
        <v>10</v>
      </c>
      <c r="BM267" s="409"/>
      <c r="BN267" s="409"/>
      <c r="BO267" s="409"/>
      <c r="BP267" s="409"/>
      <c r="BQ267" s="409"/>
      <c r="BR267" s="409">
        <v>128.67416000000003</v>
      </c>
      <c r="BS267" s="409"/>
      <c r="BT267" s="409"/>
      <c r="BU267" s="409"/>
      <c r="BV267" s="409">
        <v>415.84911120586338</v>
      </c>
      <c r="BW267" s="409"/>
      <c r="BX267" s="409"/>
      <c r="BY267" s="409"/>
      <c r="BZ267" s="409"/>
      <c r="CA267" s="409"/>
      <c r="CB267" s="409"/>
      <c r="CC267" s="409"/>
      <c r="CD267" s="409"/>
      <c r="CE267" s="409"/>
      <c r="CF267" s="409"/>
      <c r="CG267" s="409"/>
      <c r="CH267" s="409"/>
      <c r="CI267" s="409">
        <v>790.94999999999993</v>
      </c>
      <c r="CJ267" s="409">
        <v>-24.2961600000001</v>
      </c>
      <c r="CK267" s="409"/>
      <c r="CL267" s="409"/>
      <c r="CM267" s="409"/>
      <c r="CN267" s="409"/>
      <c r="CO267" s="409">
        <v>-48.297780000000046</v>
      </c>
      <c r="CP267" s="409">
        <v>19.487000000000002</v>
      </c>
      <c r="CQ267" s="409">
        <v>31</v>
      </c>
      <c r="CR267" s="409">
        <v>18.380558469818197</v>
      </c>
      <c r="CS267" s="409">
        <v>0</v>
      </c>
      <c r="CT267" s="409">
        <v>0</v>
      </c>
      <c r="CU267" s="409">
        <v>0</v>
      </c>
      <c r="CV267" s="409">
        <v>0</v>
      </c>
      <c r="CW267" s="409">
        <v>0</v>
      </c>
      <c r="CX267" s="409">
        <v>0</v>
      </c>
      <c r="CY267" s="409">
        <v>0</v>
      </c>
      <c r="CZ267" s="409">
        <v>4.4235194243617286</v>
      </c>
      <c r="DA267" s="409">
        <v>0</v>
      </c>
      <c r="DB267" s="409">
        <v>0</v>
      </c>
      <c r="DC267" s="409">
        <v>22.104639843484449</v>
      </c>
      <c r="DD267" s="409">
        <v>0</v>
      </c>
      <c r="DE267" s="409">
        <v>0</v>
      </c>
      <c r="DF267" s="409">
        <v>0</v>
      </c>
      <c r="DG267" s="409">
        <v>0.29703553402054617</v>
      </c>
      <c r="DH267" s="409">
        <v>0</v>
      </c>
      <c r="DI267" s="409">
        <v>-5.7686646844883853</v>
      </c>
      <c r="DJ267" s="409"/>
      <c r="DK267" s="409">
        <v>0</v>
      </c>
      <c r="DL267" s="409">
        <v>0</v>
      </c>
      <c r="DM267" s="409">
        <v>0</v>
      </c>
      <c r="DN267" s="409">
        <v>0</v>
      </c>
      <c r="DO267" s="409">
        <v>-0.73380852740264224</v>
      </c>
      <c r="DP267" s="409">
        <v>-0.10534089299901939</v>
      </c>
      <c r="DQ267" s="409">
        <v>0</v>
      </c>
      <c r="DR267" s="409">
        <v>-1.8368222271584225</v>
      </c>
      <c r="DS267" s="409"/>
      <c r="DT267" s="409"/>
      <c r="DU267" s="409"/>
      <c r="DV267" s="409">
        <v>296.92070887342834</v>
      </c>
      <c r="DW267" s="409">
        <v>0</v>
      </c>
      <c r="DX267" s="409">
        <v>0</v>
      </c>
      <c r="DY267" s="409">
        <v>-48.297780000000103</v>
      </c>
      <c r="DZ267" s="409">
        <v>19.487000000000023</v>
      </c>
      <c r="EA267" s="409">
        <v>0</v>
      </c>
      <c r="EB267" s="409">
        <v>0</v>
      </c>
      <c r="EC267" s="409">
        <v>-47.196432009241363</v>
      </c>
      <c r="ED267" s="409">
        <v>0</v>
      </c>
      <c r="EE267" s="409">
        <v>0</v>
      </c>
      <c r="EF267" s="409">
        <v>0</v>
      </c>
      <c r="EG267" s="409">
        <v>0</v>
      </c>
      <c r="EH267" s="409">
        <v>0</v>
      </c>
      <c r="EI267" s="409">
        <v>0</v>
      </c>
      <c r="EJ267" s="409">
        <v>0</v>
      </c>
      <c r="EK267" s="409">
        <v>0</v>
      </c>
      <c r="EL267" s="409">
        <v>0</v>
      </c>
      <c r="EM267" s="409">
        <v>0</v>
      </c>
      <c r="EN267" s="409">
        <v>0</v>
      </c>
      <c r="EO267" s="409">
        <v>0</v>
      </c>
      <c r="EP267" s="409">
        <v>0</v>
      </c>
      <c r="EQ267" s="409">
        <v>0</v>
      </c>
      <c r="ER267" s="409">
        <v>0</v>
      </c>
      <c r="ES267" s="409">
        <v>0</v>
      </c>
      <c r="ET267" s="409">
        <v>0</v>
      </c>
      <c r="EU267" s="409">
        <v>0</v>
      </c>
      <c r="EV267" s="409">
        <v>210</v>
      </c>
      <c r="EW267" s="409">
        <v>0</v>
      </c>
      <c r="EX267" s="409">
        <v>0</v>
      </c>
      <c r="EY267" s="409">
        <v>0</v>
      </c>
      <c r="EZ267" s="409"/>
      <c r="FA267" s="409">
        <v>0</v>
      </c>
      <c r="FB267" s="409"/>
      <c r="FC267" s="409"/>
      <c r="FD267" s="409"/>
      <c r="FE267" s="409"/>
      <c r="FF267" s="409">
        <v>0</v>
      </c>
      <c r="FG267" s="409">
        <v>0</v>
      </c>
      <c r="FH267" s="409">
        <v>0</v>
      </c>
      <c r="FI267" s="409">
        <v>0</v>
      </c>
    </row>
    <row r="268" spans="1:165">
      <c r="A268" s="409">
        <v>266</v>
      </c>
      <c r="B268" s="409" t="s">
        <v>1035</v>
      </c>
      <c r="C268" s="409" t="s">
        <v>2248</v>
      </c>
      <c r="D268" s="409" t="s">
        <v>2247</v>
      </c>
      <c r="E268" s="409" t="s">
        <v>973</v>
      </c>
      <c r="F268" s="409" t="s">
        <v>1323</v>
      </c>
      <c r="G268" s="409" t="s">
        <v>1323</v>
      </c>
      <c r="H268" s="409" t="s">
        <v>1323</v>
      </c>
      <c r="I268" s="409" t="s">
        <v>972</v>
      </c>
      <c r="J268" s="409" t="s">
        <v>2242</v>
      </c>
      <c r="K268" s="838">
        <v>44562</v>
      </c>
      <c r="L268" s="409">
        <v>0</v>
      </c>
      <c r="M268" s="409">
        <v>0</v>
      </c>
      <c r="N268" s="409">
        <v>3.7999999999999999E-2</v>
      </c>
      <c r="O268" s="409">
        <v>3.7999999999999999E-2</v>
      </c>
      <c r="P268" s="409">
        <v>3.7999999999999999E-2</v>
      </c>
      <c r="Q268" s="409">
        <v>3.7999999999999999E-2</v>
      </c>
      <c r="R268" s="409"/>
      <c r="S268" s="409">
        <v>760.53</v>
      </c>
      <c r="T268" s="409">
        <v>235.42</v>
      </c>
      <c r="U268" s="409"/>
      <c r="V268" s="409">
        <v>37.846099999999993</v>
      </c>
      <c r="W268" s="409">
        <v>37.846099999999993</v>
      </c>
      <c r="X268" s="409">
        <v>35.51746</v>
      </c>
      <c r="Y268" s="409">
        <v>0</v>
      </c>
      <c r="Z268" s="409">
        <v>1.9730357903425695</v>
      </c>
      <c r="AA268" s="409">
        <v>0</v>
      </c>
      <c r="AB268" s="409">
        <v>0</v>
      </c>
      <c r="AC268" s="409">
        <v>0</v>
      </c>
      <c r="AD268" s="409">
        <v>8.0181645001513004</v>
      </c>
      <c r="AE268" s="409">
        <v>18.44870458356867</v>
      </c>
      <c r="AF268" s="409">
        <v>8.9457990066609163</v>
      </c>
      <c r="AG268" s="409">
        <v>0</v>
      </c>
      <c r="AH268" s="409">
        <v>0</v>
      </c>
      <c r="AI268" s="409">
        <v>0</v>
      </c>
      <c r="AJ268" s="409">
        <v>0</v>
      </c>
      <c r="AK268" s="409">
        <v>0</v>
      </c>
      <c r="AL268" s="409">
        <v>0.30511841613703411</v>
      </c>
      <c r="AM268" s="409"/>
      <c r="AN268" s="409">
        <v>3.4807186009531636E-2</v>
      </c>
      <c r="AO268" s="409">
        <v>0</v>
      </c>
      <c r="AP268" s="409">
        <v>0</v>
      </c>
      <c r="AQ268" s="409">
        <v>0</v>
      </c>
      <c r="AR268" s="409">
        <v>0</v>
      </c>
      <c r="AS268" s="409">
        <v>0</v>
      </c>
      <c r="AT268" s="409">
        <v>0</v>
      </c>
      <c r="AU268" s="409">
        <v>0</v>
      </c>
      <c r="AV268" s="409">
        <v>0</v>
      </c>
      <c r="AW268" s="409">
        <v>0</v>
      </c>
      <c r="AX268" s="409">
        <v>0</v>
      </c>
      <c r="AY268" s="409">
        <v>0</v>
      </c>
      <c r="AZ268" s="409">
        <v>0</v>
      </c>
      <c r="BA268" s="409"/>
      <c r="BB268" s="409">
        <v>0</v>
      </c>
      <c r="BC268" s="409">
        <v>0</v>
      </c>
      <c r="BD268" s="409">
        <v>0</v>
      </c>
      <c r="BE268" s="409">
        <v>0</v>
      </c>
      <c r="BF268" s="409">
        <v>0</v>
      </c>
      <c r="BG268" s="409">
        <v>0.12021096946156058</v>
      </c>
      <c r="BH268" s="409">
        <v>0</v>
      </c>
      <c r="BI268" s="409">
        <v>0</v>
      </c>
      <c r="BJ268" s="409">
        <v>0</v>
      </c>
      <c r="BK268" s="409">
        <v>0</v>
      </c>
      <c r="BL268" s="409">
        <v>0</v>
      </c>
      <c r="BM268" s="409"/>
      <c r="BN268" s="409"/>
      <c r="BO268" s="409"/>
      <c r="BP268" s="409"/>
      <c r="BQ268" s="409"/>
      <c r="BR268" s="409"/>
      <c r="BS268" s="409"/>
      <c r="BT268" s="409"/>
      <c r="BU268" s="409"/>
      <c r="BV268" s="409">
        <v>9.0660099761224764</v>
      </c>
      <c r="BW268" s="409"/>
      <c r="BX268" s="409"/>
      <c r="BY268" s="409"/>
      <c r="BZ268" s="409"/>
      <c r="CA268" s="409"/>
      <c r="CB268" s="409"/>
      <c r="CC268" s="409"/>
      <c r="CD268" s="409"/>
      <c r="CE268" s="409"/>
      <c r="CF268" s="409"/>
      <c r="CG268" s="409"/>
      <c r="CH268" s="409"/>
      <c r="CI268" s="409">
        <v>37.386800000000008</v>
      </c>
      <c r="CJ268" s="409">
        <v>-0.48929999999999296</v>
      </c>
      <c r="CK268" s="409"/>
      <c r="CL268" s="409"/>
      <c r="CM268" s="409"/>
      <c r="CN268" s="409"/>
      <c r="CO268" s="409">
        <v>-2.753479999999997</v>
      </c>
      <c r="CP268" s="409">
        <v>0.42484000000000027</v>
      </c>
      <c r="CQ268" s="409">
        <v>31</v>
      </c>
      <c r="CR268" s="409">
        <v>0.60392656360952657</v>
      </c>
      <c r="CS268" s="409">
        <v>0</v>
      </c>
      <c r="CT268" s="409">
        <v>0</v>
      </c>
      <c r="CU268" s="409">
        <v>0</v>
      </c>
      <c r="CV268" s="409">
        <v>0</v>
      </c>
      <c r="CW268" s="409">
        <v>0</v>
      </c>
      <c r="CX268" s="409">
        <v>0</v>
      </c>
      <c r="CY268" s="409">
        <v>0</v>
      </c>
      <c r="CZ268" s="409">
        <v>0.27485018759911739</v>
      </c>
      <c r="DA268" s="409">
        <v>0</v>
      </c>
      <c r="DB268" s="409">
        <v>0</v>
      </c>
      <c r="DC268" s="409">
        <v>0.48190769185130478</v>
      </c>
      <c r="DD268" s="409">
        <v>0</v>
      </c>
      <c r="DE268" s="409">
        <v>0</v>
      </c>
      <c r="DF268" s="409">
        <v>0</v>
      </c>
      <c r="DG268" s="409">
        <v>6.4757313220754481E-3</v>
      </c>
      <c r="DH268" s="409">
        <v>0</v>
      </c>
      <c r="DI268" s="409">
        <v>-0.12576381713747464</v>
      </c>
      <c r="DJ268" s="409"/>
      <c r="DK268" s="409">
        <v>0</v>
      </c>
      <c r="DL268" s="409">
        <v>0</v>
      </c>
      <c r="DM268" s="409">
        <v>0</v>
      </c>
      <c r="DN268" s="409">
        <v>0</v>
      </c>
      <c r="DO268" s="409">
        <v>-1.5997907055048777E-2</v>
      </c>
      <c r="DP268" s="409">
        <v>-2.2965579607790859E-3</v>
      </c>
      <c r="DQ268" s="409">
        <v>0</v>
      </c>
      <c r="DR268" s="409">
        <v>-1.5248765009673121E-2</v>
      </c>
      <c r="DS268" s="409"/>
      <c r="DT268" s="409"/>
      <c r="DU268" s="409"/>
      <c r="DV268" s="409">
        <v>18.44870458356867</v>
      </c>
      <c r="DW268" s="409">
        <v>0</v>
      </c>
      <c r="DX268" s="409">
        <v>0</v>
      </c>
      <c r="DY268" s="409">
        <v>-2.7534799999999962</v>
      </c>
      <c r="DZ268" s="409">
        <v>0.42483999999999966</v>
      </c>
      <c r="EA268" s="409">
        <v>0</v>
      </c>
      <c r="EB268" s="409">
        <v>0</v>
      </c>
      <c r="EC268" s="409">
        <v>-2.9324766023919793</v>
      </c>
      <c r="ED268" s="409">
        <v>0</v>
      </c>
      <c r="EE268" s="409">
        <v>0</v>
      </c>
      <c r="EF268" s="409">
        <v>0</v>
      </c>
      <c r="EG268" s="409">
        <v>0</v>
      </c>
      <c r="EH268" s="409">
        <v>0</v>
      </c>
      <c r="EI268" s="409">
        <v>0</v>
      </c>
      <c r="EJ268" s="409">
        <v>0</v>
      </c>
      <c r="EK268" s="409">
        <v>0</v>
      </c>
      <c r="EL268" s="409">
        <v>0</v>
      </c>
      <c r="EM268" s="409">
        <v>0</v>
      </c>
      <c r="EN268" s="409">
        <v>0</v>
      </c>
      <c r="EO268" s="409">
        <v>0</v>
      </c>
      <c r="EP268" s="409">
        <v>0</v>
      </c>
      <c r="EQ268" s="409">
        <v>0</v>
      </c>
      <c r="ER268" s="409">
        <v>0</v>
      </c>
      <c r="ES268" s="409">
        <v>0</v>
      </c>
      <c r="ET268" s="409">
        <v>0</v>
      </c>
      <c r="EU268" s="409">
        <v>0</v>
      </c>
      <c r="EV268" s="409">
        <v>210</v>
      </c>
      <c r="EW268" s="409">
        <v>0</v>
      </c>
      <c r="EX268" s="409">
        <v>0</v>
      </c>
      <c r="EY268" s="409">
        <v>0</v>
      </c>
      <c r="EZ268" s="409"/>
      <c r="FA268" s="409">
        <v>0</v>
      </c>
      <c r="FB268" s="409"/>
      <c r="FC268" s="409"/>
      <c r="FD268" s="409"/>
      <c r="FE268" s="409"/>
      <c r="FF268" s="409">
        <v>0</v>
      </c>
      <c r="FG268" s="409">
        <v>0</v>
      </c>
      <c r="FH268" s="409">
        <v>0</v>
      </c>
      <c r="FI268" s="409">
        <v>0</v>
      </c>
    </row>
    <row r="269" spans="1:165">
      <c r="A269" s="409">
        <v>267</v>
      </c>
      <c r="B269" s="409" t="s">
        <v>1035</v>
      </c>
      <c r="C269" s="409" t="s">
        <v>2248</v>
      </c>
      <c r="D269" s="409" t="s">
        <v>2247</v>
      </c>
      <c r="E269" s="409" t="s">
        <v>973</v>
      </c>
      <c r="F269" s="409" t="s">
        <v>1323</v>
      </c>
      <c r="G269" s="409" t="s">
        <v>1323</v>
      </c>
      <c r="H269" s="409" t="s">
        <v>1323</v>
      </c>
      <c r="I269" s="409" t="s">
        <v>2234</v>
      </c>
      <c r="J269" s="409" t="s">
        <v>2242</v>
      </c>
      <c r="K269" s="838">
        <v>44562</v>
      </c>
      <c r="L269" s="409">
        <v>0</v>
      </c>
      <c r="M269" s="409">
        <v>0</v>
      </c>
      <c r="N269" s="409">
        <v>0.21</v>
      </c>
      <c r="O269" s="409">
        <v>0.21</v>
      </c>
      <c r="P269" s="409">
        <v>0.21</v>
      </c>
      <c r="Q269" s="409">
        <v>0.21</v>
      </c>
      <c r="R269" s="409"/>
      <c r="S269" s="409">
        <v>203.33</v>
      </c>
      <c r="T269" s="409">
        <v>235.42</v>
      </c>
      <c r="U269" s="409"/>
      <c r="V269" s="409">
        <v>92.137499999999989</v>
      </c>
      <c r="W269" s="409">
        <v>92.137499999999989</v>
      </c>
      <c r="X269" s="409">
        <v>90.850200000000001</v>
      </c>
      <c r="Y269" s="409">
        <v>0</v>
      </c>
      <c r="Z269" s="409">
        <v>10.90361884136683</v>
      </c>
      <c r="AA269" s="409">
        <v>0</v>
      </c>
      <c r="AB269" s="409">
        <v>0</v>
      </c>
      <c r="AC269" s="409">
        <v>0</v>
      </c>
      <c r="AD269" s="409">
        <v>8.8623346618377479</v>
      </c>
      <c r="AE269" s="409">
        <v>20.390680553428876</v>
      </c>
      <c r="AF269" s="409">
        <v>49.437310299968225</v>
      </c>
      <c r="AG269" s="409">
        <v>0</v>
      </c>
      <c r="AH269" s="409">
        <v>0</v>
      </c>
      <c r="AI269" s="409">
        <v>0</v>
      </c>
      <c r="AJ269" s="409">
        <v>0</v>
      </c>
      <c r="AK269" s="409">
        <v>0</v>
      </c>
      <c r="AL269" s="409">
        <v>1.6861807207572936</v>
      </c>
      <c r="AM269" s="409"/>
      <c r="AN269" s="409">
        <v>0.19235550163162221</v>
      </c>
      <c r="AO269" s="409">
        <v>0</v>
      </c>
      <c r="AP269" s="409">
        <v>0</v>
      </c>
      <c r="AQ269" s="409">
        <v>0</v>
      </c>
      <c r="AR269" s="409">
        <v>0</v>
      </c>
      <c r="AS269" s="409">
        <v>0</v>
      </c>
      <c r="AT269" s="409">
        <v>0</v>
      </c>
      <c r="AU269" s="409">
        <v>0</v>
      </c>
      <c r="AV269" s="409">
        <v>0</v>
      </c>
      <c r="AW269" s="409">
        <v>0</v>
      </c>
      <c r="AX269" s="409">
        <v>0</v>
      </c>
      <c r="AY269" s="409">
        <v>0</v>
      </c>
      <c r="AZ269" s="409">
        <v>0</v>
      </c>
      <c r="BA269" s="409"/>
      <c r="BB269" s="409">
        <v>0</v>
      </c>
      <c r="BC269" s="409">
        <v>0</v>
      </c>
      <c r="BD269" s="409">
        <v>0</v>
      </c>
      <c r="BE269" s="409">
        <v>0</v>
      </c>
      <c r="BF269" s="409">
        <v>0</v>
      </c>
      <c r="BG269" s="409">
        <v>0.66432377860336111</v>
      </c>
      <c r="BH269" s="409">
        <v>0</v>
      </c>
      <c r="BI269" s="409">
        <v>0</v>
      </c>
      <c r="BJ269" s="409">
        <v>0</v>
      </c>
      <c r="BK269" s="409">
        <v>0</v>
      </c>
      <c r="BL269" s="409">
        <v>0</v>
      </c>
      <c r="BM269" s="409"/>
      <c r="BN269" s="409"/>
      <c r="BO269" s="409"/>
      <c r="BP269" s="409"/>
      <c r="BQ269" s="409"/>
      <c r="BR269" s="409"/>
      <c r="BS269" s="409"/>
      <c r="BT269" s="409"/>
      <c r="BU269" s="409"/>
      <c r="BV269" s="409">
        <v>50.101634078571585</v>
      </c>
      <c r="BW269" s="409"/>
      <c r="BX269" s="409"/>
      <c r="BY269" s="409"/>
      <c r="BZ269" s="409"/>
      <c r="CA269" s="409"/>
      <c r="CB269" s="409"/>
      <c r="CC269" s="409"/>
      <c r="CD269" s="409"/>
      <c r="CE269" s="409"/>
      <c r="CF269" s="409"/>
      <c r="CG269" s="409"/>
      <c r="CH269" s="409"/>
      <c r="CI269" s="409">
        <v>90.850200000000001</v>
      </c>
      <c r="CJ269" s="409">
        <v>-1.317300000000003</v>
      </c>
      <c r="CK269" s="409"/>
      <c r="CL269" s="409"/>
      <c r="CM269" s="409"/>
      <c r="CN269" s="409"/>
      <c r="CO269" s="409">
        <v>-3.6351000000000004</v>
      </c>
      <c r="CP269" s="409">
        <v>2.3478000000000012</v>
      </c>
      <c r="CQ269" s="409">
        <v>31</v>
      </c>
      <c r="CR269" s="409">
        <v>1.9534854354658506</v>
      </c>
      <c r="CS269" s="409">
        <v>0</v>
      </c>
      <c r="CT269" s="409">
        <v>0</v>
      </c>
      <c r="CU269" s="409">
        <v>0</v>
      </c>
      <c r="CV269" s="409">
        <v>0</v>
      </c>
      <c r="CW269" s="409">
        <v>0</v>
      </c>
      <c r="CX269" s="409">
        <v>0</v>
      </c>
      <c r="CY269" s="409">
        <v>0</v>
      </c>
      <c r="CZ269" s="409">
        <v>0.30378702561248971</v>
      </c>
      <c r="DA269" s="409">
        <v>0</v>
      </c>
      <c r="DB269" s="409">
        <v>0</v>
      </c>
      <c r="DC269" s="409">
        <v>2.6631740865466753</v>
      </c>
      <c r="DD269" s="409">
        <v>0</v>
      </c>
      <c r="DE269" s="409">
        <v>0</v>
      </c>
      <c r="DF269" s="409">
        <v>0</v>
      </c>
      <c r="DG269" s="409">
        <v>3.5786936253574764E-2</v>
      </c>
      <c r="DH269" s="409">
        <v>0</v>
      </c>
      <c r="DI269" s="409">
        <v>-0.69501056839130548</v>
      </c>
      <c r="DJ269" s="409"/>
      <c r="DK269" s="409">
        <v>0</v>
      </c>
      <c r="DL269" s="409">
        <v>0</v>
      </c>
      <c r="DM269" s="409">
        <v>0</v>
      </c>
      <c r="DN269" s="409">
        <v>0</v>
      </c>
      <c r="DO269" s="409">
        <v>-8.840948635684831E-2</v>
      </c>
      <c r="DP269" s="409">
        <v>-1.2691504520094987E-2</v>
      </c>
      <c r="DQ269" s="409">
        <v>0</v>
      </c>
      <c r="DR269" s="409">
        <v>-0.2531510536786381</v>
      </c>
      <c r="DS269" s="409"/>
      <c r="DT269" s="409"/>
      <c r="DU269" s="409"/>
      <c r="DV269" s="409">
        <v>20.390680553428876</v>
      </c>
      <c r="DW269" s="409">
        <v>0</v>
      </c>
      <c r="DX269" s="409">
        <v>0</v>
      </c>
      <c r="DY269" s="409">
        <v>-3.6351000000000013</v>
      </c>
      <c r="DZ269" s="409">
        <v>2.3477999999999994</v>
      </c>
      <c r="EA269" s="409">
        <v>0</v>
      </c>
      <c r="EB269" s="409">
        <v>0</v>
      </c>
      <c r="EC269" s="409">
        <v>-3.2411594732258706</v>
      </c>
      <c r="ED269" s="409">
        <v>0</v>
      </c>
      <c r="EE269" s="409">
        <v>0</v>
      </c>
      <c r="EF269" s="409">
        <v>0</v>
      </c>
      <c r="EG269" s="409">
        <v>0</v>
      </c>
      <c r="EH269" s="409">
        <v>0</v>
      </c>
      <c r="EI269" s="409">
        <v>0</v>
      </c>
      <c r="EJ269" s="409">
        <v>0</v>
      </c>
      <c r="EK269" s="409">
        <v>0</v>
      </c>
      <c r="EL269" s="409">
        <v>0</v>
      </c>
      <c r="EM269" s="409">
        <v>0</v>
      </c>
      <c r="EN269" s="409">
        <v>0</v>
      </c>
      <c r="EO269" s="409">
        <v>0</v>
      </c>
      <c r="EP269" s="409">
        <v>0</v>
      </c>
      <c r="EQ269" s="409">
        <v>0</v>
      </c>
      <c r="ER269" s="409">
        <v>0</v>
      </c>
      <c r="ES269" s="409">
        <v>0</v>
      </c>
      <c r="ET269" s="409">
        <v>0</v>
      </c>
      <c r="EU269" s="409">
        <v>0</v>
      </c>
      <c r="EV269" s="409">
        <v>210</v>
      </c>
      <c r="EW269" s="409">
        <v>0</v>
      </c>
      <c r="EX269" s="409">
        <v>0</v>
      </c>
      <c r="EY269" s="409">
        <v>0</v>
      </c>
      <c r="EZ269" s="409"/>
      <c r="FA269" s="409">
        <v>0</v>
      </c>
      <c r="FB269" s="409"/>
      <c r="FC269" s="409"/>
      <c r="FD269" s="409"/>
      <c r="FE269" s="409"/>
      <c r="FF269" s="409">
        <v>0</v>
      </c>
      <c r="FG269" s="409">
        <v>0</v>
      </c>
      <c r="FH269" s="409">
        <v>0</v>
      </c>
      <c r="FI269" s="409">
        <v>0</v>
      </c>
    </row>
    <row r="270" spans="1:165">
      <c r="A270" s="409">
        <v>268</v>
      </c>
      <c r="B270" s="409" t="s">
        <v>1035</v>
      </c>
      <c r="C270" s="409" t="s">
        <v>2248</v>
      </c>
      <c r="D270" s="409" t="s">
        <v>2247</v>
      </c>
      <c r="E270" s="409" t="s">
        <v>973</v>
      </c>
      <c r="F270" s="409" t="s">
        <v>1323</v>
      </c>
      <c r="G270" s="409" t="s">
        <v>1323</v>
      </c>
      <c r="H270" s="409" t="s">
        <v>1323</v>
      </c>
      <c r="I270" s="409" t="s">
        <v>1323</v>
      </c>
      <c r="J270" s="409" t="s">
        <v>2242</v>
      </c>
      <c r="K270" s="838">
        <v>44562</v>
      </c>
      <c r="L270" s="409">
        <v>0</v>
      </c>
      <c r="M270" s="409">
        <v>0</v>
      </c>
      <c r="N270" s="409">
        <v>0</v>
      </c>
      <c r="O270" s="409">
        <v>0</v>
      </c>
      <c r="P270" s="409">
        <v>0</v>
      </c>
      <c r="Q270" s="409">
        <v>0</v>
      </c>
      <c r="R270" s="409"/>
      <c r="S270" s="409"/>
      <c r="T270" s="409"/>
      <c r="U270" s="409"/>
      <c r="V270" s="409"/>
      <c r="W270" s="409"/>
      <c r="X270" s="409"/>
      <c r="Y270" s="409"/>
      <c r="Z270" s="409"/>
      <c r="AA270" s="409">
        <v>0</v>
      </c>
      <c r="AB270" s="409"/>
      <c r="AC270" s="409"/>
      <c r="AD270" s="409"/>
      <c r="AE270" s="409"/>
      <c r="AF270" s="409"/>
      <c r="AG270" s="409"/>
      <c r="AH270" s="409"/>
      <c r="AI270" s="409"/>
      <c r="AJ270" s="409"/>
      <c r="AK270" s="409"/>
      <c r="AL270" s="409"/>
      <c r="AM270" s="409"/>
      <c r="AN270" s="409"/>
      <c r="AO270" s="409"/>
      <c r="AP270" s="409"/>
      <c r="AQ270" s="409"/>
      <c r="AR270" s="409"/>
      <c r="AS270" s="409"/>
      <c r="AT270" s="409"/>
      <c r="AU270" s="409"/>
      <c r="AV270" s="409"/>
      <c r="AW270" s="409"/>
      <c r="AX270" s="409"/>
      <c r="AY270" s="409"/>
      <c r="AZ270" s="409">
        <v>0</v>
      </c>
      <c r="BA270" s="409"/>
      <c r="BB270" s="409"/>
      <c r="BC270" s="409"/>
      <c r="BD270" s="409"/>
      <c r="BE270" s="409"/>
      <c r="BF270" s="409"/>
      <c r="BG270" s="409"/>
      <c r="BH270" s="409"/>
      <c r="BI270" s="409">
        <v>1.21</v>
      </c>
      <c r="BJ270" s="409">
        <v>5.62</v>
      </c>
      <c r="BK270" s="409">
        <v>0</v>
      </c>
      <c r="BL270" s="409">
        <v>1</v>
      </c>
      <c r="BM270" s="409"/>
      <c r="BN270" s="409"/>
      <c r="BO270" s="409"/>
      <c r="BP270" s="409"/>
      <c r="BQ270" s="409"/>
      <c r="BR270" s="409"/>
      <c r="BS270" s="409"/>
      <c r="BT270" s="409"/>
      <c r="BU270" s="409"/>
      <c r="BV270" s="409"/>
      <c r="BW270" s="409"/>
      <c r="BX270" s="409"/>
      <c r="BY270" s="409"/>
      <c r="BZ270" s="409"/>
      <c r="CA270" s="409"/>
      <c r="CB270" s="409"/>
      <c r="CC270" s="409"/>
      <c r="CD270" s="409"/>
      <c r="CE270" s="409"/>
      <c r="CF270" s="409"/>
      <c r="CG270" s="409"/>
      <c r="CH270" s="409"/>
      <c r="CI270" s="409"/>
      <c r="CJ270" s="409">
        <v>-0.03</v>
      </c>
      <c r="CK270" s="409"/>
      <c r="CL270" s="409"/>
      <c r="CM270" s="409"/>
      <c r="CN270" s="409"/>
      <c r="CO270" s="409">
        <v>0</v>
      </c>
      <c r="CP270" s="409">
        <v>0</v>
      </c>
      <c r="CQ270" s="409">
        <v>31</v>
      </c>
      <c r="CR270" s="409"/>
      <c r="CS270" s="409"/>
      <c r="CT270" s="409"/>
      <c r="CU270" s="409"/>
      <c r="CV270" s="409"/>
      <c r="CW270" s="409"/>
      <c r="CX270" s="409"/>
      <c r="CY270" s="409"/>
      <c r="CZ270" s="409"/>
      <c r="DA270" s="409"/>
      <c r="DB270" s="409"/>
      <c r="DC270" s="409"/>
      <c r="DD270" s="409"/>
      <c r="DE270" s="409"/>
      <c r="DF270" s="409"/>
      <c r="DG270" s="409"/>
      <c r="DH270" s="409"/>
      <c r="DI270" s="409"/>
      <c r="DJ270" s="409"/>
      <c r="DK270" s="409">
        <v>0</v>
      </c>
      <c r="DL270" s="409"/>
      <c r="DM270" s="409"/>
      <c r="DN270" s="409"/>
      <c r="DO270" s="409"/>
      <c r="DP270" s="409"/>
      <c r="DQ270" s="409"/>
      <c r="DR270" s="409"/>
      <c r="DS270" s="409"/>
      <c r="DT270" s="409"/>
      <c r="DU270" s="409"/>
      <c r="DV270" s="409"/>
      <c r="DW270" s="409"/>
      <c r="DX270" s="409"/>
      <c r="DY270" s="409"/>
      <c r="DZ270" s="409"/>
      <c r="EA270" s="409"/>
      <c r="EB270" s="409"/>
      <c r="EC270" s="409"/>
      <c r="ED270" s="409"/>
      <c r="EE270" s="409"/>
      <c r="EF270" s="409"/>
      <c r="EG270" s="409"/>
      <c r="EH270" s="409"/>
      <c r="EI270" s="409"/>
      <c r="EJ270" s="409"/>
      <c r="EK270" s="409"/>
      <c r="EL270" s="409"/>
      <c r="EM270" s="409"/>
      <c r="EN270" s="409"/>
      <c r="EO270" s="409"/>
      <c r="EP270" s="409"/>
      <c r="EQ270" s="409"/>
      <c r="ER270" s="409"/>
      <c r="ES270" s="409"/>
      <c r="ET270" s="409"/>
      <c r="EU270" s="409"/>
      <c r="EV270" s="409">
        <v>210</v>
      </c>
      <c r="EW270" s="409"/>
      <c r="EX270" s="409"/>
      <c r="EY270" s="409"/>
      <c r="EZ270" s="409"/>
      <c r="FA270" s="409">
        <v>0</v>
      </c>
      <c r="FB270" s="409"/>
      <c r="FC270" s="409"/>
      <c r="FD270" s="409"/>
      <c r="FE270" s="409"/>
      <c r="FF270" s="409">
        <v>0</v>
      </c>
      <c r="FG270" s="409">
        <v>0</v>
      </c>
      <c r="FH270" s="409">
        <v>0</v>
      </c>
      <c r="FI270" s="409">
        <v>0</v>
      </c>
    </row>
    <row r="271" spans="1:165">
      <c r="A271" s="409">
        <v>269</v>
      </c>
      <c r="B271" s="409" t="s">
        <v>1035</v>
      </c>
      <c r="C271" s="409" t="s">
        <v>2248</v>
      </c>
      <c r="D271" s="409" t="s">
        <v>2247</v>
      </c>
      <c r="E271" s="409" t="s">
        <v>973</v>
      </c>
      <c r="F271" s="409" t="s">
        <v>1323</v>
      </c>
      <c r="G271" s="409" t="s">
        <v>1323</v>
      </c>
      <c r="H271" s="409" t="s">
        <v>1323</v>
      </c>
      <c r="I271" s="409" t="s">
        <v>2259</v>
      </c>
      <c r="J271" s="409" t="s">
        <v>2242</v>
      </c>
      <c r="K271" s="838">
        <v>44562</v>
      </c>
      <c r="L271" s="409">
        <v>0</v>
      </c>
      <c r="M271" s="409">
        <v>0</v>
      </c>
      <c r="N271" s="409">
        <v>2.3E-2</v>
      </c>
      <c r="O271" s="409">
        <v>2.3E-2</v>
      </c>
      <c r="P271" s="409">
        <v>2.3E-2</v>
      </c>
      <c r="Q271" s="409">
        <v>2.3E-2</v>
      </c>
      <c r="R271" s="409"/>
      <c r="S271" s="409">
        <v>481.93</v>
      </c>
      <c r="T271" s="409">
        <v>235.42</v>
      </c>
      <c r="U271" s="409"/>
      <c r="V271" s="409">
        <v>16.49905</v>
      </c>
      <c r="W271" s="409">
        <v>16.49905</v>
      </c>
      <c r="X271" s="409">
        <v>15.72372</v>
      </c>
      <c r="Y271" s="409">
        <v>0</v>
      </c>
      <c r="Z271" s="409">
        <v>1.1942058731020815</v>
      </c>
      <c r="AA271" s="409">
        <v>0</v>
      </c>
      <c r="AB271" s="409">
        <v>0</v>
      </c>
      <c r="AC271" s="409">
        <v>0</v>
      </c>
      <c r="AD271" s="409">
        <v>2.9118715029567839</v>
      </c>
      <c r="AE271" s="409">
        <v>6.699789234501158</v>
      </c>
      <c r="AF271" s="409">
        <v>5.4145625566631859</v>
      </c>
      <c r="AG271" s="409">
        <v>0</v>
      </c>
      <c r="AH271" s="409">
        <v>0</v>
      </c>
      <c r="AI271" s="409">
        <v>0</v>
      </c>
      <c r="AJ271" s="409">
        <v>0</v>
      </c>
      <c r="AK271" s="409">
        <v>0</v>
      </c>
      <c r="AL271" s="409">
        <v>0.1846769360829417</v>
      </c>
      <c r="AM271" s="409"/>
      <c r="AN271" s="409">
        <v>2.1067507321558623E-2</v>
      </c>
      <c r="AO271" s="409">
        <v>0</v>
      </c>
      <c r="AP271" s="409">
        <v>0</v>
      </c>
      <c r="AQ271" s="409">
        <v>0</v>
      </c>
      <c r="AR271" s="409">
        <v>0</v>
      </c>
      <c r="AS271" s="409">
        <v>0</v>
      </c>
      <c r="AT271" s="409">
        <v>0</v>
      </c>
      <c r="AU271" s="409">
        <v>0</v>
      </c>
      <c r="AV271" s="409">
        <v>0</v>
      </c>
      <c r="AW271" s="409">
        <v>0</v>
      </c>
      <c r="AX271" s="409">
        <v>0</v>
      </c>
      <c r="AY271" s="409">
        <v>0</v>
      </c>
      <c r="AZ271" s="409">
        <v>0</v>
      </c>
      <c r="BA271" s="409"/>
      <c r="BB271" s="409">
        <v>0</v>
      </c>
      <c r="BC271" s="409">
        <v>0</v>
      </c>
      <c r="BD271" s="409">
        <v>0</v>
      </c>
      <c r="BE271" s="409">
        <v>0</v>
      </c>
      <c r="BF271" s="409">
        <v>0</v>
      </c>
      <c r="BG271" s="409">
        <v>7.2759270989891933E-2</v>
      </c>
      <c r="BH271" s="409">
        <v>0</v>
      </c>
      <c r="BI271" s="409">
        <v>0</v>
      </c>
      <c r="BJ271" s="409">
        <v>0</v>
      </c>
      <c r="BK271" s="409">
        <v>0</v>
      </c>
      <c r="BL271" s="409">
        <v>0</v>
      </c>
      <c r="BM271" s="409"/>
      <c r="BN271" s="409"/>
      <c r="BO271" s="409"/>
      <c r="BP271" s="409"/>
      <c r="BQ271" s="409"/>
      <c r="BR271" s="409"/>
      <c r="BS271" s="409"/>
      <c r="BT271" s="409"/>
      <c r="BU271" s="409"/>
      <c r="BV271" s="409">
        <v>5.4873218276530782</v>
      </c>
      <c r="BW271" s="409"/>
      <c r="BX271" s="409"/>
      <c r="BY271" s="409"/>
      <c r="BZ271" s="409"/>
      <c r="CA271" s="409"/>
      <c r="CB271" s="409"/>
      <c r="CC271" s="409"/>
      <c r="CD271" s="409"/>
      <c r="CE271" s="409"/>
      <c r="CF271" s="409"/>
      <c r="CG271" s="409"/>
      <c r="CH271" s="409"/>
      <c r="CI271" s="409">
        <v>13.672800000000001</v>
      </c>
      <c r="CJ271" s="409">
        <v>-2.8562500000000011</v>
      </c>
      <c r="CK271" s="409"/>
      <c r="CL271" s="409"/>
      <c r="CM271" s="409"/>
      <c r="CN271" s="409"/>
      <c r="CO271" s="409">
        <v>-1.0324699999999998</v>
      </c>
      <c r="CP271" s="409">
        <v>0.25714000000000015</v>
      </c>
      <c r="CQ271" s="409">
        <v>31</v>
      </c>
      <c r="CR271" s="409">
        <v>0.289743948513566</v>
      </c>
      <c r="CS271" s="409">
        <v>0</v>
      </c>
      <c r="CT271" s="409">
        <v>0</v>
      </c>
      <c r="CU271" s="409">
        <v>0</v>
      </c>
      <c r="CV271" s="409">
        <v>0</v>
      </c>
      <c r="CW271" s="409">
        <v>0</v>
      </c>
      <c r="CX271" s="409">
        <v>0</v>
      </c>
      <c r="CY271" s="409">
        <v>0</v>
      </c>
      <c r="CZ271" s="409">
        <v>9.9814418728529031E-2</v>
      </c>
      <c r="DA271" s="409">
        <v>0</v>
      </c>
      <c r="DB271" s="409">
        <v>0</v>
      </c>
      <c r="DC271" s="409">
        <v>0.2916809713836841</v>
      </c>
      <c r="DD271" s="409">
        <v>0</v>
      </c>
      <c r="DE271" s="409">
        <v>0</v>
      </c>
      <c r="DF271" s="409">
        <v>0</v>
      </c>
      <c r="DG271" s="409">
        <v>3.9195215896772467E-3</v>
      </c>
      <c r="DH271" s="409">
        <v>0</v>
      </c>
      <c r="DI271" s="409">
        <v>-7.6120205109523997E-2</v>
      </c>
      <c r="DJ271" s="409"/>
      <c r="DK271" s="409">
        <v>0</v>
      </c>
      <c r="DL271" s="409">
        <v>0</v>
      </c>
      <c r="DM271" s="409">
        <v>0</v>
      </c>
      <c r="DN271" s="409">
        <v>0</v>
      </c>
      <c r="DO271" s="409">
        <v>-9.6829437438452903E-3</v>
      </c>
      <c r="DP271" s="409">
        <v>-1.3900219236294489E-3</v>
      </c>
      <c r="DQ271" s="409">
        <v>0</v>
      </c>
      <c r="DR271" s="409">
        <v>-1.847779241132521E-2</v>
      </c>
      <c r="DS271" s="409"/>
      <c r="DT271" s="409"/>
      <c r="DU271" s="409"/>
      <c r="DV271" s="409">
        <v>6.699789234501158</v>
      </c>
      <c r="DW271" s="409">
        <v>0</v>
      </c>
      <c r="DX271" s="409">
        <v>0</v>
      </c>
      <c r="DY271" s="409">
        <v>-1.03247</v>
      </c>
      <c r="DZ271" s="409">
        <v>0.25714000000000059</v>
      </c>
      <c r="EA271" s="409">
        <v>0</v>
      </c>
      <c r="EB271" s="409">
        <v>0</v>
      </c>
      <c r="EC271" s="409">
        <v>-1.0649514757058185</v>
      </c>
      <c r="ED271" s="409">
        <v>0</v>
      </c>
      <c r="EE271" s="409">
        <v>0</v>
      </c>
      <c r="EF271" s="409">
        <v>0</v>
      </c>
      <c r="EG271" s="409">
        <v>0</v>
      </c>
      <c r="EH271" s="409">
        <v>0</v>
      </c>
      <c r="EI271" s="409">
        <v>0</v>
      </c>
      <c r="EJ271" s="409">
        <v>0</v>
      </c>
      <c r="EK271" s="409">
        <v>0</v>
      </c>
      <c r="EL271" s="409">
        <v>0</v>
      </c>
      <c r="EM271" s="409">
        <v>0</v>
      </c>
      <c r="EN271" s="409">
        <v>0</v>
      </c>
      <c r="EO271" s="409">
        <v>0</v>
      </c>
      <c r="EP271" s="409">
        <v>0</v>
      </c>
      <c r="EQ271" s="409">
        <v>0</v>
      </c>
      <c r="ER271" s="409">
        <v>0</v>
      </c>
      <c r="ES271" s="409">
        <v>0</v>
      </c>
      <c r="ET271" s="409">
        <v>0</v>
      </c>
      <c r="EU271" s="409">
        <v>0</v>
      </c>
      <c r="EV271" s="409">
        <v>210</v>
      </c>
      <c r="EW271" s="409">
        <v>0</v>
      </c>
      <c r="EX271" s="409">
        <v>0</v>
      </c>
      <c r="EY271" s="409">
        <v>0</v>
      </c>
      <c r="EZ271" s="409"/>
      <c r="FA271" s="409">
        <v>0</v>
      </c>
      <c r="FB271" s="409"/>
      <c r="FC271" s="409"/>
      <c r="FD271" s="409"/>
      <c r="FE271" s="409"/>
      <c r="FF271" s="409">
        <v>0</v>
      </c>
      <c r="FG271" s="409">
        <v>0</v>
      </c>
      <c r="FH271" s="409">
        <v>0</v>
      </c>
      <c r="FI271" s="409">
        <v>0</v>
      </c>
    </row>
    <row r="272" spans="1:165">
      <c r="A272" s="409">
        <v>270</v>
      </c>
      <c r="B272" s="409" t="s">
        <v>1035</v>
      </c>
      <c r="C272" s="409" t="s">
        <v>2241</v>
      </c>
      <c r="D272" s="409" t="s">
        <v>1992</v>
      </c>
      <c r="E272" s="409" t="s">
        <v>2249</v>
      </c>
      <c r="F272" s="409" t="s">
        <v>1323</v>
      </c>
      <c r="G272" s="409" t="s">
        <v>1323</v>
      </c>
      <c r="H272" s="409" t="s">
        <v>1323</v>
      </c>
      <c r="I272" s="409" t="s">
        <v>1323</v>
      </c>
      <c r="J272" s="409" t="s">
        <v>2242</v>
      </c>
      <c r="K272" s="838">
        <v>44562</v>
      </c>
      <c r="L272" s="409">
        <v>0</v>
      </c>
      <c r="M272" s="409">
        <v>0</v>
      </c>
      <c r="N272" s="409">
        <v>13.006</v>
      </c>
      <c r="O272" s="409">
        <v>13.006</v>
      </c>
      <c r="P272" s="409">
        <v>13.006</v>
      </c>
      <c r="Q272" s="409">
        <v>13.006</v>
      </c>
      <c r="R272" s="409"/>
      <c r="S272" s="409">
        <v>358.62</v>
      </c>
      <c r="T272" s="409">
        <v>273.74</v>
      </c>
      <c r="U272" s="409"/>
      <c r="V272" s="409">
        <v>8224.4741599999998</v>
      </c>
      <c r="W272" s="409">
        <v>8224.4741599999998</v>
      </c>
      <c r="X272" s="409">
        <v>7974.4988400000002</v>
      </c>
      <c r="Y272" s="409">
        <v>0</v>
      </c>
      <c r="Z272" s="409">
        <v>785.22960493254277</v>
      </c>
      <c r="AA272" s="409">
        <v>0</v>
      </c>
      <c r="AB272" s="409">
        <v>0</v>
      </c>
      <c r="AC272" s="409">
        <v>0</v>
      </c>
      <c r="AD272" s="409">
        <v>1119.6672611878992</v>
      </c>
      <c r="AE272" s="409">
        <v>2576.2179717196859</v>
      </c>
      <c r="AF272" s="409">
        <v>3560.2528115248492</v>
      </c>
      <c r="AG272" s="409">
        <v>0</v>
      </c>
      <c r="AH272" s="409">
        <v>0</v>
      </c>
      <c r="AI272" s="409">
        <v>0</v>
      </c>
      <c r="AJ272" s="409">
        <v>0</v>
      </c>
      <c r="AK272" s="409">
        <v>0</v>
      </c>
      <c r="AL272" s="409">
        <v>121.43115423128106</v>
      </c>
      <c r="AM272" s="409"/>
      <c r="AN272" s="409">
        <v>13.852578373316064</v>
      </c>
      <c r="AO272" s="409">
        <v>0</v>
      </c>
      <c r="AP272" s="409">
        <v>0</v>
      </c>
      <c r="AQ272" s="409">
        <v>0</v>
      </c>
      <c r="AR272" s="409">
        <v>0</v>
      </c>
      <c r="AS272" s="409">
        <v>0</v>
      </c>
      <c r="AT272" s="409">
        <v>0</v>
      </c>
      <c r="AU272" s="409">
        <v>0</v>
      </c>
      <c r="AV272" s="409">
        <v>0</v>
      </c>
      <c r="AW272" s="409">
        <v>0</v>
      </c>
      <c r="AX272" s="409">
        <v>0</v>
      </c>
      <c r="AY272" s="409">
        <v>0</v>
      </c>
      <c r="AZ272" s="409">
        <v>0</v>
      </c>
      <c r="BA272" s="409"/>
      <c r="BB272" s="409">
        <v>0</v>
      </c>
      <c r="BC272" s="409">
        <v>0</v>
      </c>
      <c r="BD272" s="409">
        <v>0</v>
      </c>
      <c r="BE272" s="409">
        <v>0</v>
      </c>
      <c r="BF272" s="409">
        <v>0</v>
      </c>
      <c r="BG272" s="409">
        <v>47.841611652908604</v>
      </c>
      <c r="BH272" s="409">
        <v>0</v>
      </c>
      <c r="BI272" s="409">
        <v>8.14</v>
      </c>
      <c r="BJ272" s="409">
        <v>37.6</v>
      </c>
      <c r="BK272" s="409">
        <v>1890.72</v>
      </c>
      <c r="BL272" s="409">
        <v>15</v>
      </c>
      <c r="BM272" s="409"/>
      <c r="BN272" s="409"/>
      <c r="BO272" s="409"/>
      <c r="BP272" s="409"/>
      <c r="BQ272" s="409"/>
      <c r="BR272" s="409"/>
      <c r="BS272" s="409"/>
      <c r="BT272" s="409"/>
      <c r="BU272" s="409"/>
      <c r="BV272" s="409">
        <v>3608.094423177758</v>
      </c>
      <c r="BW272" s="409"/>
      <c r="BX272" s="409"/>
      <c r="BY272" s="409"/>
      <c r="BZ272" s="409"/>
      <c r="CA272" s="409"/>
      <c r="CB272" s="409"/>
      <c r="CC272" s="409"/>
      <c r="CD272" s="409"/>
      <c r="CE272" s="409"/>
      <c r="CF272" s="409"/>
      <c r="CG272" s="409"/>
      <c r="CH272" s="409"/>
      <c r="CI272" s="409">
        <v>7976.9513999999999</v>
      </c>
      <c r="CJ272" s="409">
        <v>-247.55276000000049</v>
      </c>
      <c r="CK272" s="409"/>
      <c r="CL272" s="409"/>
      <c r="CM272" s="409"/>
      <c r="CN272" s="409"/>
      <c r="CO272" s="409">
        <v>-419.05332000000038</v>
      </c>
      <c r="CP272" s="409">
        <v>169.078</v>
      </c>
      <c r="CQ272" s="409">
        <v>31</v>
      </c>
      <c r="CR272" s="409">
        <v>159.4780143151811</v>
      </c>
      <c r="CS272" s="409">
        <v>0</v>
      </c>
      <c r="CT272" s="409">
        <v>0</v>
      </c>
      <c r="CU272" s="409">
        <v>0</v>
      </c>
      <c r="CV272" s="409">
        <v>0</v>
      </c>
      <c r="CW272" s="409">
        <v>0</v>
      </c>
      <c r="CX272" s="409">
        <v>0</v>
      </c>
      <c r="CY272" s="409">
        <v>0</v>
      </c>
      <c r="CZ272" s="409">
        <v>38.380449388424722</v>
      </c>
      <c r="DA272" s="409">
        <v>0</v>
      </c>
      <c r="DB272" s="409">
        <v>0</v>
      </c>
      <c r="DC272" s="409">
        <v>191.78982375207397</v>
      </c>
      <c r="DD272" s="409">
        <v>0</v>
      </c>
      <c r="DE272" s="409">
        <v>0</v>
      </c>
      <c r="DF272" s="409">
        <v>0</v>
      </c>
      <c r="DG272" s="409">
        <v>2.5772142464784622</v>
      </c>
      <c r="DH272" s="409">
        <v>0</v>
      </c>
      <c r="DI272" s="409">
        <v>-50.051536281825179</v>
      </c>
      <c r="DJ272" s="409"/>
      <c r="DK272" s="409">
        <v>0</v>
      </c>
      <c r="DL272" s="409">
        <v>0</v>
      </c>
      <c r="DM272" s="409">
        <v>0</v>
      </c>
      <c r="DN272" s="409">
        <v>0</v>
      </c>
      <c r="DO272" s="409">
        <v>-6.3668537074041183</v>
      </c>
      <c r="DP272" s="409">
        <v>-0.91398509295880359</v>
      </c>
      <c r="DQ272" s="409">
        <v>0</v>
      </c>
      <c r="DR272" s="409">
        <v>-15.937097989608034</v>
      </c>
      <c r="DS272" s="409"/>
      <c r="DT272" s="409"/>
      <c r="DU272" s="409"/>
      <c r="DV272" s="409">
        <v>2576.2179717196859</v>
      </c>
      <c r="DW272" s="409">
        <v>0</v>
      </c>
      <c r="DX272" s="409">
        <v>0</v>
      </c>
      <c r="DY272" s="409">
        <v>-419.05332000000089</v>
      </c>
      <c r="DZ272" s="409">
        <v>169.07800000000043</v>
      </c>
      <c r="EA272" s="409">
        <v>0</v>
      </c>
      <c r="EB272" s="409">
        <v>0</v>
      </c>
      <c r="EC272" s="409">
        <v>-409.49752816023602</v>
      </c>
      <c r="ED272" s="409">
        <v>0</v>
      </c>
      <c r="EE272" s="409">
        <v>0</v>
      </c>
      <c r="EF272" s="409">
        <v>0</v>
      </c>
      <c r="EG272" s="409">
        <v>0</v>
      </c>
      <c r="EH272" s="409">
        <v>0</v>
      </c>
      <c r="EI272" s="409">
        <v>0</v>
      </c>
      <c r="EJ272" s="409">
        <v>0</v>
      </c>
      <c r="EK272" s="409">
        <v>0</v>
      </c>
      <c r="EL272" s="409">
        <v>0</v>
      </c>
      <c r="EM272" s="409">
        <v>0</v>
      </c>
      <c r="EN272" s="409">
        <v>0</v>
      </c>
      <c r="EO272" s="409">
        <v>0</v>
      </c>
      <c r="EP272" s="409">
        <v>0</v>
      </c>
      <c r="EQ272" s="409">
        <v>0</v>
      </c>
      <c r="ER272" s="409">
        <v>0</v>
      </c>
      <c r="ES272" s="409">
        <v>0</v>
      </c>
      <c r="ET272" s="409">
        <v>0</v>
      </c>
      <c r="EU272" s="409">
        <v>0</v>
      </c>
      <c r="EV272" s="409">
        <v>210</v>
      </c>
      <c r="EW272" s="409">
        <v>0</v>
      </c>
      <c r="EX272" s="409">
        <v>0</v>
      </c>
      <c r="EY272" s="409">
        <v>0</v>
      </c>
      <c r="EZ272" s="409"/>
      <c r="FA272" s="409">
        <v>0</v>
      </c>
      <c r="FB272" s="409"/>
      <c r="FC272" s="409"/>
      <c r="FD272" s="409"/>
      <c r="FE272" s="409"/>
      <c r="FF272" s="409">
        <v>0</v>
      </c>
      <c r="FG272" s="409">
        <v>0</v>
      </c>
      <c r="FH272" s="409">
        <v>0</v>
      </c>
      <c r="FI272" s="409">
        <v>0</v>
      </c>
    </row>
    <row r="273" spans="1:165">
      <c r="A273" s="409">
        <v>271</v>
      </c>
      <c r="B273" s="409" t="s">
        <v>1035</v>
      </c>
      <c r="C273" s="409" t="s">
        <v>2241</v>
      </c>
      <c r="D273" s="409" t="s">
        <v>2250</v>
      </c>
      <c r="E273" s="409" t="s">
        <v>2251</v>
      </c>
      <c r="F273" s="409" t="s">
        <v>2252</v>
      </c>
      <c r="G273" s="409" t="s">
        <v>1323</v>
      </c>
      <c r="H273" s="409" t="s">
        <v>1323</v>
      </c>
      <c r="I273" s="409" t="s">
        <v>1323</v>
      </c>
      <c r="J273" s="409" t="s">
        <v>2242</v>
      </c>
      <c r="K273" s="838">
        <v>44562</v>
      </c>
      <c r="L273" s="409">
        <v>0</v>
      </c>
      <c r="M273" s="409">
        <v>0</v>
      </c>
      <c r="N273" s="409">
        <v>20.052</v>
      </c>
      <c r="O273" s="409">
        <v>20.052</v>
      </c>
      <c r="P273" s="409">
        <v>20.052</v>
      </c>
      <c r="Q273" s="409">
        <v>20.052</v>
      </c>
      <c r="R273" s="409"/>
      <c r="S273" s="409">
        <v>215.17</v>
      </c>
      <c r="T273" s="409">
        <v>164.24</v>
      </c>
      <c r="U273" s="409"/>
      <c r="V273" s="409">
        <v>7607.9293199999993</v>
      </c>
      <c r="W273" s="409">
        <v>7607.9293199999993</v>
      </c>
      <c r="X273" s="409">
        <v>7376.9302800000005</v>
      </c>
      <c r="Y273" s="409">
        <v>0</v>
      </c>
      <c r="Z273" s="409">
        <v>726.37662793052459</v>
      </c>
      <c r="AA273" s="409">
        <v>0</v>
      </c>
      <c r="AB273" s="409">
        <v>0</v>
      </c>
      <c r="AC273" s="409">
        <v>0</v>
      </c>
      <c r="AD273" s="409">
        <v>1035.748174135312</v>
      </c>
      <c r="AE273" s="409">
        <v>2383.1303753155416</v>
      </c>
      <c r="AF273" s="409">
        <v>3293.4117811792798</v>
      </c>
      <c r="AG273" s="409">
        <v>0</v>
      </c>
      <c r="AH273" s="409">
        <v>0</v>
      </c>
      <c r="AI273" s="409">
        <v>0</v>
      </c>
      <c r="AJ273" s="409">
        <v>0</v>
      </c>
      <c r="AK273" s="409">
        <v>0</v>
      </c>
      <c r="AL273" s="409">
        <v>112.32988642068175</v>
      </c>
      <c r="AM273" s="409"/>
      <c r="AN273" s="409">
        <v>12.814327304708593</v>
      </c>
      <c r="AO273" s="409">
        <v>0</v>
      </c>
      <c r="AP273" s="409">
        <v>0</v>
      </c>
      <c r="AQ273" s="409">
        <v>0</v>
      </c>
      <c r="AR273" s="409">
        <v>0</v>
      </c>
      <c r="AS273" s="409">
        <v>0</v>
      </c>
      <c r="AT273" s="409">
        <v>0</v>
      </c>
      <c r="AU273" s="409">
        <v>0</v>
      </c>
      <c r="AV273" s="409">
        <v>0</v>
      </c>
      <c r="AW273" s="409">
        <v>0</v>
      </c>
      <c r="AX273" s="409">
        <v>0</v>
      </c>
      <c r="AY273" s="409">
        <v>0</v>
      </c>
      <c r="AZ273" s="409">
        <v>0</v>
      </c>
      <c r="BA273" s="409"/>
      <c r="BB273" s="409">
        <v>0</v>
      </c>
      <c r="BC273" s="409">
        <v>0</v>
      </c>
      <c r="BD273" s="409">
        <v>0</v>
      </c>
      <c r="BE273" s="409">
        <v>0</v>
      </c>
      <c r="BF273" s="409">
        <v>0</v>
      </c>
      <c r="BG273" s="409">
        <v>44.255881755995354</v>
      </c>
      <c r="BH273" s="409">
        <v>0</v>
      </c>
      <c r="BI273" s="409">
        <v>0</v>
      </c>
      <c r="BJ273" s="409">
        <v>0</v>
      </c>
      <c r="BK273" s="409">
        <v>2244.3000000000002</v>
      </c>
      <c r="BL273" s="409">
        <v>6</v>
      </c>
      <c r="BM273" s="409"/>
      <c r="BN273" s="409"/>
      <c r="BO273" s="409"/>
      <c r="BP273" s="409"/>
      <c r="BQ273" s="409"/>
      <c r="BR273" s="409"/>
      <c r="BS273" s="409"/>
      <c r="BT273" s="409"/>
      <c r="BU273" s="409"/>
      <c r="BV273" s="409">
        <v>3337.6676629352751</v>
      </c>
      <c r="BW273" s="409"/>
      <c r="BX273" s="409"/>
      <c r="BY273" s="409"/>
      <c r="BZ273" s="409"/>
      <c r="CA273" s="409"/>
      <c r="CB273" s="409"/>
      <c r="CC273" s="409"/>
      <c r="CD273" s="409"/>
      <c r="CE273" s="409"/>
      <c r="CF273" s="409"/>
      <c r="CG273" s="409"/>
      <c r="CH273" s="409"/>
      <c r="CI273" s="409">
        <v>7376.1945000000005</v>
      </c>
      <c r="CJ273" s="409">
        <v>-231.76481999999942</v>
      </c>
      <c r="CK273" s="409"/>
      <c r="CL273" s="409"/>
      <c r="CM273" s="409"/>
      <c r="CN273" s="409"/>
      <c r="CO273" s="409">
        <v>-387.60515999999967</v>
      </c>
      <c r="CP273" s="409">
        <v>156.60612000000003</v>
      </c>
      <c r="CQ273" s="409">
        <v>31</v>
      </c>
      <c r="CR273" s="409">
        <v>147.52513346369142</v>
      </c>
      <c r="CS273" s="409">
        <v>0</v>
      </c>
      <c r="CT273" s="409">
        <v>0</v>
      </c>
      <c r="CU273" s="409">
        <v>0</v>
      </c>
      <c r="CV273" s="409">
        <v>0</v>
      </c>
      <c r="CW273" s="409">
        <v>0</v>
      </c>
      <c r="CX273" s="409">
        <v>0</v>
      </c>
      <c r="CY273" s="409">
        <v>0</v>
      </c>
      <c r="CZ273" s="409">
        <v>35.503833821466515</v>
      </c>
      <c r="DA273" s="409">
        <v>0</v>
      </c>
      <c r="DB273" s="409">
        <v>0</v>
      </c>
      <c r="DC273" s="409">
        <v>177.41517203797866</v>
      </c>
      <c r="DD273" s="409">
        <v>0</v>
      </c>
      <c r="DE273" s="409">
        <v>0</v>
      </c>
      <c r="DF273" s="409">
        <v>0</v>
      </c>
      <c r="DG273" s="409">
        <v>2.3840519792581176</v>
      </c>
      <c r="DH273" s="409">
        <v>0</v>
      </c>
      <c r="DI273" s="409">
        <v>-46.300172482999415</v>
      </c>
      <c r="DJ273" s="409"/>
      <c r="DK273" s="409">
        <v>0</v>
      </c>
      <c r="DL273" s="409">
        <v>0</v>
      </c>
      <c r="DM273" s="409">
        <v>0</v>
      </c>
      <c r="DN273" s="409">
        <v>0</v>
      </c>
      <c r="DO273" s="409">
        <v>-5.8896578751743789</v>
      </c>
      <c r="DP273" s="409">
        <v>-0.84548188915927547</v>
      </c>
      <c r="DQ273" s="409">
        <v>0</v>
      </c>
      <c r="DR273" s="409">
        <v>-14.742612127677354</v>
      </c>
      <c r="DS273" s="409"/>
      <c r="DT273" s="409"/>
      <c r="DU273" s="409"/>
      <c r="DV273" s="409">
        <v>2383.1303753155416</v>
      </c>
      <c r="DW273" s="409">
        <v>0</v>
      </c>
      <c r="DX273" s="409">
        <v>0</v>
      </c>
      <c r="DY273" s="409">
        <v>-387.60515999999961</v>
      </c>
      <c r="DZ273" s="409">
        <v>156.60611999999992</v>
      </c>
      <c r="EA273" s="409">
        <v>0</v>
      </c>
      <c r="EB273" s="409">
        <v>0</v>
      </c>
      <c r="EC273" s="409">
        <v>-378.80567897904029</v>
      </c>
      <c r="ED273" s="409">
        <v>0</v>
      </c>
      <c r="EE273" s="409">
        <v>0</v>
      </c>
      <c r="EF273" s="409">
        <v>0</v>
      </c>
      <c r="EG273" s="409">
        <v>0</v>
      </c>
      <c r="EH273" s="409">
        <v>0</v>
      </c>
      <c r="EI273" s="409">
        <v>0</v>
      </c>
      <c r="EJ273" s="409">
        <v>0</v>
      </c>
      <c r="EK273" s="409">
        <v>0</v>
      </c>
      <c r="EL273" s="409">
        <v>0</v>
      </c>
      <c r="EM273" s="409">
        <v>0</v>
      </c>
      <c r="EN273" s="409">
        <v>0</v>
      </c>
      <c r="EO273" s="409">
        <v>0</v>
      </c>
      <c r="EP273" s="409">
        <v>0</v>
      </c>
      <c r="EQ273" s="409">
        <v>0</v>
      </c>
      <c r="ER273" s="409">
        <v>0</v>
      </c>
      <c r="ES273" s="409">
        <v>0</v>
      </c>
      <c r="ET273" s="409">
        <v>0</v>
      </c>
      <c r="EU273" s="409">
        <v>0</v>
      </c>
      <c r="EV273" s="409">
        <v>210</v>
      </c>
      <c r="EW273" s="409">
        <v>0</v>
      </c>
      <c r="EX273" s="409">
        <v>0</v>
      </c>
      <c r="EY273" s="409">
        <v>0</v>
      </c>
      <c r="EZ273" s="409"/>
      <c r="FA273" s="409">
        <v>0</v>
      </c>
      <c r="FB273" s="409"/>
      <c r="FC273" s="409"/>
      <c r="FD273" s="409"/>
      <c r="FE273" s="409"/>
      <c r="FF273" s="409">
        <v>0</v>
      </c>
      <c r="FG273" s="409">
        <v>0</v>
      </c>
      <c r="FH273" s="409">
        <v>0</v>
      </c>
      <c r="FI273" s="409">
        <v>0</v>
      </c>
    </row>
    <row r="274" spans="1:165">
      <c r="A274" s="409">
        <v>272</v>
      </c>
      <c r="B274" s="409" t="s">
        <v>1035</v>
      </c>
      <c r="C274" s="409" t="s">
        <v>2241</v>
      </c>
      <c r="D274" s="409" t="s">
        <v>1992</v>
      </c>
      <c r="E274" s="409" t="s">
        <v>1000</v>
      </c>
      <c r="F274" s="409" t="s">
        <v>2253</v>
      </c>
      <c r="G274" s="409" t="s">
        <v>1323</v>
      </c>
      <c r="H274" s="409" t="s">
        <v>1323</v>
      </c>
      <c r="I274" s="409" t="s">
        <v>1323</v>
      </c>
      <c r="J274" s="409" t="s">
        <v>2242</v>
      </c>
      <c r="K274" s="838">
        <v>44562</v>
      </c>
      <c r="L274" s="409">
        <v>0</v>
      </c>
      <c r="M274" s="409">
        <v>0</v>
      </c>
      <c r="N274" s="409">
        <v>3.3740000000000001</v>
      </c>
      <c r="O274" s="409">
        <v>3.1715599999999999</v>
      </c>
      <c r="P274" s="409">
        <v>3.3740000000000001</v>
      </c>
      <c r="Q274" s="409">
        <v>3.1715599999999999</v>
      </c>
      <c r="R274" s="409"/>
      <c r="S274" s="409">
        <v>358.62</v>
      </c>
      <c r="T274" s="409">
        <v>273.74</v>
      </c>
      <c r="U274" s="409"/>
      <c r="V274" s="409">
        <v>2133.5826400000001</v>
      </c>
      <c r="W274" s="409">
        <v>2133.5826400000001</v>
      </c>
      <c r="X274" s="409">
        <v>2068.7343599999999</v>
      </c>
      <c r="Y274" s="409">
        <v>0</v>
      </c>
      <c r="Z274" s="409">
        <v>203.70326672631089</v>
      </c>
      <c r="AA274" s="409">
        <v>0</v>
      </c>
      <c r="AB274" s="409">
        <v>0</v>
      </c>
      <c r="AC274" s="409">
        <v>0</v>
      </c>
      <c r="AD274" s="409">
        <v>290.46265871505244</v>
      </c>
      <c r="AE274" s="409">
        <v>668.31919395526836</v>
      </c>
      <c r="AF274" s="409">
        <v>923.59626219320637</v>
      </c>
      <c r="AG274" s="409">
        <v>0</v>
      </c>
      <c r="AH274" s="409">
        <v>0</v>
      </c>
      <c r="AI274" s="409">
        <v>0</v>
      </c>
      <c r="AJ274" s="409">
        <v>0</v>
      </c>
      <c r="AK274" s="409">
        <v>0</v>
      </c>
      <c r="AL274" s="409">
        <v>31.501515790892071</v>
      </c>
      <c r="AM274" s="409"/>
      <c r="AN274" s="409">
        <v>3.5936182862962016</v>
      </c>
      <c r="AO274" s="409">
        <v>0</v>
      </c>
      <c r="AP274" s="409">
        <v>0</v>
      </c>
      <c r="AQ274" s="409">
        <v>0</v>
      </c>
      <c r="AR274" s="409">
        <v>0</v>
      </c>
      <c r="AS274" s="409">
        <v>0</v>
      </c>
      <c r="AT274" s="409">
        <v>0</v>
      </c>
      <c r="AU274" s="409">
        <v>0</v>
      </c>
      <c r="AV274" s="409">
        <v>0</v>
      </c>
      <c r="AW274" s="409">
        <v>0</v>
      </c>
      <c r="AX274" s="409">
        <v>0</v>
      </c>
      <c r="AY274" s="409">
        <v>0</v>
      </c>
      <c r="AZ274" s="409">
        <v>0</v>
      </c>
      <c r="BA274" s="409"/>
      <c r="BB274" s="409">
        <v>0</v>
      </c>
      <c r="BC274" s="409">
        <v>0</v>
      </c>
      <c r="BD274" s="409">
        <v>0</v>
      </c>
      <c r="BE274" s="409">
        <v>0</v>
      </c>
      <c r="BF274" s="409">
        <v>0</v>
      </c>
      <c r="BG274" s="409">
        <v>12.411010127396096</v>
      </c>
      <c r="BH274" s="409">
        <v>0</v>
      </c>
      <c r="BI274" s="409">
        <v>0</v>
      </c>
      <c r="BJ274" s="409">
        <v>0</v>
      </c>
      <c r="BK274" s="409">
        <v>491.13</v>
      </c>
      <c r="BL274" s="409">
        <v>3</v>
      </c>
      <c r="BM274" s="409"/>
      <c r="BN274" s="409"/>
      <c r="BO274" s="409"/>
      <c r="BP274" s="409"/>
      <c r="BQ274" s="409">
        <v>124.1240616000001</v>
      </c>
      <c r="BR274" s="409"/>
      <c r="BS274" s="409"/>
      <c r="BT274" s="409"/>
      <c r="BU274" s="409"/>
      <c r="BV274" s="409">
        <v>936.00727232060251</v>
      </c>
      <c r="BW274" s="409"/>
      <c r="BX274" s="409"/>
      <c r="BY274" s="409"/>
      <c r="BZ274" s="409"/>
      <c r="CA274" s="409"/>
      <c r="CB274" s="409"/>
      <c r="CC274" s="409"/>
      <c r="CD274" s="409"/>
      <c r="CE274" s="409"/>
      <c r="CF274" s="409"/>
      <c r="CG274" s="409"/>
      <c r="CH274" s="409"/>
      <c r="CI274" s="409">
        <v>1943.6538</v>
      </c>
      <c r="CJ274" s="409">
        <v>-61.943881599999941</v>
      </c>
      <c r="CK274" s="409"/>
      <c r="CL274" s="409"/>
      <c r="CM274" s="409"/>
      <c r="CN274" s="409"/>
      <c r="CO274" s="409">
        <v>-108.7102800000001</v>
      </c>
      <c r="CP274" s="409">
        <v>43.862000000000002</v>
      </c>
      <c r="CQ274" s="409">
        <v>31</v>
      </c>
      <c r="CR274" s="409">
        <v>41.371583907382501</v>
      </c>
      <c r="CS274" s="409">
        <v>0</v>
      </c>
      <c r="CT274" s="409">
        <v>0</v>
      </c>
      <c r="CU274" s="409">
        <v>0</v>
      </c>
      <c r="CV274" s="409">
        <v>0</v>
      </c>
      <c r="CW274" s="409">
        <v>0</v>
      </c>
      <c r="CX274" s="409">
        <v>0</v>
      </c>
      <c r="CY274" s="409">
        <v>0</v>
      </c>
      <c r="CZ274" s="409">
        <v>9.9566074301510525</v>
      </c>
      <c r="DA274" s="409">
        <v>0</v>
      </c>
      <c r="DB274" s="409">
        <v>0</v>
      </c>
      <c r="DC274" s="409">
        <v>49.753872469590647</v>
      </c>
      <c r="DD274" s="409">
        <v>0</v>
      </c>
      <c r="DE274" s="409">
        <v>0</v>
      </c>
      <c r="DF274" s="409">
        <v>0</v>
      </c>
      <c r="DG274" s="409">
        <v>0.66857764628773886</v>
      </c>
      <c r="DH274" s="409">
        <v>0</v>
      </c>
      <c r="DI274" s="409">
        <v>-12.984305967620969</v>
      </c>
      <c r="DJ274" s="409"/>
      <c r="DK274" s="409">
        <v>0</v>
      </c>
      <c r="DL274" s="409">
        <v>0</v>
      </c>
      <c r="DM274" s="409">
        <v>0</v>
      </c>
      <c r="DN274" s="409">
        <v>0</v>
      </c>
      <c r="DO274" s="409">
        <v>-1.6516811017054778</v>
      </c>
      <c r="DP274" s="409">
        <v>-0.23710485188705244</v>
      </c>
      <c r="DQ274" s="409">
        <v>0</v>
      </c>
      <c r="DR274" s="409">
        <v>-4.1343817174333006</v>
      </c>
      <c r="DS274" s="409"/>
      <c r="DT274" s="409"/>
      <c r="DU274" s="409"/>
      <c r="DV274" s="409">
        <v>668.31919395526836</v>
      </c>
      <c r="DW274" s="409">
        <v>0</v>
      </c>
      <c r="DX274" s="409">
        <v>0</v>
      </c>
      <c r="DY274" s="409">
        <v>-108.71028000000001</v>
      </c>
      <c r="DZ274" s="409">
        <v>43.861999999999966</v>
      </c>
      <c r="EA274" s="409">
        <v>0</v>
      </c>
      <c r="EB274" s="409">
        <v>0</v>
      </c>
      <c r="EC274" s="409">
        <v>-106.23132861853264</v>
      </c>
      <c r="ED274" s="409">
        <v>0</v>
      </c>
      <c r="EE274" s="409">
        <v>0</v>
      </c>
      <c r="EF274" s="409">
        <v>0</v>
      </c>
      <c r="EG274" s="409">
        <v>0</v>
      </c>
      <c r="EH274" s="409">
        <v>0</v>
      </c>
      <c r="EI274" s="409">
        <v>0</v>
      </c>
      <c r="EJ274" s="409">
        <v>0</v>
      </c>
      <c r="EK274" s="409">
        <v>0</v>
      </c>
      <c r="EL274" s="409">
        <v>0</v>
      </c>
      <c r="EM274" s="409">
        <v>0</v>
      </c>
      <c r="EN274" s="409">
        <v>0</v>
      </c>
      <c r="EO274" s="409">
        <v>0</v>
      </c>
      <c r="EP274" s="409">
        <v>0</v>
      </c>
      <c r="EQ274" s="409">
        <v>0</v>
      </c>
      <c r="ER274" s="409">
        <v>0</v>
      </c>
      <c r="ES274" s="409">
        <v>0</v>
      </c>
      <c r="ET274" s="409">
        <v>0</v>
      </c>
      <c r="EU274" s="409">
        <v>0</v>
      </c>
      <c r="EV274" s="409">
        <v>210</v>
      </c>
      <c r="EW274" s="409">
        <v>0</v>
      </c>
      <c r="EX274" s="409">
        <v>0</v>
      </c>
      <c r="EY274" s="409">
        <v>0</v>
      </c>
      <c r="EZ274" s="409"/>
      <c r="FA274" s="409">
        <v>0</v>
      </c>
      <c r="FB274" s="409"/>
      <c r="FC274" s="409"/>
      <c r="FD274" s="409"/>
      <c r="FE274" s="409"/>
      <c r="FF274" s="409">
        <v>0</v>
      </c>
      <c r="FG274" s="409">
        <v>0</v>
      </c>
      <c r="FH274" s="409">
        <v>0</v>
      </c>
      <c r="FI274" s="409">
        <v>0</v>
      </c>
    </row>
    <row r="275" spans="1:165">
      <c r="A275" s="409">
        <v>273</v>
      </c>
      <c r="B275" s="409" t="s">
        <v>1035</v>
      </c>
      <c r="C275" s="409" t="s">
        <v>2246</v>
      </c>
      <c r="D275" s="409" t="s">
        <v>595</v>
      </c>
      <c r="E275" s="409" t="s">
        <v>1000</v>
      </c>
      <c r="F275" s="409" t="s">
        <v>2253</v>
      </c>
      <c r="G275" s="409" t="s">
        <v>1323</v>
      </c>
      <c r="H275" s="409" t="s">
        <v>1323</v>
      </c>
      <c r="I275" s="409" t="s">
        <v>972</v>
      </c>
      <c r="J275" s="409" t="s">
        <v>2242</v>
      </c>
      <c r="K275" s="838">
        <v>44562</v>
      </c>
      <c r="L275" s="409">
        <v>0</v>
      </c>
      <c r="M275" s="409">
        <v>0</v>
      </c>
      <c r="N275" s="409">
        <v>7.4989999999999997</v>
      </c>
      <c r="O275" s="409">
        <v>7.049059999999999</v>
      </c>
      <c r="P275" s="409">
        <v>7.4989999999999997</v>
      </c>
      <c r="Q275" s="409">
        <v>7.049059999999999</v>
      </c>
      <c r="R275" s="409"/>
      <c r="S275" s="409">
        <v>1856.88</v>
      </c>
      <c r="T275" s="409">
        <v>273.74</v>
      </c>
      <c r="U275" s="409"/>
      <c r="V275" s="409">
        <v>15977.519380000002</v>
      </c>
      <c r="W275" s="409">
        <v>15977.519380000002</v>
      </c>
      <c r="X275" s="409">
        <v>14640.07273</v>
      </c>
      <c r="Y275" s="409">
        <v>0</v>
      </c>
      <c r="Z275" s="409">
        <v>393.89051379582861</v>
      </c>
      <c r="AA275" s="409">
        <v>0</v>
      </c>
      <c r="AB275" s="409">
        <v>0</v>
      </c>
      <c r="AC275" s="409">
        <v>0</v>
      </c>
      <c r="AD275" s="409">
        <v>3675.1989363196694</v>
      </c>
      <c r="AE275" s="409">
        <v>9766.5590256827145</v>
      </c>
      <c r="AF275" s="409">
        <v>2052.7707084134126</v>
      </c>
      <c r="AG275" s="409">
        <v>0</v>
      </c>
      <c r="AH275" s="409">
        <v>0</v>
      </c>
      <c r="AI275" s="409">
        <v>0</v>
      </c>
      <c r="AJ275" s="409">
        <v>0</v>
      </c>
      <c r="AK275" s="409">
        <v>0</v>
      </c>
      <c r="AL275" s="409">
        <v>70.014779761677431</v>
      </c>
      <c r="AM275" s="409"/>
      <c r="AN275" s="409">
        <v>6.5097912383450325</v>
      </c>
      <c r="AO275" s="409">
        <v>0</v>
      </c>
      <c r="AP275" s="409">
        <v>0</v>
      </c>
      <c r="AQ275" s="409">
        <v>0</v>
      </c>
      <c r="AR275" s="409">
        <v>0</v>
      </c>
      <c r="AS275" s="409">
        <v>0</v>
      </c>
      <c r="AT275" s="409">
        <v>0</v>
      </c>
      <c r="AU275" s="409">
        <v>0</v>
      </c>
      <c r="AV275" s="409">
        <v>0</v>
      </c>
      <c r="AW275" s="409">
        <v>0</v>
      </c>
      <c r="AX275" s="409">
        <v>0</v>
      </c>
      <c r="AY275" s="409">
        <v>0</v>
      </c>
      <c r="AZ275" s="409">
        <v>0</v>
      </c>
      <c r="BA275" s="409"/>
      <c r="BB275" s="409">
        <v>0</v>
      </c>
      <c r="BC275" s="409">
        <v>0</v>
      </c>
      <c r="BD275" s="409">
        <v>0</v>
      </c>
      <c r="BE275" s="409">
        <v>0</v>
      </c>
      <c r="BF275" s="409">
        <v>0</v>
      </c>
      <c r="BG275" s="409">
        <v>12.548270721826398</v>
      </c>
      <c r="BH275" s="409">
        <v>0</v>
      </c>
      <c r="BI275" s="409">
        <v>0</v>
      </c>
      <c r="BJ275" s="409">
        <v>0</v>
      </c>
      <c r="BK275" s="409">
        <v>0</v>
      </c>
      <c r="BL275" s="409">
        <v>0</v>
      </c>
      <c r="BM275" s="409"/>
      <c r="BN275" s="409"/>
      <c r="BO275" s="409"/>
      <c r="BP275" s="409"/>
      <c r="BQ275" s="409">
        <v>878.40436380000131</v>
      </c>
      <c r="BR275" s="409"/>
      <c r="BS275" s="409"/>
      <c r="BT275" s="409"/>
      <c r="BU275" s="409"/>
      <c r="BV275" s="409">
        <v>2065.3189791352393</v>
      </c>
      <c r="BW275" s="409"/>
      <c r="BX275" s="409"/>
      <c r="BY275" s="409"/>
      <c r="BZ275" s="409"/>
      <c r="CA275" s="409"/>
      <c r="CB275" s="409"/>
      <c r="CC275" s="409"/>
      <c r="CD275" s="409"/>
      <c r="CE275" s="409"/>
      <c r="CF275" s="409"/>
      <c r="CG275" s="409"/>
      <c r="CH275" s="409"/>
      <c r="CI275" s="409">
        <v>13763.503499999999</v>
      </c>
      <c r="CJ275" s="409">
        <v>-1255.3947172000007</v>
      </c>
      <c r="CK275" s="409"/>
      <c r="CL275" s="409"/>
      <c r="CM275" s="409"/>
      <c r="CN275" s="409"/>
      <c r="CO275" s="409">
        <v>-1434.9336500000009</v>
      </c>
      <c r="CP275" s="409">
        <v>97.486999999999995</v>
      </c>
      <c r="CQ275" s="409">
        <v>31</v>
      </c>
      <c r="CR275" s="409">
        <v>215.05763725052566</v>
      </c>
      <c r="CS275" s="409">
        <v>0</v>
      </c>
      <c r="CT275" s="409">
        <v>0</v>
      </c>
      <c r="CU275" s="409">
        <v>0</v>
      </c>
      <c r="CV275" s="409">
        <v>0</v>
      </c>
      <c r="CW275" s="409">
        <v>0</v>
      </c>
      <c r="CX275" s="409">
        <v>0</v>
      </c>
      <c r="CY275" s="409">
        <v>0</v>
      </c>
      <c r="CZ275" s="409">
        <v>125.98009395947884</v>
      </c>
      <c r="DA275" s="409">
        <v>0</v>
      </c>
      <c r="DB275" s="409">
        <v>0</v>
      </c>
      <c r="DC275" s="409">
        <v>110.58218424702454</v>
      </c>
      <c r="DD275" s="409">
        <v>0</v>
      </c>
      <c r="DE275" s="409">
        <v>0</v>
      </c>
      <c r="DF275" s="409">
        <v>0</v>
      </c>
      <c r="DG275" s="409">
        <v>0.67597183614101652</v>
      </c>
      <c r="DH275" s="409">
        <v>0</v>
      </c>
      <c r="DI275" s="409">
        <v>-25.107083607745892</v>
      </c>
      <c r="DJ275" s="409"/>
      <c r="DK275" s="409">
        <v>0</v>
      </c>
      <c r="DL275" s="409">
        <v>0</v>
      </c>
      <c r="DM275" s="409">
        <v>0</v>
      </c>
      <c r="DN275" s="409">
        <v>0</v>
      </c>
      <c r="DO275" s="409">
        <v>-3.6710007651717262</v>
      </c>
      <c r="DP275" s="409">
        <v>-0.42951225322660047</v>
      </c>
      <c r="DQ275" s="409">
        <v>0</v>
      </c>
      <c r="DR275" s="409">
        <v>7.02698383402684</v>
      </c>
      <c r="DS275" s="409"/>
      <c r="DT275" s="409"/>
      <c r="DU275" s="409"/>
      <c r="DV275" s="409">
        <v>9766.5590256827145</v>
      </c>
      <c r="DW275" s="409">
        <v>0</v>
      </c>
      <c r="DX275" s="409">
        <v>0</v>
      </c>
      <c r="DY275" s="409">
        <v>-1434.9336500000009</v>
      </c>
      <c r="DZ275" s="409">
        <v>97.48700000000008</v>
      </c>
      <c r="EA275" s="409">
        <v>0</v>
      </c>
      <c r="EB275" s="409">
        <v>0</v>
      </c>
      <c r="EC275" s="409">
        <v>-1552.423678256635</v>
      </c>
      <c r="ED275" s="409">
        <v>0</v>
      </c>
      <c r="EE275" s="409">
        <v>0</v>
      </c>
      <c r="EF275" s="409">
        <v>0</v>
      </c>
      <c r="EG275" s="409">
        <v>0</v>
      </c>
      <c r="EH275" s="409">
        <v>0</v>
      </c>
      <c r="EI275" s="409">
        <v>0</v>
      </c>
      <c r="EJ275" s="409">
        <v>0</v>
      </c>
      <c r="EK275" s="409">
        <v>0</v>
      </c>
      <c r="EL275" s="409">
        <v>0</v>
      </c>
      <c r="EM275" s="409">
        <v>0</v>
      </c>
      <c r="EN275" s="409">
        <v>0</v>
      </c>
      <c r="EO275" s="409">
        <v>0</v>
      </c>
      <c r="EP275" s="409">
        <v>0</v>
      </c>
      <c r="EQ275" s="409">
        <v>0</v>
      </c>
      <c r="ER275" s="409">
        <v>0</v>
      </c>
      <c r="ES275" s="409">
        <v>0</v>
      </c>
      <c r="ET275" s="409">
        <v>0</v>
      </c>
      <c r="EU275" s="409">
        <v>0</v>
      </c>
      <c r="EV275" s="409">
        <v>210</v>
      </c>
      <c r="EW275" s="409">
        <v>0</v>
      </c>
      <c r="EX275" s="409">
        <v>0</v>
      </c>
      <c r="EY275" s="409">
        <v>0</v>
      </c>
      <c r="EZ275" s="409"/>
      <c r="FA275" s="409">
        <v>0</v>
      </c>
      <c r="FB275" s="409"/>
      <c r="FC275" s="409"/>
      <c r="FD275" s="409"/>
      <c r="FE275" s="409"/>
      <c r="FF275" s="409">
        <v>0</v>
      </c>
      <c r="FG275" s="409">
        <v>0</v>
      </c>
      <c r="FH275" s="409">
        <v>0</v>
      </c>
      <c r="FI275" s="409">
        <v>0</v>
      </c>
    </row>
    <row r="276" spans="1:165">
      <c r="A276" s="409">
        <v>274</v>
      </c>
      <c r="B276" s="409" t="s">
        <v>1035</v>
      </c>
      <c r="C276" s="409" t="s">
        <v>2246</v>
      </c>
      <c r="D276" s="409" t="s">
        <v>595</v>
      </c>
      <c r="E276" s="409" t="s">
        <v>1000</v>
      </c>
      <c r="F276" s="409" t="s">
        <v>2253</v>
      </c>
      <c r="G276" s="409" t="s">
        <v>1323</v>
      </c>
      <c r="H276" s="409" t="s">
        <v>1323</v>
      </c>
      <c r="I276" s="409" t="s">
        <v>2234</v>
      </c>
      <c r="J276" s="409" t="s">
        <v>2242</v>
      </c>
      <c r="K276" s="838">
        <v>44562</v>
      </c>
      <c r="L276" s="409">
        <v>0</v>
      </c>
      <c r="M276" s="409">
        <v>0</v>
      </c>
      <c r="N276" s="409">
        <v>65.180000000000007</v>
      </c>
      <c r="O276" s="409">
        <v>61.269200000000005</v>
      </c>
      <c r="P276" s="409">
        <v>65.180000000000007</v>
      </c>
      <c r="Q276" s="409">
        <v>61.269200000000005</v>
      </c>
      <c r="R276" s="409"/>
      <c r="S276" s="409">
        <v>64.400000000000006</v>
      </c>
      <c r="T276" s="409">
        <v>273.74</v>
      </c>
      <c r="U276" s="409"/>
      <c r="V276" s="409">
        <v>22039.965200000002</v>
      </c>
      <c r="W276" s="409">
        <v>22039.965200000002</v>
      </c>
      <c r="X276" s="409">
        <v>22645.487400000002</v>
      </c>
      <c r="Y276" s="409">
        <v>0</v>
      </c>
      <c r="Z276" s="409">
        <v>3423.6276422472479</v>
      </c>
      <c r="AA276" s="409">
        <v>0</v>
      </c>
      <c r="AB276" s="409">
        <v>0</v>
      </c>
      <c r="AC276" s="409">
        <v>0</v>
      </c>
      <c r="AD276" s="409">
        <v>0</v>
      </c>
      <c r="AE276" s="409">
        <v>0</v>
      </c>
      <c r="AF276" s="409">
        <v>17842.324946577708</v>
      </c>
      <c r="AG276" s="409">
        <v>0</v>
      </c>
      <c r="AH276" s="409">
        <v>0</v>
      </c>
      <c r="AI276" s="409">
        <v>0</v>
      </c>
      <c r="AJ276" s="409">
        <v>0</v>
      </c>
      <c r="AK276" s="409">
        <v>0</v>
      </c>
      <c r="AL276" s="409">
        <v>608.55625348261572</v>
      </c>
      <c r="AM276" s="409"/>
      <c r="AN276" s="409">
        <v>56.581969984708529</v>
      </c>
      <c r="AO276" s="409">
        <v>0</v>
      </c>
      <c r="AP276" s="409">
        <v>0</v>
      </c>
      <c r="AQ276" s="409">
        <v>0</v>
      </c>
      <c r="AR276" s="409">
        <v>0</v>
      </c>
      <c r="AS276" s="409">
        <v>0</v>
      </c>
      <c r="AT276" s="409">
        <v>0</v>
      </c>
      <c r="AU276" s="409">
        <v>0</v>
      </c>
      <c r="AV276" s="409">
        <v>0</v>
      </c>
      <c r="AW276" s="409">
        <v>0</v>
      </c>
      <c r="AX276" s="409">
        <v>0</v>
      </c>
      <c r="AY276" s="409">
        <v>0</v>
      </c>
      <c r="AZ276" s="409">
        <v>0</v>
      </c>
      <c r="BA276" s="409"/>
      <c r="BB276" s="409">
        <v>0</v>
      </c>
      <c r="BC276" s="409">
        <v>0</v>
      </c>
      <c r="BD276" s="409">
        <v>0</v>
      </c>
      <c r="BE276" s="409">
        <v>0</v>
      </c>
      <c r="BF276" s="409">
        <v>0</v>
      </c>
      <c r="BG276" s="409">
        <v>109.06738040387316</v>
      </c>
      <c r="BH276" s="409">
        <v>0</v>
      </c>
      <c r="BI276" s="409">
        <v>0</v>
      </c>
      <c r="BJ276" s="409">
        <v>0</v>
      </c>
      <c r="BK276" s="409">
        <v>0</v>
      </c>
      <c r="BL276" s="409">
        <v>0</v>
      </c>
      <c r="BM276" s="409"/>
      <c r="BN276" s="409"/>
      <c r="BO276" s="409"/>
      <c r="BP276" s="409"/>
      <c r="BQ276" s="409">
        <v>1358.7292440000006</v>
      </c>
      <c r="BR276" s="409"/>
      <c r="BS276" s="409"/>
      <c r="BT276" s="409"/>
      <c r="BU276" s="409"/>
      <c r="BV276" s="409">
        <v>17951.392326981582</v>
      </c>
      <c r="BW276" s="409"/>
      <c r="BX276" s="409"/>
      <c r="BY276" s="409"/>
      <c r="BZ276" s="409"/>
      <c r="CA276" s="409"/>
      <c r="CB276" s="409"/>
      <c r="CC276" s="409"/>
      <c r="CD276" s="409"/>
      <c r="CE276" s="409"/>
      <c r="CF276" s="409"/>
      <c r="CG276" s="409"/>
      <c r="CH276" s="409"/>
      <c r="CI276" s="409">
        <v>21287.036100000005</v>
      </c>
      <c r="CJ276" s="409">
        <v>569.43881200000396</v>
      </c>
      <c r="CK276" s="409"/>
      <c r="CL276" s="409"/>
      <c r="CM276" s="409"/>
      <c r="CN276" s="409"/>
      <c r="CO276" s="409">
        <v>-241.81780000000055</v>
      </c>
      <c r="CP276" s="409">
        <v>847.34000000000015</v>
      </c>
      <c r="CQ276" s="409">
        <v>31</v>
      </c>
      <c r="CR276" s="409">
        <v>605.62158967919822</v>
      </c>
      <c r="CS276" s="409">
        <v>0</v>
      </c>
      <c r="CT276" s="409">
        <v>0</v>
      </c>
      <c r="CU276" s="409">
        <v>0</v>
      </c>
      <c r="CV276" s="409">
        <v>0</v>
      </c>
      <c r="CW276" s="409">
        <v>0</v>
      </c>
      <c r="CX276" s="409">
        <v>0</v>
      </c>
      <c r="CY276" s="409">
        <v>0</v>
      </c>
      <c r="CZ276" s="409">
        <v>0</v>
      </c>
      <c r="DA276" s="409">
        <v>0</v>
      </c>
      <c r="DB276" s="409">
        <v>0</v>
      </c>
      <c r="DC276" s="409">
        <v>961.16105737046018</v>
      </c>
      <c r="DD276" s="409">
        <v>0</v>
      </c>
      <c r="DE276" s="409">
        <v>0</v>
      </c>
      <c r="DF276" s="409">
        <v>0</v>
      </c>
      <c r="DG276" s="409">
        <v>5.8754292945288</v>
      </c>
      <c r="DH276" s="409">
        <v>0</v>
      </c>
      <c r="DI276" s="409">
        <v>-218.2263914592445</v>
      </c>
      <c r="DJ276" s="409"/>
      <c r="DK276" s="409">
        <v>0</v>
      </c>
      <c r="DL276" s="409">
        <v>0</v>
      </c>
      <c r="DM276" s="409">
        <v>0</v>
      </c>
      <c r="DN276" s="409">
        <v>0</v>
      </c>
      <c r="DO276" s="409">
        <v>-31.90769834296475</v>
      </c>
      <c r="DP276" s="409">
        <v>-3.7332455881197291</v>
      </c>
      <c r="DQ276" s="409">
        <v>0</v>
      </c>
      <c r="DR276" s="409">
        <v>-107.54756159545992</v>
      </c>
      <c r="DS276" s="409"/>
      <c r="DT276" s="409"/>
      <c r="DU276" s="409"/>
      <c r="DV276" s="409">
        <v>0</v>
      </c>
      <c r="DW276" s="409">
        <v>0</v>
      </c>
      <c r="DX276" s="409">
        <v>0</v>
      </c>
      <c r="DY276" s="409">
        <v>-241.81780000000026</v>
      </c>
      <c r="DZ276" s="409">
        <v>847.34000000000015</v>
      </c>
      <c r="EA276" s="409">
        <v>0</v>
      </c>
      <c r="EB276" s="409">
        <v>0</v>
      </c>
      <c r="EC276" s="409">
        <v>0</v>
      </c>
      <c r="ED276" s="409">
        <v>0</v>
      </c>
      <c r="EE276" s="409">
        <v>0</v>
      </c>
      <c r="EF276" s="409">
        <v>0</v>
      </c>
      <c r="EG276" s="409">
        <v>0</v>
      </c>
      <c r="EH276" s="409">
        <v>0</v>
      </c>
      <c r="EI276" s="409">
        <v>0</v>
      </c>
      <c r="EJ276" s="409">
        <v>0</v>
      </c>
      <c r="EK276" s="409">
        <v>0</v>
      </c>
      <c r="EL276" s="409">
        <v>0</v>
      </c>
      <c r="EM276" s="409">
        <v>0</v>
      </c>
      <c r="EN276" s="409">
        <v>0</v>
      </c>
      <c r="EO276" s="409">
        <v>0</v>
      </c>
      <c r="EP276" s="409">
        <v>0</v>
      </c>
      <c r="EQ276" s="409">
        <v>0</v>
      </c>
      <c r="ER276" s="409">
        <v>0</v>
      </c>
      <c r="ES276" s="409">
        <v>0</v>
      </c>
      <c r="ET276" s="409">
        <v>0</v>
      </c>
      <c r="EU276" s="409">
        <v>0</v>
      </c>
      <c r="EV276" s="409">
        <v>210</v>
      </c>
      <c r="EW276" s="409">
        <v>0</v>
      </c>
      <c r="EX276" s="409">
        <v>0</v>
      </c>
      <c r="EY276" s="409">
        <v>0</v>
      </c>
      <c r="EZ276" s="409"/>
      <c r="FA276" s="409">
        <v>0</v>
      </c>
      <c r="FB276" s="409"/>
      <c r="FC276" s="409"/>
      <c r="FD276" s="409"/>
      <c r="FE276" s="409"/>
      <c r="FF276" s="409">
        <v>0</v>
      </c>
      <c r="FG276" s="409">
        <v>0</v>
      </c>
      <c r="FH276" s="409">
        <v>0</v>
      </c>
      <c r="FI276" s="409">
        <v>0</v>
      </c>
    </row>
    <row r="277" spans="1:165">
      <c r="A277" s="409">
        <v>275</v>
      </c>
      <c r="B277" s="409" t="s">
        <v>1035</v>
      </c>
      <c r="C277" s="409" t="s">
        <v>2246</v>
      </c>
      <c r="D277" s="409" t="s">
        <v>595</v>
      </c>
      <c r="E277" s="409" t="s">
        <v>1000</v>
      </c>
      <c r="F277" s="409" t="s">
        <v>2253</v>
      </c>
      <c r="G277" s="409" t="s">
        <v>1323</v>
      </c>
      <c r="H277" s="409" t="s">
        <v>1323</v>
      </c>
      <c r="I277" s="409" t="s">
        <v>1323</v>
      </c>
      <c r="J277" s="409" t="s">
        <v>2242</v>
      </c>
      <c r="K277" s="838">
        <v>44562</v>
      </c>
      <c r="L277" s="409">
        <v>140</v>
      </c>
      <c r="M277" s="409">
        <v>131.6</v>
      </c>
      <c r="N277" s="409">
        <v>0</v>
      </c>
      <c r="O277" s="409">
        <v>0</v>
      </c>
      <c r="P277" s="409">
        <v>0</v>
      </c>
      <c r="Q277" s="409">
        <v>0</v>
      </c>
      <c r="R277" s="409">
        <v>33.6</v>
      </c>
      <c r="S277" s="409"/>
      <c r="T277" s="409"/>
      <c r="U277" s="409">
        <v>4704</v>
      </c>
      <c r="V277" s="409"/>
      <c r="W277" s="409">
        <v>4704</v>
      </c>
      <c r="X277" s="409">
        <v>4446.4000000000005</v>
      </c>
      <c r="Y277" s="409">
        <v>0</v>
      </c>
      <c r="Z277" s="409">
        <v>0</v>
      </c>
      <c r="AA277" s="409">
        <v>0</v>
      </c>
      <c r="AB277" s="409">
        <v>0</v>
      </c>
      <c r="AC277" s="409">
        <v>0</v>
      </c>
      <c r="AD277" s="409">
        <v>2498.3720823538683</v>
      </c>
      <c r="AE277" s="409">
        <v>2205.721001824802</v>
      </c>
      <c r="AF277" s="409"/>
      <c r="AG277" s="409"/>
      <c r="AH277" s="409"/>
      <c r="AI277" s="409">
        <v>0</v>
      </c>
      <c r="AJ277" s="409">
        <v>0</v>
      </c>
      <c r="AK277" s="409">
        <v>0</v>
      </c>
      <c r="AL277" s="409">
        <v>0</v>
      </c>
      <c r="AM277" s="409"/>
      <c r="AN277" s="409">
        <v>0</v>
      </c>
      <c r="AO277" s="409">
        <v>0</v>
      </c>
      <c r="AP277" s="409">
        <v>0</v>
      </c>
      <c r="AQ277" s="409">
        <v>0</v>
      </c>
      <c r="AR277" s="409">
        <v>0</v>
      </c>
      <c r="AS277" s="409"/>
      <c r="AT277" s="409"/>
      <c r="AU277" s="409">
        <v>0</v>
      </c>
      <c r="AV277" s="409">
        <v>0</v>
      </c>
      <c r="AW277" s="409">
        <v>0</v>
      </c>
      <c r="AX277" s="409"/>
      <c r="AY277" s="409"/>
      <c r="AZ277" s="409">
        <v>0</v>
      </c>
      <c r="BA277" s="409"/>
      <c r="BB277" s="409">
        <v>0</v>
      </c>
      <c r="BC277" s="409">
        <v>0</v>
      </c>
      <c r="BD277" s="409">
        <v>0</v>
      </c>
      <c r="BE277" s="409">
        <v>0</v>
      </c>
      <c r="BF277" s="409"/>
      <c r="BG277" s="409">
        <v>0</v>
      </c>
      <c r="BH277" s="409">
        <v>0</v>
      </c>
      <c r="BI277" s="409">
        <v>0</v>
      </c>
      <c r="BJ277" s="409">
        <v>0</v>
      </c>
      <c r="BK277" s="409">
        <v>9898.01</v>
      </c>
      <c r="BL277" s="409">
        <v>1</v>
      </c>
      <c r="BM277" s="409"/>
      <c r="BN277" s="409"/>
      <c r="BO277" s="409"/>
      <c r="BP277" s="409"/>
      <c r="BQ277" s="409">
        <v>266.78400000000022</v>
      </c>
      <c r="BR277" s="409"/>
      <c r="BS277" s="409"/>
      <c r="BT277" s="409"/>
      <c r="BU277" s="409"/>
      <c r="BV277" s="409">
        <v>0</v>
      </c>
      <c r="BW277" s="409"/>
      <c r="BX277" s="409"/>
      <c r="BY277" s="409"/>
      <c r="BZ277" s="409"/>
      <c r="CA277" s="409"/>
      <c r="CB277" s="409"/>
      <c r="CC277" s="409"/>
      <c r="CD277" s="409"/>
      <c r="CE277" s="409"/>
      <c r="CF277" s="409"/>
      <c r="CG277" s="409"/>
      <c r="CH277" s="409"/>
      <c r="CI277" s="409">
        <v>4179.616</v>
      </c>
      <c r="CJ277" s="409">
        <v>-242.17400000000089</v>
      </c>
      <c r="CK277" s="409"/>
      <c r="CL277" s="409"/>
      <c r="CM277" s="409"/>
      <c r="CN277" s="409"/>
      <c r="CO277" s="409">
        <v>-257.59999999999997</v>
      </c>
      <c r="CP277" s="409">
        <v>0</v>
      </c>
      <c r="CQ277" s="409">
        <v>31</v>
      </c>
      <c r="CR277" s="409">
        <v>92.429688544023975</v>
      </c>
      <c r="CS277" s="409">
        <v>0</v>
      </c>
      <c r="CT277" s="409">
        <v>0</v>
      </c>
      <c r="CU277" s="409">
        <v>0</v>
      </c>
      <c r="CV277" s="409">
        <v>0</v>
      </c>
      <c r="CW277" s="409"/>
      <c r="CX277" s="409"/>
      <c r="CY277" s="409"/>
      <c r="CZ277" s="409">
        <v>85.640302779317608</v>
      </c>
      <c r="DA277" s="409">
        <v>0</v>
      </c>
      <c r="DB277" s="409">
        <v>0</v>
      </c>
      <c r="DC277" s="409"/>
      <c r="DD277" s="409"/>
      <c r="DE277" s="409">
        <v>0</v>
      </c>
      <c r="DF277" s="409">
        <v>0</v>
      </c>
      <c r="DG277" s="409">
        <v>0</v>
      </c>
      <c r="DH277" s="409">
        <v>0</v>
      </c>
      <c r="DI277" s="409">
        <v>0</v>
      </c>
      <c r="DJ277" s="409"/>
      <c r="DK277" s="409">
        <v>0</v>
      </c>
      <c r="DL277" s="409">
        <v>0</v>
      </c>
      <c r="DM277" s="409"/>
      <c r="DN277" s="409">
        <v>0</v>
      </c>
      <c r="DO277" s="409">
        <v>0</v>
      </c>
      <c r="DP277" s="409">
        <v>0</v>
      </c>
      <c r="DQ277" s="409">
        <v>0</v>
      </c>
      <c r="DR277" s="409">
        <v>6.7893857647062585</v>
      </c>
      <c r="DS277" s="409"/>
      <c r="DT277" s="409"/>
      <c r="DU277" s="409">
        <v>2205.721001824802</v>
      </c>
      <c r="DV277" s="409"/>
      <c r="DW277" s="409">
        <v>0</v>
      </c>
      <c r="DX277" s="409">
        <v>0</v>
      </c>
      <c r="DY277" s="409">
        <v>-257.59999999999945</v>
      </c>
      <c r="DZ277" s="409"/>
      <c r="EA277" s="409">
        <v>0</v>
      </c>
      <c r="EB277" s="409"/>
      <c r="EC277" s="409">
        <v>-350.60593007797002</v>
      </c>
      <c r="ED277" s="409"/>
      <c r="EE277" s="409">
        <v>0</v>
      </c>
      <c r="EF277" s="409">
        <v>0</v>
      </c>
      <c r="EG277" s="409"/>
      <c r="EH277" s="409">
        <v>0</v>
      </c>
      <c r="EI277" s="409">
        <v>0</v>
      </c>
      <c r="EJ277" s="409">
        <v>0</v>
      </c>
      <c r="EK277" s="409">
        <v>0</v>
      </c>
      <c r="EL277" s="409">
        <v>0</v>
      </c>
      <c r="EM277" s="409"/>
      <c r="EN277" s="409"/>
      <c r="EO277" s="409">
        <v>0</v>
      </c>
      <c r="EP277" s="409">
        <v>0</v>
      </c>
      <c r="EQ277" s="409"/>
      <c r="ER277" s="409">
        <v>0</v>
      </c>
      <c r="ES277" s="409"/>
      <c r="ET277" s="409">
        <v>0</v>
      </c>
      <c r="EU277" s="409"/>
      <c r="EV277" s="409">
        <v>210</v>
      </c>
      <c r="EW277" s="409"/>
      <c r="EX277" s="409"/>
      <c r="EY277" s="409"/>
      <c r="EZ277" s="409"/>
      <c r="FA277" s="409">
        <v>0</v>
      </c>
      <c r="FB277" s="409"/>
      <c r="FC277" s="409"/>
      <c r="FD277" s="409"/>
      <c r="FE277" s="409"/>
      <c r="FF277" s="409">
        <v>0</v>
      </c>
      <c r="FG277" s="409">
        <v>0</v>
      </c>
      <c r="FH277" s="409">
        <v>0</v>
      </c>
      <c r="FI277" s="409">
        <v>0</v>
      </c>
    </row>
    <row r="278" spans="1:165">
      <c r="A278" s="409">
        <v>276</v>
      </c>
      <c r="B278" s="409" t="s">
        <v>1035</v>
      </c>
      <c r="C278" s="409" t="s">
        <v>2241</v>
      </c>
      <c r="D278" s="409" t="s">
        <v>2247</v>
      </c>
      <c r="E278" s="409" t="s">
        <v>973</v>
      </c>
      <c r="F278" s="409" t="s">
        <v>2254</v>
      </c>
      <c r="G278" s="409" t="s">
        <v>2255</v>
      </c>
      <c r="H278" s="409" t="s">
        <v>1323</v>
      </c>
      <c r="I278" s="409" t="s">
        <v>1323</v>
      </c>
      <c r="J278" s="409" t="s">
        <v>2242</v>
      </c>
      <c r="K278" s="838">
        <v>44562</v>
      </c>
      <c r="L278" s="409">
        <v>0</v>
      </c>
      <c r="M278" s="409">
        <v>0</v>
      </c>
      <c r="N278" s="409">
        <v>0</v>
      </c>
      <c r="O278" s="409">
        <v>0</v>
      </c>
      <c r="P278" s="409">
        <v>0</v>
      </c>
      <c r="Q278" s="409">
        <v>0</v>
      </c>
      <c r="R278" s="409"/>
      <c r="S278" s="409"/>
      <c r="T278" s="409"/>
      <c r="U278" s="409"/>
      <c r="V278" s="409"/>
      <c r="W278" s="409"/>
      <c r="X278" s="409"/>
      <c r="Y278" s="409"/>
      <c r="Z278" s="409"/>
      <c r="AA278" s="409">
        <v>0</v>
      </c>
      <c r="AB278" s="409"/>
      <c r="AC278" s="409"/>
      <c r="AD278" s="409"/>
      <c r="AE278" s="409"/>
      <c r="AF278" s="409"/>
      <c r="AG278" s="409"/>
      <c r="AH278" s="409"/>
      <c r="AI278" s="409"/>
      <c r="AJ278" s="409"/>
      <c r="AK278" s="409"/>
      <c r="AL278" s="409"/>
      <c r="AM278" s="409"/>
      <c r="AN278" s="409"/>
      <c r="AO278" s="409"/>
      <c r="AP278" s="409"/>
      <c r="AQ278" s="409"/>
      <c r="AR278" s="409"/>
      <c r="AS278" s="409"/>
      <c r="AT278" s="409"/>
      <c r="AU278" s="409"/>
      <c r="AV278" s="409"/>
      <c r="AW278" s="409"/>
      <c r="AX278" s="409"/>
      <c r="AY278" s="409"/>
      <c r="AZ278" s="409">
        <v>0</v>
      </c>
      <c r="BA278" s="409"/>
      <c r="BB278" s="409"/>
      <c r="BC278" s="409"/>
      <c r="BD278" s="409"/>
      <c r="BE278" s="409"/>
      <c r="BF278" s="409"/>
      <c r="BG278" s="409"/>
      <c r="BH278" s="409"/>
      <c r="BI278" s="409">
        <v>18.14</v>
      </c>
      <c r="BJ278" s="409">
        <v>84.13</v>
      </c>
      <c r="BK278" s="409">
        <v>613.96</v>
      </c>
      <c r="BL278" s="409">
        <v>34</v>
      </c>
      <c r="BM278" s="409"/>
      <c r="BN278" s="409"/>
      <c r="BO278" s="409"/>
      <c r="BP278" s="409"/>
      <c r="BQ278" s="409"/>
      <c r="BR278" s="409"/>
      <c r="BS278" s="409"/>
      <c r="BT278" s="409"/>
      <c r="BU278" s="409"/>
      <c r="BV278" s="409"/>
      <c r="BW278" s="409"/>
      <c r="BX278" s="409"/>
      <c r="BY278" s="409"/>
      <c r="BZ278" s="409"/>
      <c r="CA278" s="409"/>
      <c r="CB278" s="409"/>
      <c r="CC278" s="409"/>
      <c r="CD278" s="409"/>
      <c r="CE278" s="409"/>
      <c r="CF278" s="409"/>
      <c r="CG278" s="409"/>
      <c r="CH278" s="409"/>
      <c r="CI278" s="409"/>
      <c r="CJ278" s="409">
        <v>-0.03</v>
      </c>
      <c r="CK278" s="409"/>
      <c r="CL278" s="409"/>
      <c r="CM278" s="409"/>
      <c r="CN278" s="409"/>
      <c r="CO278" s="409">
        <v>0</v>
      </c>
      <c r="CP278" s="409">
        <v>0</v>
      </c>
      <c r="CQ278" s="409">
        <v>31</v>
      </c>
      <c r="CR278" s="409"/>
      <c r="CS278" s="409"/>
      <c r="CT278" s="409"/>
      <c r="CU278" s="409"/>
      <c r="CV278" s="409"/>
      <c r="CW278" s="409"/>
      <c r="CX278" s="409"/>
      <c r="CY278" s="409"/>
      <c r="CZ278" s="409"/>
      <c r="DA278" s="409"/>
      <c r="DB278" s="409"/>
      <c r="DC278" s="409"/>
      <c r="DD278" s="409"/>
      <c r="DE278" s="409"/>
      <c r="DF278" s="409"/>
      <c r="DG278" s="409"/>
      <c r="DH278" s="409"/>
      <c r="DI278" s="409"/>
      <c r="DJ278" s="409"/>
      <c r="DK278" s="409">
        <v>0</v>
      </c>
      <c r="DL278" s="409"/>
      <c r="DM278" s="409"/>
      <c r="DN278" s="409"/>
      <c r="DO278" s="409"/>
      <c r="DP278" s="409"/>
      <c r="DQ278" s="409"/>
      <c r="DR278" s="409"/>
      <c r="DS278" s="409"/>
      <c r="DT278" s="409"/>
      <c r="DU278" s="409"/>
      <c r="DV278" s="409"/>
      <c r="DW278" s="409"/>
      <c r="DX278" s="409"/>
      <c r="DY278" s="409"/>
      <c r="DZ278" s="409"/>
      <c r="EA278" s="409"/>
      <c r="EB278" s="409"/>
      <c r="EC278" s="409"/>
      <c r="ED278" s="409"/>
      <c r="EE278" s="409"/>
      <c r="EF278" s="409"/>
      <c r="EG278" s="409"/>
      <c r="EH278" s="409"/>
      <c r="EI278" s="409"/>
      <c r="EJ278" s="409"/>
      <c r="EK278" s="409"/>
      <c r="EL278" s="409"/>
      <c r="EM278" s="409"/>
      <c r="EN278" s="409"/>
      <c r="EO278" s="409"/>
      <c r="EP278" s="409"/>
      <c r="EQ278" s="409"/>
      <c r="ER278" s="409"/>
      <c r="ES278" s="409"/>
      <c r="ET278" s="409"/>
      <c r="EU278" s="409"/>
      <c r="EV278" s="409">
        <v>210</v>
      </c>
      <c r="EW278" s="409"/>
      <c r="EX278" s="409"/>
      <c r="EY278" s="409"/>
      <c r="EZ278" s="409"/>
      <c r="FA278" s="409">
        <v>0</v>
      </c>
      <c r="FB278" s="409"/>
      <c r="FC278" s="409"/>
      <c r="FD278" s="409"/>
      <c r="FE278" s="409"/>
      <c r="FF278" s="409">
        <v>0</v>
      </c>
      <c r="FG278" s="409">
        <v>0</v>
      </c>
      <c r="FH278" s="409">
        <v>0</v>
      </c>
      <c r="FI278" s="409">
        <v>0</v>
      </c>
    </row>
    <row r="279" spans="1:165">
      <c r="A279" s="409">
        <v>277</v>
      </c>
      <c r="B279" s="409" t="s">
        <v>1035</v>
      </c>
      <c r="C279" s="409" t="s">
        <v>2241</v>
      </c>
      <c r="D279" s="409" t="s">
        <v>2247</v>
      </c>
      <c r="E279" s="409" t="s">
        <v>973</v>
      </c>
      <c r="F279" s="409" t="s">
        <v>2254</v>
      </c>
      <c r="G279" s="409" t="s">
        <v>2255</v>
      </c>
      <c r="H279" s="409" t="s">
        <v>1323</v>
      </c>
      <c r="I279" s="409" t="s">
        <v>1323</v>
      </c>
      <c r="J279" s="409" t="s">
        <v>2242</v>
      </c>
      <c r="K279" s="838">
        <v>44562</v>
      </c>
      <c r="L279" s="409">
        <v>0</v>
      </c>
      <c r="M279" s="409">
        <v>0</v>
      </c>
      <c r="N279" s="409">
        <v>8.69</v>
      </c>
      <c r="O279" s="409">
        <v>8.69</v>
      </c>
      <c r="P279" s="409">
        <v>8.69</v>
      </c>
      <c r="Q279" s="409">
        <v>8.69</v>
      </c>
      <c r="R279" s="409"/>
      <c r="S279" s="409">
        <v>358.62</v>
      </c>
      <c r="T279" s="409">
        <v>273.74</v>
      </c>
      <c r="U279" s="409"/>
      <c r="V279" s="409">
        <v>5495.2083999999995</v>
      </c>
      <c r="W279" s="409">
        <v>5495.2083999999995</v>
      </c>
      <c r="X279" s="409">
        <v>5328.1865999999991</v>
      </c>
      <c r="Y279" s="409">
        <v>0</v>
      </c>
      <c r="Z279" s="409">
        <v>524.65364192401933</v>
      </c>
      <c r="AA279" s="409">
        <v>0</v>
      </c>
      <c r="AB279" s="409">
        <v>0</v>
      </c>
      <c r="AC279" s="409">
        <v>0</v>
      </c>
      <c r="AD279" s="409">
        <v>748.10921880077217</v>
      </c>
      <c r="AE279" s="409">
        <v>1721.3081788593011</v>
      </c>
      <c r="AF279" s="409">
        <v>2378.7941667039013</v>
      </c>
      <c r="AG279" s="409">
        <v>0</v>
      </c>
      <c r="AH279" s="409">
        <v>0</v>
      </c>
      <c r="AI279" s="409">
        <v>0</v>
      </c>
      <c r="AJ279" s="409">
        <v>0</v>
      </c>
      <c r="AK279" s="409">
        <v>0</v>
      </c>
      <c r="AL279" s="409">
        <v>81.134609431787808</v>
      </c>
      <c r="AM279" s="409"/>
      <c r="AN279" s="409">
        <v>9.2556440153864816</v>
      </c>
      <c r="AO279" s="409">
        <v>0</v>
      </c>
      <c r="AP279" s="409">
        <v>0</v>
      </c>
      <c r="AQ279" s="409">
        <v>0</v>
      </c>
      <c r="AR279" s="409">
        <v>0</v>
      </c>
      <c r="AS279" s="409">
        <v>0</v>
      </c>
      <c r="AT279" s="409">
        <v>0</v>
      </c>
      <c r="AU279" s="409">
        <v>0</v>
      </c>
      <c r="AV279" s="409">
        <v>0</v>
      </c>
      <c r="AW279" s="409">
        <v>0</v>
      </c>
      <c r="AX279" s="409">
        <v>0</v>
      </c>
      <c r="AY279" s="409">
        <v>0</v>
      </c>
      <c r="AZ279" s="409">
        <v>0</v>
      </c>
      <c r="BA279" s="409"/>
      <c r="BB279" s="409">
        <v>0</v>
      </c>
      <c r="BC279" s="409">
        <v>0</v>
      </c>
      <c r="BD279" s="409">
        <v>0</v>
      </c>
      <c r="BE279" s="409">
        <v>0</v>
      </c>
      <c r="BF279" s="409">
        <v>0</v>
      </c>
      <c r="BG279" s="409">
        <v>31.965524009209268</v>
      </c>
      <c r="BH279" s="409">
        <v>0</v>
      </c>
      <c r="BI279" s="409">
        <v>0</v>
      </c>
      <c r="BJ279" s="409">
        <v>0</v>
      </c>
      <c r="BK279" s="409">
        <v>0</v>
      </c>
      <c r="BL279" s="409">
        <v>0</v>
      </c>
      <c r="BM279" s="409"/>
      <c r="BN279" s="409"/>
      <c r="BO279" s="409"/>
      <c r="BP279" s="409"/>
      <c r="BQ279" s="409"/>
      <c r="BR279" s="409">
        <v>745.94959999999992</v>
      </c>
      <c r="BS279" s="409"/>
      <c r="BT279" s="409"/>
      <c r="BU279" s="409"/>
      <c r="BV279" s="409">
        <v>2410.7596907131106</v>
      </c>
      <c r="BW279" s="409"/>
      <c r="BX279" s="409"/>
      <c r="BY279" s="409"/>
      <c r="BZ279" s="409"/>
      <c r="CA279" s="409"/>
      <c r="CB279" s="409"/>
      <c r="CC279" s="409"/>
      <c r="CD279" s="409"/>
      <c r="CE279" s="409"/>
      <c r="CF279" s="409"/>
      <c r="CG279" s="409"/>
      <c r="CH279" s="409"/>
      <c r="CI279" s="409">
        <v>4582.2369999999992</v>
      </c>
      <c r="CJ279" s="409">
        <v>-143.76260000000184</v>
      </c>
      <c r="CK279" s="409"/>
      <c r="CL279" s="409"/>
      <c r="CM279" s="409"/>
      <c r="CN279" s="409"/>
      <c r="CO279" s="409">
        <v>-279.99180000000024</v>
      </c>
      <c r="CP279" s="409">
        <v>112.97</v>
      </c>
      <c r="CQ279" s="409">
        <v>31</v>
      </c>
      <c r="CR279" s="409">
        <v>106.5557392279652</v>
      </c>
      <c r="CS279" s="409">
        <v>0</v>
      </c>
      <c r="CT279" s="409">
        <v>0</v>
      </c>
      <c r="CU279" s="409">
        <v>0</v>
      </c>
      <c r="CV279" s="409">
        <v>0</v>
      </c>
      <c r="CW279" s="409">
        <v>0</v>
      </c>
      <c r="CX279" s="409">
        <v>0</v>
      </c>
      <c r="CY279" s="409">
        <v>0</v>
      </c>
      <c r="CZ279" s="409">
        <v>25.644018544164965</v>
      </c>
      <c r="DA279" s="409">
        <v>0</v>
      </c>
      <c r="DB279" s="409">
        <v>0</v>
      </c>
      <c r="DC279" s="409">
        <v>128.14497681112698</v>
      </c>
      <c r="DD279" s="409">
        <v>0</v>
      </c>
      <c r="DE279" s="409">
        <v>0</v>
      </c>
      <c r="DF279" s="409">
        <v>0</v>
      </c>
      <c r="DG279" s="409">
        <v>1.721973842987687</v>
      </c>
      <c r="DH279" s="409">
        <v>0</v>
      </c>
      <c r="DI279" s="409">
        <v>-33.44209213355839</v>
      </c>
      <c r="DJ279" s="409"/>
      <c r="DK279" s="409">
        <v>0</v>
      </c>
      <c r="DL279" s="409">
        <v>0</v>
      </c>
      <c r="DM279" s="409">
        <v>0</v>
      </c>
      <c r="DN279" s="409">
        <v>0</v>
      </c>
      <c r="DO279" s="409">
        <v>-4.2540334243688847</v>
      </c>
      <c r="DP279" s="409">
        <v>-0.61068202812640315</v>
      </c>
      <c r="DQ279" s="409">
        <v>0</v>
      </c>
      <c r="DR279" s="409">
        <v>-10.648422384260634</v>
      </c>
      <c r="DS279" s="409"/>
      <c r="DT279" s="409"/>
      <c r="DU279" s="409"/>
      <c r="DV279" s="409">
        <v>1721.3081788593011</v>
      </c>
      <c r="DW279" s="409">
        <v>0</v>
      </c>
      <c r="DX279" s="409">
        <v>0</v>
      </c>
      <c r="DY279" s="409">
        <v>-279.99180000000024</v>
      </c>
      <c r="DZ279" s="409">
        <v>112.9699999999998</v>
      </c>
      <c r="EA279" s="409">
        <v>0</v>
      </c>
      <c r="EB279" s="409">
        <v>0</v>
      </c>
      <c r="EC279" s="409">
        <v>-273.60706748519533</v>
      </c>
      <c r="ED279" s="409">
        <v>0</v>
      </c>
      <c r="EE279" s="409">
        <v>0</v>
      </c>
      <c r="EF279" s="409">
        <v>0</v>
      </c>
      <c r="EG279" s="409">
        <v>0</v>
      </c>
      <c r="EH279" s="409">
        <v>0</v>
      </c>
      <c r="EI279" s="409">
        <v>0</v>
      </c>
      <c r="EJ279" s="409">
        <v>0</v>
      </c>
      <c r="EK279" s="409">
        <v>0</v>
      </c>
      <c r="EL279" s="409">
        <v>0</v>
      </c>
      <c r="EM279" s="409">
        <v>0</v>
      </c>
      <c r="EN279" s="409">
        <v>0</v>
      </c>
      <c r="EO279" s="409">
        <v>0</v>
      </c>
      <c r="EP279" s="409">
        <v>0</v>
      </c>
      <c r="EQ279" s="409">
        <v>0</v>
      </c>
      <c r="ER279" s="409">
        <v>0</v>
      </c>
      <c r="ES279" s="409">
        <v>0</v>
      </c>
      <c r="ET279" s="409">
        <v>0</v>
      </c>
      <c r="EU279" s="409">
        <v>0</v>
      </c>
      <c r="EV279" s="409">
        <v>210</v>
      </c>
      <c r="EW279" s="409">
        <v>0</v>
      </c>
      <c r="EX279" s="409">
        <v>0</v>
      </c>
      <c r="EY279" s="409">
        <v>0</v>
      </c>
      <c r="EZ279" s="409"/>
      <c r="FA279" s="409">
        <v>0</v>
      </c>
      <c r="FB279" s="409"/>
      <c r="FC279" s="409"/>
      <c r="FD279" s="409"/>
      <c r="FE279" s="409"/>
      <c r="FF279" s="409">
        <v>0</v>
      </c>
      <c r="FG279" s="409">
        <v>0</v>
      </c>
      <c r="FH279" s="409">
        <v>0</v>
      </c>
      <c r="FI279" s="409">
        <v>0</v>
      </c>
    </row>
    <row r="280" spans="1:165">
      <c r="A280" s="409">
        <v>278</v>
      </c>
      <c r="B280" s="409" t="s">
        <v>1035</v>
      </c>
      <c r="C280" s="409" t="s">
        <v>2241</v>
      </c>
      <c r="D280" s="409" t="s">
        <v>2247</v>
      </c>
      <c r="E280" s="409" t="s">
        <v>973</v>
      </c>
      <c r="F280" s="409" t="s">
        <v>2254</v>
      </c>
      <c r="G280" s="409" t="s">
        <v>2256</v>
      </c>
      <c r="H280" s="409" t="s">
        <v>1323</v>
      </c>
      <c r="I280" s="409" t="s">
        <v>1323</v>
      </c>
      <c r="J280" s="409" t="s">
        <v>2242</v>
      </c>
      <c r="K280" s="838">
        <v>44562</v>
      </c>
      <c r="L280" s="409">
        <v>0</v>
      </c>
      <c r="M280" s="409">
        <v>0</v>
      </c>
      <c r="N280" s="409">
        <v>16.003</v>
      </c>
      <c r="O280" s="409">
        <v>6.4012000000000002</v>
      </c>
      <c r="P280" s="409">
        <v>16.003</v>
      </c>
      <c r="Q280" s="409">
        <v>6.4012000000000002</v>
      </c>
      <c r="R280" s="409"/>
      <c r="S280" s="409">
        <v>358.62</v>
      </c>
      <c r="T280" s="409">
        <v>273.74</v>
      </c>
      <c r="U280" s="409"/>
      <c r="V280" s="409">
        <v>10119.657080000001</v>
      </c>
      <c r="W280" s="409">
        <v>10119.657080000001</v>
      </c>
      <c r="X280" s="409">
        <v>9812.07942</v>
      </c>
      <c r="Y280" s="409">
        <v>0</v>
      </c>
      <c r="Z280" s="409">
        <v>966.17171826353081</v>
      </c>
      <c r="AA280" s="409">
        <v>0</v>
      </c>
      <c r="AB280" s="409">
        <v>0</v>
      </c>
      <c r="AC280" s="409">
        <v>0</v>
      </c>
      <c r="AD280" s="409">
        <v>1377.674548730582</v>
      </c>
      <c r="AE280" s="409">
        <v>3169.8613102744989</v>
      </c>
      <c r="AF280" s="409">
        <v>4380.6493728150208</v>
      </c>
      <c r="AG280" s="409">
        <v>0</v>
      </c>
      <c r="AH280" s="409">
        <v>0</v>
      </c>
      <c r="AI280" s="409">
        <v>0</v>
      </c>
      <c r="AJ280" s="409">
        <v>0</v>
      </c>
      <c r="AK280" s="409">
        <v>0</v>
      </c>
      <c r="AL280" s="409">
        <v>149.41279110896437</v>
      </c>
      <c r="AM280" s="409"/>
      <c r="AN280" s="409">
        <v>17.044657212684683</v>
      </c>
      <c r="AO280" s="409">
        <v>0</v>
      </c>
      <c r="AP280" s="409">
        <v>0</v>
      </c>
      <c r="AQ280" s="409">
        <v>0</v>
      </c>
      <c r="AR280" s="409">
        <v>0</v>
      </c>
      <c r="AS280" s="409">
        <v>0</v>
      </c>
      <c r="AT280" s="409">
        <v>0</v>
      </c>
      <c r="AU280" s="409">
        <v>0</v>
      </c>
      <c r="AV280" s="409">
        <v>0</v>
      </c>
      <c r="AW280" s="409">
        <v>0</v>
      </c>
      <c r="AX280" s="409">
        <v>0</v>
      </c>
      <c r="AY280" s="409">
        <v>0</v>
      </c>
      <c r="AZ280" s="409">
        <v>0</v>
      </c>
      <c r="BA280" s="409"/>
      <c r="BB280" s="409">
        <v>0</v>
      </c>
      <c r="BC280" s="409">
        <v>0</v>
      </c>
      <c r="BD280" s="409">
        <v>0</v>
      </c>
      <c r="BE280" s="409">
        <v>0</v>
      </c>
      <c r="BF280" s="409">
        <v>0</v>
      </c>
      <c r="BG280" s="409">
        <v>58.865855088535781</v>
      </c>
      <c r="BH280" s="409">
        <v>0</v>
      </c>
      <c r="BI280" s="409">
        <v>0</v>
      </c>
      <c r="BJ280" s="409">
        <v>0</v>
      </c>
      <c r="BK280" s="409">
        <v>0</v>
      </c>
      <c r="BL280" s="409">
        <v>0</v>
      </c>
      <c r="BM280" s="409"/>
      <c r="BN280" s="409"/>
      <c r="BO280" s="409"/>
      <c r="BP280" s="409"/>
      <c r="BQ280" s="409"/>
      <c r="BR280" s="409"/>
      <c r="BS280" s="409">
        <v>6436.7266600000003</v>
      </c>
      <c r="BT280" s="409"/>
      <c r="BU280" s="409"/>
      <c r="BV280" s="409">
        <v>4439.5152279035565</v>
      </c>
      <c r="BW280" s="409"/>
      <c r="BX280" s="409"/>
      <c r="BY280" s="409"/>
      <c r="BZ280" s="409"/>
      <c r="CA280" s="409"/>
      <c r="CB280" s="409"/>
      <c r="CC280" s="409"/>
      <c r="CD280" s="409"/>
      <c r="CE280" s="409"/>
      <c r="CF280" s="409"/>
      <c r="CG280" s="409"/>
      <c r="CH280" s="409"/>
      <c r="CI280" s="409">
        <v>3374.7200000000003</v>
      </c>
      <c r="CJ280" s="409">
        <v>-106.53860799999984</v>
      </c>
      <c r="CK280" s="409"/>
      <c r="CL280" s="409"/>
      <c r="CM280" s="409"/>
      <c r="CN280" s="409"/>
      <c r="CO280" s="409">
        <v>-515.61666000000048</v>
      </c>
      <c r="CP280" s="409">
        <v>208.03899999999999</v>
      </c>
      <c r="CQ280" s="409">
        <v>31</v>
      </c>
      <c r="CR280" s="409">
        <v>196.22686937458275</v>
      </c>
      <c r="CS280" s="409">
        <v>0</v>
      </c>
      <c r="CT280" s="409">
        <v>0</v>
      </c>
      <c r="CU280" s="409">
        <v>0</v>
      </c>
      <c r="CV280" s="409">
        <v>0</v>
      </c>
      <c r="CW280" s="409">
        <v>0</v>
      </c>
      <c r="CX280" s="409">
        <v>0</v>
      </c>
      <c r="CY280" s="409">
        <v>0</v>
      </c>
      <c r="CZ280" s="409">
        <v>47.224537256878193</v>
      </c>
      <c r="DA280" s="409">
        <v>0</v>
      </c>
      <c r="DB280" s="409">
        <v>0</v>
      </c>
      <c r="DC280" s="409">
        <v>235.98435718164183</v>
      </c>
      <c r="DD280" s="409">
        <v>0</v>
      </c>
      <c r="DE280" s="409">
        <v>0</v>
      </c>
      <c r="DF280" s="409">
        <v>0</v>
      </c>
      <c r="DG280" s="409">
        <v>3.1710871587263441</v>
      </c>
      <c r="DH280" s="409">
        <v>0</v>
      </c>
      <c r="DI280" s="409">
        <v>-61.585017308784245</v>
      </c>
      <c r="DJ280" s="409"/>
      <c r="DK280" s="409">
        <v>0</v>
      </c>
      <c r="DL280" s="409">
        <v>0</v>
      </c>
      <c r="DM280" s="409">
        <v>0</v>
      </c>
      <c r="DN280" s="409">
        <v>0</v>
      </c>
      <c r="DO280" s="409">
        <v>-7.8339812301697691</v>
      </c>
      <c r="DP280" s="409">
        <v>-1.1245966048454381</v>
      </c>
      <c r="DQ280" s="409">
        <v>0</v>
      </c>
      <c r="DR280" s="409">
        <v>-19.609517078863398</v>
      </c>
      <c r="DS280" s="409"/>
      <c r="DT280" s="409"/>
      <c r="DU280" s="409"/>
      <c r="DV280" s="409">
        <v>3169.8613102744989</v>
      </c>
      <c r="DW280" s="409">
        <v>0</v>
      </c>
      <c r="DX280" s="409">
        <v>0</v>
      </c>
      <c r="DY280" s="409">
        <v>-515.61666000000059</v>
      </c>
      <c r="DZ280" s="409">
        <v>208.03900000000067</v>
      </c>
      <c r="EA280" s="409">
        <v>0</v>
      </c>
      <c r="EB280" s="409">
        <v>0</v>
      </c>
      <c r="EC280" s="409">
        <v>-503.85890690052702</v>
      </c>
      <c r="ED280" s="409">
        <v>0</v>
      </c>
      <c r="EE280" s="409">
        <v>0</v>
      </c>
      <c r="EF280" s="409">
        <v>0</v>
      </c>
      <c r="EG280" s="409">
        <v>0</v>
      </c>
      <c r="EH280" s="409">
        <v>0</v>
      </c>
      <c r="EI280" s="409">
        <v>0</v>
      </c>
      <c r="EJ280" s="409">
        <v>0</v>
      </c>
      <c r="EK280" s="409">
        <v>0</v>
      </c>
      <c r="EL280" s="409">
        <v>0</v>
      </c>
      <c r="EM280" s="409">
        <v>0</v>
      </c>
      <c r="EN280" s="409">
        <v>0</v>
      </c>
      <c r="EO280" s="409">
        <v>0</v>
      </c>
      <c r="EP280" s="409">
        <v>0</v>
      </c>
      <c r="EQ280" s="409">
        <v>0</v>
      </c>
      <c r="ER280" s="409">
        <v>0</v>
      </c>
      <c r="ES280" s="409">
        <v>0</v>
      </c>
      <c r="ET280" s="409">
        <v>0</v>
      </c>
      <c r="EU280" s="409">
        <v>0</v>
      </c>
      <c r="EV280" s="409">
        <v>210</v>
      </c>
      <c r="EW280" s="409">
        <v>0</v>
      </c>
      <c r="EX280" s="409">
        <v>0</v>
      </c>
      <c r="EY280" s="409">
        <v>0</v>
      </c>
      <c r="EZ280" s="409"/>
      <c r="FA280" s="409">
        <v>0</v>
      </c>
      <c r="FB280" s="409"/>
      <c r="FC280" s="409"/>
      <c r="FD280" s="409"/>
      <c r="FE280" s="409"/>
      <c r="FF280" s="409">
        <v>0</v>
      </c>
      <c r="FG280" s="409">
        <v>0</v>
      </c>
      <c r="FH280" s="409">
        <v>0</v>
      </c>
      <c r="FI280" s="409">
        <v>0</v>
      </c>
    </row>
    <row r="281" spans="1:165">
      <c r="A281" s="409">
        <v>279</v>
      </c>
      <c r="B281" s="409" t="s">
        <v>1035</v>
      </c>
      <c r="C281" s="409" t="s">
        <v>2241</v>
      </c>
      <c r="D281" s="409" t="s">
        <v>1989</v>
      </c>
      <c r="E281" s="409" t="s">
        <v>968</v>
      </c>
      <c r="F281" s="409" t="s">
        <v>968</v>
      </c>
      <c r="G281" s="409" t="s">
        <v>1323</v>
      </c>
      <c r="H281" s="409" t="s">
        <v>1323</v>
      </c>
      <c r="I281" s="409" t="s">
        <v>1323</v>
      </c>
      <c r="J281" s="409" t="s">
        <v>2242</v>
      </c>
      <c r="K281" s="838">
        <v>44593</v>
      </c>
      <c r="L281" s="409">
        <v>0</v>
      </c>
      <c r="M281" s="409">
        <v>0</v>
      </c>
      <c r="N281" s="409">
        <v>116.607</v>
      </c>
      <c r="O281" s="409">
        <v>116.607</v>
      </c>
      <c r="P281" s="409">
        <v>116.607</v>
      </c>
      <c r="Q281" s="409">
        <v>116.607</v>
      </c>
      <c r="R281" s="409"/>
      <c r="S281" s="409">
        <v>358.62</v>
      </c>
      <c r="T281" s="409">
        <v>273.74</v>
      </c>
      <c r="U281" s="409"/>
      <c r="V281" s="409">
        <v>73737.60252</v>
      </c>
      <c r="W281" s="409">
        <v>73737.60252</v>
      </c>
      <c r="X281" s="409">
        <v>71496.415979999991</v>
      </c>
      <c r="Y281" s="409">
        <v>0</v>
      </c>
      <c r="Z281" s="409">
        <v>7040.0790821443188</v>
      </c>
      <c r="AA281" s="409">
        <v>0</v>
      </c>
      <c r="AB281" s="409">
        <v>0</v>
      </c>
      <c r="AC281" s="409">
        <v>0</v>
      </c>
      <c r="AD281" s="409">
        <v>10038.523783279821</v>
      </c>
      <c r="AE281" s="409">
        <v>23097.420346633662</v>
      </c>
      <c r="AF281" s="409">
        <v>31919.913854642324</v>
      </c>
      <c r="AG281" s="409">
        <v>0</v>
      </c>
      <c r="AH281" s="409">
        <v>0</v>
      </c>
      <c r="AI281" s="409">
        <v>0</v>
      </c>
      <c r="AJ281" s="409">
        <v>0</v>
      </c>
      <c r="AK281" s="409">
        <v>0</v>
      </c>
      <c r="AL281" s="409">
        <v>1088.7069507494225</v>
      </c>
      <c r="AM281" s="409"/>
      <c r="AN281" s="409">
        <v>124.19710951693574</v>
      </c>
      <c r="AO281" s="409">
        <v>0</v>
      </c>
      <c r="AP281" s="409">
        <v>0</v>
      </c>
      <c r="AQ281" s="409">
        <v>0</v>
      </c>
      <c r="AR281" s="409">
        <v>0</v>
      </c>
      <c r="AS281" s="409">
        <v>0</v>
      </c>
      <c r="AT281" s="409">
        <v>0</v>
      </c>
      <c r="AU281" s="409">
        <v>0</v>
      </c>
      <c r="AV281" s="409">
        <v>0</v>
      </c>
      <c r="AW281" s="409">
        <v>0</v>
      </c>
      <c r="AX281" s="409">
        <v>0</v>
      </c>
      <c r="AY281" s="409">
        <v>0</v>
      </c>
      <c r="AZ281" s="409">
        <v>0</v>
      </c>
      <c r="BA281" s="409"/>
      <c r="BB281" s="409">
        <v>0</v>
      </c>
      <c r="BC281" s="409">
        <v>0</v>
      </c>
      <c r="BD281" s="409">
        <v>0</v>
      </c>
      <c r="BE281" s="409">
        <v>0</v>
      </c>
      <c r="BF281" s="409">
        <v>0</v>
      </c>
      <c r="BG281" s="409">
        <v>428.93024834774053</v>
      </c>
      <c r="BH281" s="409">
        <v>0</v>
      </c>
      <c r="BI281" s="409">
        <v>713.35</v>
      </c>
      <c r="BJ281" s="409">
        <v>3306.7</v>
      </c>
      <c r="BK281" s="409">
        <v>21101.39</v>
      </c>
      <c r="BL281" s="409">
        <v>742</v>
      </c>
      <c r="BM281" s="409"/>
      <c r="BN281" s="409"/>
      <c r="BO281" s="409"/>
      <c r="BP281" s="409"/>
      <c r="BQ281" s="409"/>
      <c r="BR281" s="409"/>
      <c r="BS281" s="409"/>
      <c r="BT281" s="409"/>
      <c r="BU281" s="409"/>
      <c r="BV281" s="409">
        <v>32348.844102990064</v>
      </c>
      <c r="BW281" s="409"/>
      <c r="BX281" s="409"/>
      <c r="BY281" s="409"/>
      <c r="BZ281" s="409"/>
      <c r="CA281" s="409"/>
      <c r="CB281" s="409"/>
      <c r="CC281" s="409"/>
      <c r="CD281" s="409"/>
      <c r="CE281" s="409"/>
      <c r="CF281" s="409"/>
      <c r="CG281" s="409"/>
      <c r="CH281" s="409"/>
      <c r="CI281" s="409">
        <v>71498.255399999995</v>
      </c>
      <c r="CJ281" s="409">
        <v>-2239.3771200000047</v>
      </c>
      <c r="CK281" s="409"/>
      <c r="CL281" s="409"/>
      <c r="CM281" s="409"/>
      <c r="CN281" s="409"/>
      <c r="CO281" s="409">
        <v>-3757.077540000003</v>
      </c>
      <c r="CP281" s="409">
        <v>1515.8910000000001</v>
      </c>
      <c r="CQ281" s="409">
        <v>29</v>
      </c>
      <c r="CR281" s="409">
        <v>1429.8210683723155</v>
      </c>
      <c r="CS281" s="409">
        <v>0</v>
      </c>
      <c r="CT281" s="409">
        <v>0</v>
      </c>
      <c r="CU281" s="409">
        <v>0</v>
      </c>
      <c r="CV281" s="409">
        <v>0</v>
      </c>
      <c r="CW281" s="409">
        <v>0</v>
      </c>
      <c r="CX281" s="409">
        <v>0</v>
      </c>
      <c r="CY281" s="409">
        <v>0</v>
      </c>
      <c r="CZ281" s="409">
        <v>344.104956315241</v>
      </c>
      <c r="DA281" s="409">
        <v>0</v>
      </c>
      <c r="DB281" s="409">
        <v>0</v>
      </c>
      <c r="DC281" s="409">
        <v>1719.5168367106053</v>
      </c>
      <c r="DD281" s="409">
        <v>0</v>
      </c>
      <c r="DE281" s="409">
        <v>0</v>
      </c>
      <c r="DF281" s="409">
        <v>0</v>
      </c>
      <c r="DG281" s="409">
        <v>23.106352578741678</v>
      </c>
      <c r="DH281" s="409">
        <v>0</v>
      </c>
      <c r="DI281" s="409">
        <v>-448.74361765452795</v>
      </c>
      <c r="DJ281" s="409"/>
      <c r="DK281" s="409">
        <v>0</v>
      </c>
      <c r="DL281" s="409">
        <v>0</v>
      </c>
      <c r="DM281" s="409">
        <v>0</v>
      </c>
      <c r="DN281" s="409">
        <v>0</v>
      </c>
      <c r="DO281" s="409">
        <v>-57.082862544923046</v>
      </c>
      <c r="DP281" s="409">
        <v>-8.1944533088303331</v>
      </c>
      <c r="DQ281" s="409">
        <v>0</v>
      </c>
      <c r="DR281" s="409">
        <v>-142.88614372399076</v>
      </c>
      <c r="DS281" s="409"/>
      <c r="DT281" s="409"/>
      <c r="DU281" s="409"/>
      <c r="DV281" s="409">
        <v>23097.420346633662</v>
      </c>
      <c r="DW281" s="409">
        <v>0</v>
      </c>
      <c r="DX281" s="409">
        <v>0</v>
      </c>
      <c r="DY281" s="409">
        <v>-3757.0775399999984</v>
      </c>
      <c r="DZ281" s="409">
        <v>1515.8909999999996</v>
      </c>
      <c r="EA281" s="409">
        <v>0</v>
      </c>
      <c r="EB281" s="409">
        <v>0</v>
      </c>
      <c r="EC281" s="409">
        <v>-3671.4038340904663</v>
      </c>
      <c r="ED281" s="409">
        <v>0</v>
      </c>
      <c r="EE281" s="409">
        <v>0</v>
      </c>
      <c r="EF281" s="409">
        <v>0</v>
      </c>
      <c r="EG281" s="409">
        <v>0</v>
      </c>
      <c r="EH281" s="409">
        <v>0</v>
      </c>
      <c r="EI281" s="409">
        <v>0</v>
      </c>
      <c r="EJ281" s="409">
        <v>0</v>
      </c>
      <c r="EK281" s="409">
        <v>0</v>
      </c>
      <c r="EL281" s="409">
        <v>0</v>
      </c>
      <c r="EM281" s="409">
        <v>0</v>
      </c>
      <c r="EN281" s="409">
        <v>0</v>
      </c>
      <c r="EO281" s="409">
        <v>0</v>
      </c>
      <c r="EP281" s="409">
        <v>0</v>
      </c>
      <c r="EQ281" s="409">
        <v>0</v>
      </c>
      <c r="ER281" s="409">
        <v>0</v>
      </c>
      <c r="ES281" s="409">
        <v>0</v>
      </c>
      <c r="ET281" s="409">
        <v>0</v>
      </c>
      <c r="EU281" s="409">
        <v>0</v>
      </c>
      <c r="EV281" s="409">
        <v>210</v>
      </c>
      <c r="EW281" s="409">
        <v>0</v>
      </c>
      <c r="EX281" s="409">
        <v>0</v>
      </c>
      <c r="EY281" s="409">
        <v>0</v>
      </c>
      <c r="EZ281" s="409"/>
      <c r="FA281" s="409">
        <v>0</v>
      </c>
      <c r="FB281" s="409"/>
      <c r="FC281" s="409"/>
      <c r="FD281" s="409"/>
      <c r="FE281" s="409"/>
      <c r="FF281" s="409">
        <v>0</v>
      </c>
      <c r="FG281" s="409">
        <v>0</v>
      </c>
      <c r="FH281" s="409">
        <v>0</v>
      </c>
      <c r="FI281" s="409">
        <v>0</v>
      </c>
    </row>
    <row r="282" spans="1:165">
      <c r="A282" s="409">
        <v>280</v>
      </c>
      <c r="B282" s="409" t="s">
        <v>2240</v>
      </c>
      <c r="C282" s="409" t="s">
        <v>2241</v>
      </c>
      <c r="D282" s="409" t="s">
        <v>1989</v>
      </c>
      <c r="E282" s="409" t="s">
        <v>968</v>
      </c>
      <c r="F282" s="409" t="s">
        <v>968</v>
      </c>
      <c r="G282" s="409" t="s">
        <v>1323</v>
      </c>
      <c r="H282" s="409" t="s">
        <v>1323</v>
      </c>
      <c r="I282" s="409" t="s">
        <v>1323</v>
      </c>
      <c r="J282" s="409" t="s">
        <v>2242</v>
      </c>
      <c r="K282" s="838">
        <v>44593</v>
      </c>
      <c r="L282" s="409">
        <v>0</v>
      </c>
      <c r="M282" s="409">
        <v>0</v>
      </c>
      <c r="N282" s="409">
        <v>0.35</v>
      </c>
      <c r="O282" s="409">
        <v>0.35</v>
      </c>
      <c r="P282" s="409">
        <v>0.35</v>
      </c>
      <c r="Q282" s="409">
        <v>0.35</v>
      </c>
      <c r="R282" s="409"/>
      <c r="S282" s="409">
        <v>358.62</v>
      </c>
      <c r="T282" s="409">
        <v>273.74</v>
      </c>
      <c r="U282" s="409"/>
      <c r="V282" s="409">
        <v>221.32599999999999</v>
      </c>
      <c r="W282" s="409">
        <v>221.32599999999999</v>
      </c>
      <c r="X282" s="409">
        <v>214.59899999999999</v>
      </c>
      <c r="Y282" s="409">
        <v>0</v>
      </c>
      <c r="Z282" s="409">
        <v>21.131044266214818</v>
      </c>
      <c r="AA282" s="409">
        <v>0</v>
      </c>
      <c r="AB282" s="409">
        <v>0</v>
      </c>
      <c r="AC282" s="409">
        <v>0</v>
      </c>
      <c r="AD282" s="409">
        <v>30.130981194507513</v>
      </c>
      <c r="AE282" s="409">
        <v>69.327717215276792</v>
      </c>
      <c r="AF282" s="409">
        <v>95.808740891411432</v>
      </c>
      <c r="AG282" s="409">
        <v>0</v>
      </c>
      <c r="AH282" s="409">
        <v>0</v>
      </c>
      <c r="AI282" s="409">
        <v>0</v>
      </c>
      <c r="AJ282" s="409">
        <v>0</v>
      </c>
      <c r="AK282" s="409">
        <v>0</v>
      </c>
      <c r="AL282" s="409">
        <v>3.2677920944908787</v>
      </c>
      <c r="AM282" s="409"/>
      <c r="AN282" s="409">
        <v>0.37278197990624495</v>
      </c>
      <c r="AO282" s="409">
        <v>0</v>
      </c>
      <c r="AP282" s="409">
        <v>0</v>
      </c>
      <c r="AQ282" s="409">
        <v>0</v>
      </c>
      <c r="AR282" s="409">
        <v>0</v>
      </c>
      <c r="AS282" s="409">
        <v>0</v>
      </c>
      <c r="AT282" s="409">
        <v>0</v>
      </c>
      <c r="AU282" s="409">
        <v>0</v>
      </c>
      <c r="AV282" s="409">
        <v>0</v>
      </c>
      <c r="AW282" s="409">
        <v>0</v>
      </c>
      <c r="AX282" s="409">
        <v>0</v>
      </c>
      <c r="AY282" s="409">
        <v>0</v>
      </c>
      <c r="AZ282" s="409">
        <v>0</v>
      </c>
      <c r="BA282" s="409"/>
      <c r="BB282" s="409">
        <v>0</v>
      </c>
      <c r="BC282" s="409">
        <v>0</v>
      </c>
      <c r="BD282" s="409">
        <v>0</v>
      </c>
      <c r="BE282" s="409">
        <v>0</v>
      </c>
      <c r="BF282" s="409">
        <v>0</v>
      </c>
      <c r="BG282" s="409">
        <v>1.287449183339844</v>
      </c>
      <c r="BH282" s="409">
        <v>0</v>
      </c>
      <c r="BI282" s="409">
        <v>2.04</v>
      </c>
      <c r="BJ282" s="409">
        <v>9.4600000000000009</v>
      </c>
      <c r="BK282" s="409">
        <v>115.44</v>
      </c>
      <c r="BL282" s="409">
        <v>5</v>
      </c>
      <c r="BM282" s="409"/>
      <c r="BN282" s="409"/>
      <c r="BO282" s="409"/>
      <c r="BP282" s="409"/>
      <c r="BQ282" s="409"/>
      <c r="BR282" s="409"/>
      <c r="BS282" s="409"/>
      <c r="BT282" s="409"/>
      <c r="BU282" s="409"/>
      <c r="BV282" s="409">
        <v>97.096190074751277</v>
      </c>
      <c r="BW282" s="409"/>
      <c r="BX282" s="409"/>
      <c r="BY282" s="409"/>
      <c r="BZ282" s="409"/>
      <c r="CA282" s="409"/>
      <c r="CB282" s="409"/>
      <c r="CC282" s="409"/>
      <c r="CD282" s="409"/>
      <c r="CE282" s="409"/>
      <c r="CF282" s="409"/>
      <c r="CG282" s="409"/>
      <c r="CH282" s="409"/>
      <c r="CI282" s="409">
        <v>214.59899999999999</v>
      </c>
      <c r="CJ282" s="409">
        <v>-6.757000000000005</v>
      </c>
      <c r="CK282" s="409"/>
      <c r="CL282" s="409"/>
      <c r="CM282" s="409"/>
      <c r="CN282" s="409"/>
      <c r="CO282" s="409">
        <v>-11.277000000000008</v>
      </c>
      <c r="CP282" s="409">
        <v>4.55</v>
      </c>
      <c r="CQ282" s="409">
        <v>29</v>
      </c>
      <c r="CR282" s="409">
        <v>4.2916580816786905</v>
      </c>
      <c r="CS282" s="409">
        <v>0</v>
      </c>
      <c r="CT282" s="409">
        <v>0</v>
      </c>
      <c r="CU282" s="409">
        <v>0</v>
      </c>
      <c r="CV282" s="409">
        <v>0</v>
      </c>
      <c r="CW282" s="409">
        <v>0</v>
      </c>
      <c r="CX282" s="409">
        <v>0</v>
      </c>
      <c r="CY282" s="409">
        <v>0</v>
      </c>
      <c r="CZ282" s="409">
        <v>1.0328430944140088</v>
      </c>
      <c r="DA282" s="409">
        <v>0</v>
      </c>
      <c r="DB282" s="409">
        <v>0</v>
      </c>
      <c r="DC282" s="409">
        <v>5.1611900902065173</v>
      </c>
      <c r="DD282" s="409">
        <v>0</v>
      </c>
      <c r="DE282" s="409">
        <v>0</v>
      </c>
      <c r="DF282" s="409">
        <v>0</v>
      </c>
      <c r="DG282" s="409">
        <v>6.9354527623209261E-2</v>
      </c>
      <c r="DH282" s="409">
        <v>0</v>
      </c>
      <c r="DI282" s="409">
        <v>-1.346919706184746</v>
      </c>
      <c r="DJ282" s="409"/>
      <c r="DK282" s="409">
        <v>0</v>
      </c>
      <c r="DL282" s="409">
        <v>0</v>
      </c>
      <c r="DM282" s="409">
        <v>0</v>
      </c>
      <c r="DN282" s="409">
        <v>0</v>
      </c>
      <c r="DO282" s="409">
        <v>-0.17133621386986331</v>
      </c>
      <c r="DP282" s="409">
        <v>-2.4595938992432842E-2</v>
      </c>
      <c r="DQ282" s="409">
        <v>0</v>
      </c>
      <c r="DR282" s="409">
        <v>-0.42887777151797724</v>
      </c>
      <c r="DS282" s="409"/>
      <c r="DT282" s="409"/>
      <c r="DU282" s="409"/>
      <c r="DV282" s="409">
        <v>69.327717215276792</v>
      </c>
      <c r="DW282" s="409">
        <v>0</v>
      </c>
      <c r="DX282" s="409">
        <v>0</v>
      </c>
      <c r="DY282" s="409">
        <v>-11.277000000000015</v>
      </c>
      <c r="DZ282" s="409">
        <v>4.5499999999999972</v>
      </c>
      <c r="EA282" s="409">
        <v>0</v>
      </c>
      <c r="EB282" s="409">
        <v>0</v>
      </c>
      <c r="EC282" s="409">
        <v>-11.019847367067698</v>
      </c>
      <c r="ED282" s="409">
        <v>0</v>
      </c>
      <c r="EE282" s="409">
        <v>0</v>
      </c>
      <c r="EF282" s="409">
        <v>0</v>
      </c>
      <c r="EG282" s="409">
        <v>0</v>
      </c>
      <c r="EH282" s="409">
        <v>0</v>
      </c>
      <c r="EI282" s="409">
        <v>0</v>
      </c>
      <c r="EJ282" s="409">
        <v>0</v>
      </c>
      <c r="EK282" s="409">
        <v>0</v>
      </c>
      <c r="EL282" s="409">
        <v>0</v>
      </c>
      <c r="EM282" s="409">
        <v>0</v>
      </c>
      <c r="EN282" s="409">
        <v>0</v>
      </c>
      <c r="EO282" s="409">
        <v>0</v>
      </c>
      <c r="EP282" s="409">
        <v>0</v>
      </c>
      <c r="EQ282" s="409">
        <v>0</v>
      </c>
      <c r="ER282" s="409">
        <v>0</v>
      </c>
      <c r="ES282" s="409">
        <v>0</v>
      </c>
      <c r="ET282" s="409">
        <v>0</v>
      </c>
      <c r="EU282" s="409">
        <v>0</v>
      </c>
      <c r="EV282" s="409">
        <v>210</v>
      </c>
      <c r="EW282" s="409">
        <v>0</v>
      </c>
      <c r="EX282" s="409">
        <v>0</v>
      </c>
      <c r="EY282" s="409">
        <v>0</v>
      </c>
      <c r="EZ282" s="409"/>
      <c r="FA282" s="409">
        <v>0</v>
      </c>
      <c r="FB282" s="409"/>
      <c r="FC282" s="409"/>
      <c r="FD282" s="409"/>
      <c r="FE282" s="409"/>
      <c r="FF282" s="409">
        <v>0</v>
      </c>
      <c r="FG282" s="409">
        <v>0</v>
      </c>
      <c r="FH282" s="409">
        <v>0</v>
      </c>
      <c r="FI282" s="409">
        <v>0</v>
      </c>
    </row>
    <row r="283" spans="1:165">
      <c r="A283" s="409">
        <v>281</v>
      </c>
      <c r="B283" s="409" t="s">
        <v>1035</v>
      </c>
      <c r="C283" s="409" t="s">
        <v>2241</v>
      </c>
      <c r="D283" s="409" t="s">
        <v>1989</v>
      </c>
      <c r="E283" s="409" t="s">
        <v>968</v>
      </c>
      <c r="F283" s="409" t="s">
        <v>2243</v>
      </c>
      <c r="G283" s="409" t="s">
        <v>1323</v>
      </c>
      <c r="H283" s="409" t="s">
        <v>1323</v>
      </c>
      <c r="I283" s="409" t="s">
        <v>1323</v>
      </c>
      <c r="J283" s="409" t="s">
        <v>2242</v>
      </c>
      <c r="K283" s="838">
        <v>44593</v>
      </c>
      <c r="L283" s="409">
        <v>0</v>
      </c>
      <c r="M283" s="409">
        <v>0</v>
      </c>
      <c r="N283" s="409">
        <v>0.33</v>
      </c>
      <c r="O283" s="409">
        <v>0.33</v>
      </c>
      <c r="P283" s="409">
        <v>0.33</v>
      </c>
      <c r="Q283" s="409">
        <v>0.33</v>
      </c>
      <c r="R283" s="409"/>
      <c r="S283" s="409">
        <v>288.91000000000003</v>
      </c>
      <c r="T283" s="409">
        <v>273.74</v>
      </c>
      <c r="U283" s="409"/>
      <c r="V283" s="409">
        <v>185.67450000000002</v>
      </c>
      <c r="W283" s="409">
        <v>185.67450000000002</v>
      </c>
      <c r="X283" s="409">
        <v>180.7278</v>
      </c>
      <c r="Y283" s="409">
        <v>0</v>
      </c>
      <c r="Z283" s="409">
        <v>0</v>
      </c>
      <c r="AA283" s="409">
        <v>0</v>
      </c>
      <c r="AB283" s="409">
        <v>0</v>
      </c>
      <c r="AC283" s="409">
        <v>0</v>
      </c>
      <c r="AD283" s="409">
        <v>28.409210840535657</v>
      </c>
      <c r="AE283" s="409">
        <v>65.366133374403844</v>
      </c>
      <c r="AF283" s="409">
        <v>90.333955697616503</v>
      </c>
      <c r="AG283" s="409">
        <v>0</v>
      </c>
      <c r="AH283" s="409">
        <v>0</v>
      </c>
      <c r="AI283" s="409">
        <v>0</v>
      </c>
      <c r="AJ283" s="409">
        <v>0</v>
      </c>
      <c r="AK283" s="409">
        <v>0</v>
      </c>
      <c r="AL283" s="409">
        <v>0</v>
      </c>
      <c r="AM283" s="409"/>
      <c r="AN283" s="409">
        <v>0.35148015248303099</v>
      </c>
      <c r="AO283" s="409">
        <v>0</v>
      </c>
      <c r="AP283" s="409">
        <v>0</v>
      </c>
      <c r="AQ283" s="409">
        <v>0</v>
      </c>
      <c r="AR283" s="409">
        <v>0</v>
      </c>
      <c r="AS283" s="409">
        <v>0</v>
      </c>
      <c r="AT283" s="409">
        <v>0</v>
      </c>
      <c r="AU283" s="409">
        <v>0</v>
      </c>
      <c r="AV283" s="409">
        <v>0</v>
      </c>
      <c r="AW283" s="409">
        <v>0</v>
      </c>
      <c r="AX283" s="409">
        <v>0</v>
      </c>
      <c r="AY283" s="409">
        <v>0</v>
      </c>
      <c r="AZ283" s="409">
        <v>0</v>
      </c>
      <c r="BA283" s="409"/>
      <c r="BB283" s="409">
        <v>0</v>
      </c>
      <c r="BC283" s="409">
        <v>0</v>
      </c>
      <c r="BD283" s="409">
        <v>0</v>
      </c>
      <c r="BE283" s="409">
        <v>0</v>
      </c>
      <c r="BF283" s="409">
        <v>0</v>
      </c>
      <c r="BG283" s="409">
        <v>1.2138806585775672</v>
      </c>
      <c r="BH283" s="409">
        <v>0</v>
      </c>
      <c r="BI283" s="409">
        <v>0.48</v>
      </c>
      <c r="BJ283" s="409">
        <v>2.38</v>
      </c>
      <c r="BK283" s="409">
        <v>14.1</v>
      </c>
      <c r="BL283" s="409">
        <v>0</v>
      </c>
      <c r="BM283" s="409"/>
      <c r="BN283" s="409"/>
      <c r="BO283" s="409"/>
      <c r="BP283" s="409"/>
      <c r="BQ283" s="409"/>
      <c r="BR283" s="409"/>
      <c r="BS283" s="409"/>
      <c r="BT283" s="409">
        <v>117.47340000000001</v>
      </c>
      <c r="BU283" s="409"/>
      <c r="BV283" s="409">
        <v>91.547836356194068</v>
      </c>
      <c r="BW283" s="409"/>
      <c r="BX283" s="409"/>
      <c r="BY283" s="409"/>
      <c r="BZ283" s="409"/>
      <c r="CA283" s="409"/>
      <c r="CB283" s="409"/>
      <c r="CC283" s="409"/>
      <c r="CD283" s="409"/>
      <c r="CE283" s="409"/>
      <c r="CF283" s="409"/>
      <c r="CG283" s="409"/>
      <c r="CH283" s="409"/>
      <c r="CI283" s="409">
        <v>63.254400000000004</v>
      </c>
      <c r="CJ283" s="409">
        <v>-1.7625000000000028</v>
      </c>
      <c r="CK283" s="409"/>
      <c r="CL283" s="409"/>
      <c r="CM283" s="409"/>
      <c r="CN283" s="409"/>
      <c r="CO283" s="409">
        <v>-9.2367000000000026</v>
      </c>
      <c r="CP283" s="409">
        <v>4.29</v>
      </c>
      <c r="CQ283" s="409">
        <v>29</v>
      </c>
      <c r="CR283" s="409">
        <v>5.4447165074347623</v>
      </c>
      <c r="CS283" s="409">
        <v>0</v>
      </c>
      <c r="CT283" s="409">
        <v>0</v>
      </c>
      <c r="CU283" s="409">
        <v>0</v>
      </c>
      <c r="CV283" s="409">
        <v>0</v>
      </c>
      <c r="CW283" s="409">
        <v>0</v>
      </c>
      <c r="CX283" s="409">
        <v>0</v>
      </c>
      <c r="CY283" s="409">
        <v>0</v>
      </c>
      <c r="CZ283" s="409">
        <v>0.97382348901892257</v>
      </c>
      <c r="DA283" s="409">
        <v>0</v>
      </c>
      <c r="DB283" s="409">
        <v>0</v>
      </c>
      <c r="DC283" s="409">
        <v>4.8662649421947179</v>
      </c>
      <c r="DD283" s="409">
        <v>0</v>
      </c>
      <c r="DE283" s="409">
        <v>0</v>
      </c>
      <c r="DF283" s="409">
        <v>0</v>
      </c>
      <c r="DG283" s="409">
        <v>6.5391411759026186E-2</v>
      </c>
      <c r="DH283" s="409">
        <v>0</v>
      </c>
      <c r="DI283" s="409">
        <v>0</v>
      </c>
      <c r="DJ283" s="409"/>
      <c r="DK283" s="409">
        <v>0</v>
      </c>
      <c r="DL283" s="409">
        <v>0</v>
      </c>
      <c r="DM283" s="409">
        <v>0</v>
      </c>
      <c r="DN283" s="409">
        <v>0</v>
      </c>
      <c r="DO283" s="409">
        <v>0</v>
      </c>
      <c r="DP283" s="409">
        <v>-2.3190456764293821E-2</v>
      </c>
      <c r="DQ283" s="409">
        <v>0</v>
      </c>
      <c r="DR283" s="409">
        <v>-0.437572878773614</v>
      </c>
      <c r="DS283" s="409"/>
      <c r="DT283" s="409"/>
      <c r="DU283" s="409"/>
      <c r="DV283" s="409">
        <v>65.366133374403844</v>
      </c>
      <c r="DW283" s="409">
        <v>0</v>
      </c>
      <c r="DX283" s="409">
        <v>0</v>
      </c>
      <c r="DY283" s="409">
        <v>-9.236699999999999</v>
      </c>
      <c r="DZ283" s="409">
        <v>4.289999999999992</v>
      </c>
      <c r="EA283" s="409">
        <v>0</v>
      </c>
      <c r="EB283" s="409">
        <v>0</v>
      </c>
      <c r="EC283" s="409">
        <v>-10.390141803235267</v>
      </c>
      <c r="ED283" s="409">
        <v>0</v>
      </c>
      <c r="EE283" s="409">
        <v>0</v>
      </c>
      <c r="EF283" s="409">
        <v>0</v>
      </c>
      <c r="EG283" s="409">
        <v>0</v>
      </c>
      <c r="EH283" s="409">
        <v>0</v>
      </c>
      <c r="EI283" s="409">
        <v>0</v>
      </c>
      <c r="EJ283" s="409">
        <v>0</v>
      </c>
      <c r="EK283" s="409">
        <v>0</v>
      </c>
      <c r="EL283" s="409">
        <v>0</v>
      </c>
      <c r="EM283" s="409">
        <v>0</v>
      </c>
      <c r="EN283" s="409">
        <v>0</v>
      </c>
      <c r="EO283" s="409">
        <v>0</v>
      </c>
      <c r="EP283" s="409">
        <v>0</v>
      </c>
      <c r="EQ283" s="409">
        <v>0</v>
      </c>
      <c r="ER283" s="409">
        <v>0</v>
      </c>
      <c r="ES283" s="409">
        <v>0</v>
      </c>
      <c r="ET283" s="409">
        <v>0</v>
      </c>
      <c r="EU283" s="409">
        <v>0</v>
      </c>
      <c r="EV283" s="409">
        <v>210</v>
      </c>
      <c r="EW283" s="409">
        <v>0</v>
      </c>
      <c r="EX283" s="409">
        <v>0</v>
      </c>
      <c r="EY283" s="409">
        <v>0</v>
      </c>
      <c r="EZ283" s="409"/>
      <c r="FA283" s="409">
        <v>0</v>
      </c>
      <c r="FB283" s="409"/>
      <c r="FC283" s="409"/>
      <c r="FD283" s="409"/>
      <c r="FE283" s="409"/>
      <c r="FF283" s="409">
        <v>0</v>
      </c>
      <c r="FG283" s="409">
        <v>0</v>
      </c>
      <c r="FH283" s="409">
        <v>0</v>
      </c>
      <c r="FI283" s="409">
        <v>0</v>
      </c>
    </row>
    <row r="284" spans="1:165">
      <c r="A284" s="409">
        <v>282</v>
      </c>
      <c r="B284" s="409" t="s">
        <v>1035</v>
      </c>
      <c r="C284" s="409" t="s">
        <v>2241</v>
      </c>
      <c r="D284" s="409" t="s">
        <v>1989</v>
      </c>
      <c r="E284" s="409" t="s">
        <v>968</v>
      </c>
      <c r="F284" s="409" t="s">
        <v>2244</v>
      </c>
      <c r="G284" s="409" t="s">
        <v>1323</v>
      </c>
      <c r="H284" s="409" t="s">
        <v>1323</v>
      </c>
      <c r="I284" s="409" t="s">
        <v>1323</v>
      </c>
      <c r="J284" s="409" t="s">
        <v>2242</v>
      </c>
      <c r="K284" s="838">
        <v>44593</v>
      </c>
      <c r="L284" s="409">
        <v>0</v>
      </c>
      <c r="M284" s="409">
        <v>0</v>
      </c>
      <c r="N284" s="409">
        <v>0.70399999999999996</v>
      </c>
      <c r="O284" s="409">
        <v>0.70399999999999996</v>
      </c>
      <c r="P284" s="409">
        <v>0.70399999999999996</v>
      </c>
      <c r="Q284" s="409">
        <v>0.70399999999999996</v>
      </c>
      <c r="R284" s="409"/>
      <c r="S284" s="409">
        <v>288.91000000000003</v>
      </c>
      <c r="T284" s="409">
        <v>273.74</v>
      </c>
      <c r="U284" s="409"/>
      <c r="V284" s="409">
        <v>396.10559999999998</v>
      </c>
      <c r="W284" s="409">
        <v>396.10559999999998</v>
      </c>
      <c r="X284" s="409">
        <v>385.55264</v>
      </c>
      <c r="Y284" s="409">
        <v>0</v>
      </c>
      <c r="Z284" s="409">
        <v>0</v>
      </c>
      <c r="AA284" s="409">
        <v>0</v>
      </c>
      <c r="AB284" s="409">
        <v>0</v>
      </c>
      <c r="AC284" s="409">
        <v>0</v>
      </c>
      <c r="AD284" s="409">
        <v>60.606316459809392</v>
      </c>
      <c r="AE284" s="409">
        <v>139.44775119872818</v>
      </c>
      <c r="AF284" s="409">
        <v>192.71243882158186</v>
      </c>
      <c r="AG284" s="409">
        <v>0</v>
      </c>
      <c r="AH284" s="409">
        <v>0</v>
      </c>
      <c r="AI284" s="409">
        <v>0</v>
      </c>
      <c r="AJ284" s="409">
        <v>0</v>
      </c>
      <c r="AK284" s="409">
        <v>0</v>
      </c>
      <c r="AL284" s="409">
        <v>0</v>
      </c>
      <c r="AM284" s="409"/>
      <c r="AN284" s="409">
        <v>0.74982432529713272</v>
      </c>
      <c r="AO284" s="409">
        <v>0</v>
      </c>
      <c r="AP284" s="409">
        <v>0</v>
      </c>
      <c r="AQ284" s="409">
        <v>0</v>
      </c>
      <c r="AR284" s="409">
        <v>0</v>
      </c>
      <c r="AS284" s="409">
        <v>0</v>
      </c>
      <c r="AT284" s="409">
        <v>0</v>
      </c>
      <c r="AU284" s="409">
        <v>0</v>
      </c>
      <c r="AV284" s="409">
        <v>0</v>
      </c>
      <c r="AW284" s="409">
        <v>0</v>
      </c>
      <c r="AX284" s="409">
        <v>0</v>
      </c>
      <c r="AY284" s="409">
        <v>0</v>
      </c>
      <c r="AZ284" s="409">
        <v>0</v>
      </c>
      <c r="BA284" s="409"/>
      <c r="BB284" s="409">
        <v>0</v>
      </c>
      <c r="BC284" s="409">
        <v>0</v>
      </c>
      <c r="BD284" s="409">
        <v>0</v>
      </c>
      <c r="BE284" s="409">
        <v>0</v>
      </c>
      <c r="BF284" s="409">
        <v>0</v>
      </c>
      <c r="BG284" s="409">
        <v>2.5896120716321431</v>
      </c>
      <c r="BH284" s="409">
        <v>0</v>
      </c>
      <c r="BI284" s="409">
        <v>1.96</v>
      </c>
      <c r="BJ284" s="409">
        <v>8.99</v>
      </c>
      <c r="BK284" s="409">
        <v>56.65</v>
      </c>
      <c r="BL284" s="409">
        <v>1</v>
      </c>
      <c r="BM284" s="409"/>
      <c r="BN284" s="409"/>
      <c r="BO284" s="409"/>
      <c r="BP284" s="409"/>
      <c r="BQ284" s="409"/>
      <c r="BR284" s="409"/>
      <c r="BS284" s="409"/>
      <c r="BT284" s="409">
        <v>154.21823999999998</v>
      </c>
      <c r="BU284" s="409"/>
      <c r="BV284" s="409">
        <v>195.30205089321399</v>
      </c>
      <c r="BW284" s="409"/>
      <c r="BX284" s="409"/>
      <c r="BY284" s="409"/>
      <c r="BZ284" s="409"/>
      <c r="CA284" s="409"/>
      <c r="CB284" s="409"/>
      <c r="CC284" s="409"/>
      <c r="CD284" s="409"/>
      <c r="CE284" s="409"/>
      <c r="CF284" s="409"/>
      <c r="CG284" s="409"/>
      <c r="CH284" s="409"/>
      <c r="CI284" s="409">
        <v>230.02</v>
      </c>
      <c r="CJ284" s="409">
        <v>-7.673359999999974</v>
      </c>
      <c r="CK284" s="409"/>
      <c r="CL284" s="409"/>
      <c r="CM284" s="409"/>
      <c r="CN284" s="409"/>
      <c r="CO284" s="409">
        <v>-19.704960000000007</v>
      </c>
      <c r="CP284" s="409">
        <v>9.1519999999999992</v>
      </c>
      <c r="CQ284" s="409">
        <v>29</v>
      </c>
      <c r="CR284" s="409">
        <v>11.615395215860815</v>
      </c>
      <c r="CS284" s="409">
        <v>0</v>
      </c>
      <c r="CT284" s="409">
        <v>0</v>
      </c>
      <c r="CU284" s="409">
        <v>0</v>
      </c>
      <c r="CV284" s="409">
        <v>0</v>
      </c>
      <c r="CW284" s="409">
        <v>0</v>
      </c>
      <c r="CX284" s="409">
        <v>0</v>
      </c>
      <c r="CY284" s="409">
        <v>0</v>
      </c>
      <c r="CZ284" s="409">
        <v>2.0774901099070391</v>
      </c>
      <c r="DA284" s="409">
        <v>0</v>
      </c>
      <c r="DB284" s="409">
        <v>0</v>
      </c>
      <c r="DC284" s="409">
        <v>10.381365210015389</v>
      </c>
      <c r="DD284" s="409">
        <v>0</v>
      </c>
      <c r="DE284" s="409">
        <v>0</v>
      </c>
      <c r="DF284" s="409">
        <v>0</v>
      </c>
      <c r="DG284" s="409">
        <v>0.13950167841925554</v>
      </c>
      <c r="DH284" s="409">
        <v>0</v>
      </c>
      <c r="DI284" s="409">
        <v>0</v>
      </c>
      <c r="DJ284" s="409"/>
      <c r="DK284" s="409">
        <v>0</v>
      </c>
      <c r="DL284" s="409">
        <v>0</v>
      </c>
      <c r="DM284" s="409">
        <v>0</v>
      </c>
      <c r="DN284" s="409">
        <v>0</v>
      </c>
      <c r="DO284" s="409">
        <v>0</v>
      </c>
      <c r="DP284" s="409">
        <v>-4.9472974430493477E-2</v>
      </c>
      <c r="DQ284" s="409">
        <v>0</v>
      </c>
      <c r="DR284" s="409">
        <v>-0.93348880805037626</v>
      </c>
      <c r="DS284" s="409"/>
      <c r="DT284" s="409"/>
      <c r="DU284" s="409"/>
      <c r="DV284" s="409">
        <v>139.44775119872818</v>
      </c>
      <c r="DW284" s="409">
        <v>0</v>
      </c>
      <c r="DX284" s="409">
        <v>0</v>
      </c>
      <c r="DY284" s="409">
        <v>-19.70496</v>
      </c>
      <c r="DZ284" s="409">
        <v>9.1520000000000152</v>
      </c>
      <c r="EA284" s="409">
        <v>0</v>
      </c>
      <c r="EB284" s="409">
        <v>0</v>
      </c>
      <c r="EC284" s="409">
        <v>-22.165635846901893</v>
      </c>
      <c r="ED284" s="409">
        <v>0</v>
      </c>
      <c r="EE284" s="409">
        <v>0</v>
      </c>
      <c r="EF284" s="409">
        <v>0</v>
      </c>
      <c r="EG284" s="409">
        <v>0</v>
      </c>
      <c r="EH284" s="409">
        <v>0</v>
      </c>
      <c r="EI284" s="409">
        <v>0</v>
      </c>
      <c r="EJ284" s="409">
        <v>0</v>
      </c>
      <c r="EK284" s="409">
        <v>0</v>
      </c>
      <c r="EL284" s="409">
        <v>0</v>
      </c>
      <c r="EM284" s="409">
        <v>0</v>
      </c>
      <c r="EN284" s="409">
        <v>0</v>
      </c>
      <c r="EO284" s="409">
        <v>0</v>
      </c>
      <c r="EP284" s="409">
        <v>0</v>
      </c>
      <c r="EQ284" s="409">
        <v>0</v>
      </c>
      <c r="ER284" s="409">
        <v>0</v>
      </c>
      <c r="ES284" s="409">
        <v>0</v>
      </c>
      <c r="ET284" s="409">
        <v>0</v>
      </c>
      <c r="EU284" s="409">
        <v>0</v>
      </c>
      <c r="EV284" s="409">
        <v>210</v>
      </c>
      <c r="EW284" s="409">
        <v>0</v>
      </c>
      <c r="EX284" s="409">
        <v>0</v>
      </c>
      <c r="EY284" s="409">
        <v>0</v>
      </c>
      <c r="EZ284" s="409"/>
      <c r="FA284" s="409">
        <v>0</v>
      </c>
      <c r="FB284" s="409"/>
      <c r="FC284" s="409"/>
      <c r="FD284" s="409"/>
      <c r="FE284" s="409"/>
      <c r="FF284" s="409">
        <v>0</v>
      </c>
      <c r="FG284" s="409">
        <v>0</v>
      </c>
      <c r="FH284" s="409">
        <v>0</v>
      </c>
      <c r="FI284" s="409">
        <v>0</v>
      </c>
    </row>
    <row r="285" spans="1:165">
      <c r="A285" s="409">
        <v>283</v>
      </c>
      <c r="B285" s="409" t="s">
        <v>1035</v>
      </c>
      <c r="C285" s="409" t="s">
        <v>2241</v>
      </c>
      <c r="D285" s="409" t="s">
        <v>1989</v>
      </c>
      <c r="E285" s="409" t="s">
        <v>968</v>
      </c>
      <c r="F285" s="409" t="s">
        <v>2245</v>
      </c>
      <c r="G285" s="409" t="s">
        <v>1323</v>
      </c>
      <c r="H285" s="409" t="s">
        <v>1323</v>
      </c>
      <c r="I285" s="409" t="s">
        <v>1323</v>
      </c>
      <c r="J285" s="409" t="s">
        <v>2242</v>
      </c>
      <c r="K285" s="838">
        <v>44593</v>
      </c>
      <c r="L285" s="409">
        <v>0</v>
      </c>
      <c r="M285" s="409">
        <v>0</v>
      </c>
      <c r="N285" s="409">
        <v>0.91900000000000004</v>
      </c>
      <c r="O285" s="409">
        <v>0.91900000000000004</v>
      </c>
      <c r="P285" s="409">
        <v>0.91900000000000004</v>
      </c>
      <c r="Q285" s="409">
        <v>0.91900000000000004</v>
      </c>
      <c r="R285" s="409"/>
      <c r="S285" s="409">
        <v>288.91000000000003</v>
      </c>
      <c r="T285" s="409">
        <v>273.74</v>
      </c>
      <c r="U285" s="409"/>
      <c r="V285" s="409">
        <v>517.07535000000007</v>
      </c>
      <c r="W285" s="409">
        <v>517.07535000000007</v>
      </c>
      <c r="X285" s="409">
        <v>503.29954000000009</v>
      </c>
      <c r="Y285" s="409">
        <v>0</v>
      </c>
      <c r="Z285" s="409">
        <v>0</v>
      </c>
      <c r="AA285" s="409">
        <v>0</v>
      </c>
      <c r="AB285" s="409">
        <v>0</v>
      </c>
      <c r="AC285" s="409">
        <v>0</v>
      </c>
      <c r="AD285" s="409">
        <v>79.115347765006874</v>
      </c>
      <c r="AE285" s="409">
        <v>182.03477748811252</v>
      </c>
      <c r="AF285" s="409">
        <v>251.56637965487747</v>
      </c>
      <c r="AG285" s="409">
        <v>0</v>
      </c>
      <c r="AH285" s="409">
        <v>0</v>
      </c>
      <c r="AI285" s="409">
        <v>0</v>
      </c>
      <c r="AJ285" s="409">
        <v>0</v>
      </c>
      <c r="AK285" s="409">
        <v>0</v>
      </c>
      <c r="AL285" s="409">
        <v>0</v>
      </c>
      <c r="AM285" s="409"/>
      <c r="AN285" s="409">
        <v>0.97881897009668328</v>
      </c>
      <c r="AO285" s="409">
        <v>0</v>
      </c>
      <c r="AP285" s="409">
        <v>0</v>
      </c>
      <c r="AQ285" s="409">
        <v>0</v>
      </c>
      <c r="AR285" s="409">
        <v>0</v>
      </c>
      <c r="AS285" s="409">
        <v>0</v>
      </c>
      <c r="AT285" s="409">
        <v>0</v>
      </c>
      <c r="AU285" s="409">
        <v>0</v>
      </c>
      <c r="AV285" s="409">
        <v>0</v>
      </c>
      <c r="AW285" s="409">
        <v>0</v>
      </c>
      <c r="AX285" s="409">
        <v>0</v>
      </c>
      <c r="AY285" s="409">
        <v>0</v>
      </c>
      <c r="AZ285" s="409">
        <v>0</v>
      </c>
      <c r="BA285" s="409"/>
      <c r="BB285" s="409">
        <v>0</v>
      </c>
      <c r="BC285" s="409">
        <v>0</v>
      </c>
      <c r="BD285" s="409">
        <v>0</v>
      </c>
      <c r="BE285" s="409">
        <v>0</v>
      </c>
      <c r="BF285" s="409">
        <v>0</v>
      </c>
      <c r="BG285" s="409">
        <v>3.3804737128266193</v>
      </c>
      <c r="BH285" s="409">
        <v>0</v>
      </c>
      <c r="BI285" s="409">
        <v>3.89</v>
      </c>
      <c r="BJ285" s="409">
        <v>17.989999999999998</v>
      </c>
      <c r="BK285" s="409">
        <v>125.57</v>
      </c>
      <c r="BL285" s="409">
        <v>7</v>
      </c>
      <c r="BM285" s="409"/>
      <c r="BN285" s="409"/>
      <c r="BO285" s="409"/>
      <c r="BP285" s="409"/>
      <c r="BQ285" s="409"/>
      <c r="BR285" s="409"/>
      <c r="BS285" s="409"/>
      <c r="BT285" s="409">
        <v>50.324440000000024</v>
      </c>
      <c r="BU285" s="409"/>
      <c r="BV285" s="409">
        <v>254.94685336770408</v>
      </c>
      <c r="BW285" s="409"/>
      <c r="BX285" s="409"/>
      <c r="BY285" s="409"/>
      <c r="BZ285" s="409"/>
      <c r="CA285" s="409"/>
      <c r="CB285" s="409"/>
      <c r="CC285" s="409"/>
      <c r="CD285" s="409"/>
      <c r="CE285" s="409"/>
      <c r="CF285" s="409"/>
      <c r="CG285" s="409"/>
      <c r="CH285" s="409"/>
      <c r="CI285" s="409">
        <v>453.46800000000002</v>
      </c>
      <c r="CJ285" s="409">
        <v>-11.934410000000014</v>
      </c>
      <c r="CK285" s="409"/>
      <c r="CL285" s="409"/>
      <c r="CM285" s="409"/>
      <c r="CN285" s="409"/>
      <c r="CO285" s="409">
        <v>-25.72281000000001</v>
      </c>
      <c r="CP285" s="409">
        <v>11.947000000000001</v>
      </c>
      <c r="CQ285" s="409">
        <v>29</v>
      </c>
      <c r="CR285" s="409">
        <v>15.162710516159279</v>
      </c>
      <c r="CS285" s="409">
        <v>0</v>
      </c>
      <c r="CT285" s="409">
        <v>0</v>
      </c>
      <c r="CU285" s="409">
        <v>0</v>
      </c>
      <c r="CV285" s="409">
        <v>0</v>
      </c>
      <c r="CW285" s="409">
        <v>0</v>
      </c>
      <c r="CX285" s="409">
        <v>0</v>
      </c>
      <c r="CY285" s="409">
        <v>0</v>
      </c>
      <c r="CZ285" s="409">
        <v>2.711950867904207</v>
      </c>
      <c r="DA285" s="409">
        <v>0</v>
      </c>
      <c r="DB285" s="409">
        <v>0</v>
      </c>
      <c r="DC285" s="409">
        <v>13.551810551142268</v>
      </c>
      <c r="DD285" s="409">
        <v>0</v>
      </c>
      <c r="DE285" s="409">
        <v>0</v>
      </c>
      <c r="DF285" s="409">
        <v>0</v>
      </c>
      <c r="DG285" s="409">
        <v>0.18210517395922698</v>
      </c>
      <c r="DH285" s="409">
        <v>0</v>
      </c>
      <c r="DI285" s="409">
        <v>0</v>
      </c>
      <c r="DJ285" s="409"/>
      <c r="DK285" s="409">
        <v>0</v>
      </c>
      <c r="DL285" s="409">
        <v>0</v>
      </c>
      <c r="DM285" s="409">
        <v>0</v>
      </c>
      <c r="DN285" s="409">
        <v>0</v>
      </c>
      <c r="DO285" s="409">
        <v>0</v>
      </c>
      <c r="DP285" s="409">
        <v>-6.458190838298794E-2</v>
      </c>
      <c r="DQ285" s="409">
        <v>0</v>
      </c>
      <c r="DR285" s="409">
        <v>-1.2185741684634885</v>
      </c>
      <c r="DS285" s="409"/>
      <c r="DT285" s="409"/>
      <c r="DU285" s="409"/>
      <c r="DV285" s="409">
        <v>182.03477748811252</v>
      </c>
      <c r="DW285" s="409">
        <v>0</v>
      </c>
      <c r="DX285" s="409">
        <v>0</v>
      </c>
      <c r="DY285" s="409">
        <v>-25.72281000000001</v>
      </c>
      <c r="DZ285" s="409">
        <v>11.947000000000003</v>
      </c>
      <c r="EA285" s="409">
        <v>0</v>
      </c>
      <c r="EB285" s="409">
        <v>0</v>
      </c>
      <c r="EC285" s="409">
        <v>-28.934970658100639</v>
      </c>
      <c r="ED285" s="409">
        <v>0</v>
      </c>
      <c r="EE285" s="409">
        <v>0</v>
      </c>
      <c r="EF285" s="409">
        <v>0</v>
      </c>
      <c r="EG285" s="409">
        <v>0</v>
      </c>
      <c r="EH285" s="409">
        <v>0</v>
      </c>
      <c r="EI285" s="409">
        <v>0</v>
      </c>
      <c r="EJ285" s="409">
        <v>0</v>
      </c>
      <c r="EK285" s="409">
        <v>0</v>
      </c>
      <c r="EL285" s="409">
        <v>0</v>
      </c>
      <c r="EM285" s="409">
        <v>0</v>
      </c>
      <c r="EN285" s="409">
        <v>0</v>
      </c>
      <c r="EO285" s="409">
        <v>0</v>
      </c>
      <c r="EP285" s="409">
        <v>0</v>
      </c>
      <c r="EQ285" s="409">
        <v>0</v>
      </c>
      <c r="ER285" s="409">
        <v>0</v>
      </c>
      <c r="ES285" s="409">
        <v>0</v>
      </c>
      <c r="ET285" s="409">
        <v>0</v>
      </c>
      <c r="EU285" s="409">
        <v>0</v>
      </c>
      <c r="EV285" s="409">
        <v>210</v>
      </c>
      <c r="EW285" s="409">
        <v>0</v>
      </c>
      <c r="EX285" s="409">
        <v>0</v>
      </c>
      <c r="EY285" s="409">
        <v>0</v>
      </c>
      <c r="EZ285" s="409"/>
      <c r="FA285" s="409">
        <v>0</v>
      </c>
      <c r="FB285" s="409"/>
      <c r="FC285" s="409"/>
      <c r="FD285" s="409"/>
      <c r="FE285" s="409"/>
      <c r="FF285" s="409">
        <v>0</v>
      </c>
      <c r="FG285" s="409">
        <v>0</v>
      </c>
      <c r="FH285" s="409">
        <v>0</v>
      </c>
      <c r="FI285" s="409">
        <v>0</v>
      </c>
    </row>
    <row r="286" spans="1:165">
      <c r="A286" s="409">
        <v>284</v>
      </c>
      <c r="B286" s="409" t="s">
        <v>1035</v>
      </c>
      <c r="C286" s="409" t="s">
        <v>2241</v>
      </c>
      <c r="D286" s="409" t="s">
        <v>1989</v>
      </c>
      <c r="E286" s="409" t="s">
        <v>968</v>
      </c>
      <c r="F286" s="409" t="s">
        <v>2258</v>
      </c>
      <c r="G286" s="409" t="s">
        <v>1323</v>
      </c>
      <c r="H286" s="409" t="s">
        <v>1323</v>
      </c>
      <c r="I286" s="409" t="s">
        <v>1323</v>
      </c>
      <c r="J286" s="409" t="s">
        <v>2242</v>
      </c>
      <c r="K286" s="838">
        <v>44593</v>
      </c>
      <c r="L286" s="409">
        <v>0</v>
      </c>
      <c r="M286" s="409">
        <v>0</v>
      </c>
      <c r="N286" s="409">
        <v>0.105</v>
      </c>
      <c r="O286" s="409">
        <v>0.105</v>
      </c>
      <c r="P286" s="409">
        <v>0.105</v>
      </c>
      <c r="Q286" s="409">
        <v>0.105</v>
      </c>
      <c r="R286" s="409"/>
      <c r="S286" s="409">
        <v>288.91000000000003</v>
      </c>
      <c r="T286" s="409">
        <v>273.74</v>
      </c>
      <c r="U286" s="409"/>
      <c r="V286" s="409">
        <v>59.078249999999997</v>
      </c>
      <c r="W286" s="409">
        <v>59.078249999999997</v>
      </c>
      <c r="X286" s="409">
        <v>57.504300000000001</v>
      </c>
      <c r="Y286" s="409">
        <v>0</v>
      </c>
      <c r="Z286" s="409">
        <v>0</v>
      </c>
      <c r="AA286" s="409">
        <v>0</v>
      </c>
      <c r="AB286" s="409">
        <v>0</v>
      </c>
      <c r="AC286" s="409">
        <v>0</v>
      </c>
      <c r="AD286" s="409">
        <v>9.0392943583522545</v>
      </c>
      <c r="AE286" s="409">
        <v>20.798315164583038</v>
      </c>
      <c r="AF286" s="409">
        <v>28.742622267423432</v>
      </c>
      <c r="AG286" s="409">
        <v>0</v>
      </c>
      <c r="AH286" s="409">
        <v>0</v>
      </c>
      <c r="AI286" s="409">
        <v>0</v>
      </c>
      <c r="AJ286" s="409">
        <v>0</v>
      </c>
      <c r="AK286" s="409">
        <v>0</v>
      </c>
      <c r="AL286" s="409">
        <v>0</v>
      </c>
      <c r="AM286" s="409"/>
      <c r="AN286" s="409">
        <v>0.11183459397187349</v>
      </c>
      <c r="AO286" s="409">
        <v>0</v>
      </c>
      <c r="AP286" s="409">
        <v>0</v>
      </c>
      <c r="AQ286" s="409">
        <v>0</v>
      </c>
      <c r="AR286" s="409">
        <v>0</v>
      </c>
      <c r="AS286" s="409">
        <v>0</v>
      </c>
      <c r="AT286" s="409">
        <v>0</v>
      </c>
      <c r="AU286" s="409">
        <v>0</v>
      </c>
      <c r="AV286" s="409">
        <v>0</v>
      </c>
      <c r="AW286" s="409">
        <v>0</v>
      </c>
      <c r="AX286" s="409">
        <v>0</v>
      </c>
      <c r="AY286" s="409">
        <v>0</v>
      </c>
      <c r="AZ286" s="409">
        <v>0</v>
      </c>
      <c r="BA286" s="409"/>
      <c r="BB286" s="409">
        <v>0</v>
      </c>
      <c r="BC286" s="409">
        <v>0</v>
      </c>
      <c r="BD286" s="409">
        <v>0</v>
      </c>
      <c r="BE286" s="409">
        <v>0</v>
      </c>
      <c r="BF286" s="409">
        <v>0</v>
      </c>
      <c r="BG286" s="409">
        <v>0.3862347550019532</v>
      </c>
      <c r="BH286" s="409">
        <v>0</v>
      </c>
      <c r="BI286" s="409">
        <v>0.51</v>
      </c>
      <c r="BJ286" s="409">
        <v>2.42</v>
      </c>
      <c r="BK286" s="409">
        <v>20.12</v>
      </c>
      <c r="BL286" s="409">
        <v>3</v>
      </c>
      <c r="BM286" s="409"/>
      <c r="BN286" s="409"/>
      <c r="BO286" s="409"/>
      <c r="BP286" s="409"/>
      <c r="BQ286" s="409"/>
      <c r="BR286" s="409"/>
      <c r="BS286" s="409"/>
      <c r="BT286" s="409"/>
      <c r="BU286" s="409"/>
      <c r="BV286" s="409">
        <v>29.128857022425386</v>
      </c>
      <c r="BW286" s="409"/>
      <c r="BX286" s="409"/>
      <c r="BY286" s="409"/>
      <c r="BZ286" s="409"/>
      <c r="CA286" s="409"/>
      <c r="CB286" s="409"/>
      <c r="CC286" s="409"/>
      <c r="CD286" s="409"/>
      <c r="CE286" s="409"/>
      <c r="CF286" s="409"/>
      <c r="CG286" s="409"/>
      <c r="CH286" s="409"/>
      <c r="CI286" s="409">
        <v>60.242600000000003</v>
      </c>
      <c r="CJ286" s="409">
        <v>1.1343499999999977</v>
      </c>
      <c r="CK286" s="409"/>
      <c r="CL286" s="409"/>
      <c r="CM286" s="409"/>
      <c r="CN286" s="409"/>
      <c r="CO286" s="409">
        <v>-2.9389500000000011</v>
      </c>
      <c r="CP286" s="409">
        <v>1.365</v>
      </c>
      <c r="CQ286" s="409">
        <v>29</v>
      </c>
      <c r="CR286" s="409">
        <v>1.7324097978201465</v>
      </c>
      <c r="CS286" s="409">
        <v>0</v>
      </c>
      <c r="CT286" s="409">
        <v>0</v>
      </c>
      <c r="CU286" s="409">
        <v>0</v>
      </c>
      <c r="CV286" s="409">
        <v>0</v>
      </c>
      <c r="CW286" s="409">
        <v>0</v>
      </c>
      <c r="CX286" s="409">
        <v>0</v>
      </c>
      <c r="CY286" s="409">
        <v>0</v>
      </c>
      <c r="CZ286" s="409">
        <v>0.30985292832420264</v>
      </c>
      <c r="DA286" s="409">
        <v>0</v>
      </c>
      <c r="DB286" s="409">
        <v>0</v>
      </c>
      <c r="DC286" s="409">
        <v>1.5483570270619502</v>
      </c>
      <c r="DD286" s="409">
        <v>0</v>
      </c>
      <c r="DE286" s="409">
        <v>0</v>
      </c>
      <c r="DF286" s="409">
        <v>0</v>
      </c>
      <c r="DG286" s="409">
        <v>2.0806358286962812E-2</v>
      </c>
      <c r="DH286" s="409">
        <v>0</v>
      </c>
      <c r="DI286" s="409">
        <v>0</v>
      </c>
      <c r="DJ286" s="409"/>
      <c r="DK286" s="409">
        <v>0</v>
      </c>
      <c r="DL286" s="409">
        <v>0</v>
      </c>
      <c r="DM286" s="409">
        <v>0</v>
      </c>
      <c r="DN286" s="409">
        <v>0</v>
      </c>
      <c r="DO286" s="409">
        <v>0</v>
      </c>
      <c r="DP286" s="409">
        <v>-7.378781697729847E-3</v>
      </c>
      <c r="DQ286" s="409">
        <v>0</v>
      </c>
      <c r="DR286" s="409">
        <v>-0.13922773415524081</v>
      </c>
      <c r="DS286" s="409"/>
      <c r="DT286" s="409"/>
      <c r="DU286" s="409"/>
      <c r="DV286" s="409">
        <v>20.798315164583038</v>
      </c>
      <c r="DW286" s="409">
        <v>0</v>
      </c>
      <c r="DX286" s="409">
        <v>0</v>
      </c>
      <c r="DY286" s="409">
        <v>-2.9389500000000019</v>
      </c>
      <c r="DZ286" s="409">
        <v>1.365000000000002</v>
      </c>
      <c r="EA286" s="409">
        <v>0</v>
      </c>
      <c r="EB286" s="409">
        <v>0</v>
      </c>
      <c r="EC286" s="409">
        <v>-3.3059542101203085</v>
      </c>
      <c r="ED286" s="409">
        <v>0</v>
      </c>
      <c r="EE286" s="409">
        <v>0</v>
      </c>
      <c r="EF286" s="409">
        <v>0</v>
      </c>
      <c r="EG286" s="409">
        <v>0</v>
      </c>
      <c r="EH286" s="409">
        <v>0</v>
      </c>
      <c r="EI286" s="409">
        <v>0</v>
      </c>
      <c r="EJ286" s="409">
        <v>0</v>
      </c>
      <c r="EK286" s="409">
        <v>0</v>
      </c>
      <c r="EL286" s="409">
        <v>0</v>
      </c>
      <c r="EM286" s="409">
        <v>0</v>
      </c>
      <c r="EN286" s="409">
        <v>0</v>
      </c>
      <c r="EO286" s="409">
        <v>0</v>
      </c>
      <c r="EP286" s="409">
        <v>0</v>
      </c>
      <c r="EQ286" s="409">
        <v>0</v>
      </c>
      <c r="ER286" s="409">
        <v>0</v>
      </c>
      <c r="ES286" s="409">
        <v>0</v>
      </c>
      <c r="ET286" s="409">
        <v>0</v>
      </c>
      <c r="EU286" s="409">
        <v>0</v>
      </c>
      <c r="EV286" s="409">
        <v>210</v>
      </c>
      <c r="EW286" s="409">
        <v>0</v>
      </c>
      <c r="EX286" s="409">
        <v>0</v>
      </c>
      <c r="EY286" s="409">
        <v>0</v>
      </c>
      <c r="EZ286" s="409"/>
      <c r="FA286" s="409">
        <v>0</v>
      </c>
      <c r="FB286" s="409"/>
      <c r="FC286" s="409"/>
      <c r="FD286" s="409"/>
      <c r="FE286" s="409"/>
      <c r="FF286" s="409">
        <v>0</v>
      </c>
      <c r="FG286" s="409">
        <v>0</v>
      </c>
      <c r="FH286" s="409">
        <v>0</v>
      </c>
      <c r="FI286" s="409">
        <v>0</v>
      </c>
    </row>
    <row r="287" spans="1:165">
      <c r="A287" s="409">
        <v>285</v>
      </c>
      <c r="B287" s="409" t="s">
        <v>1035</v>
      </c>
      <c r="C287" s="409" t="s">
        <v>2241</v>
      </c>
      <c r="D287" s="409" t="s">
        <v>1992</v>
      </c>
      <c r="E287" s="409" t="s">
        <v>969</v>
      </c>
      <c r="F287" s="409" t="s">
        <v>1323</v>
      </c>
      <c r="G287" s="409" t="s">
        <v>1323</v>
      </c>
      <c r="H287" s="409" t="s">
        <v>1323</v>
      </c>
      <c r="I287" s="409" t="s">
        <v>1323</v>
      </c>
      <c r="J287" s="409" t="s">
        <v>2242</v>
      </c>
      <c r="K287" s="838">
        <v>44593</v>
      </c>
      <c r="L287" s="409">
        <v>0</v>
      </c>
      <c r="M287" s="409">
        <v>0</v>
      </c>
      <c r="N287" s="409">
        <v>30.919</v>
      </c>
      <c r="O287" s="409">
        <v>30.919</v>
      </c>
      <c r="P287" s="409">
        <v>30.919</v>
      </c>
      <c r="Q287" s="409">
        <v>30.919</v>
      </c>
      <c r="R287" s="409"/>
      <c r="S287" s="409">
        <v>358.62</v>
      </c>
      <c r="T287" s="409">
        <v>273.74</v>
      </c>
      <c r="U287" s="409"/>
      <c r="V287" s="409">
        <v>19551.938840000003</v>
      </c>
      <c r="W287" s="409">
        <v>19551.938840000003</v>
      </c>
      <c r="X287" s="409">
        <v>18957.675660000001</v>
      </c>
      <c r="Y287" s="409">
        <v>0</v>
      </c>
      <c r="Z287" s="409">
        <v>1866.7164504774173</v>
      </c>
      <c r="AA287" s="409">
        <v>0</v>
      </c>
      <c r="AB287" s="409">
        <v>0</v>
      </c>
      <c r="AC287" s="409">
        <v>0</v>
      </c>
      <c r="AD287" s="409">
        <v>2661.7708787227939</v>
      </c>
      <c r="AE287" s="409">
        <v>6124.4105387975524</v>
      </c>
      <c r="AF287" s="409">
        <v>8463.7441703472869</v>
      </c>
      <c r="AG287" s="409">
        <v>0</v>
      </c>
      <c r="AH287" s="409">
        <v>0</v>
      </c>
      <c r="AI287" s="409">
        <v>0</v>
      </c>
      <c r="AJ287" s="409">
        <v>0</v>
      </c>
      <c r="AK287" s="409">
        <v>0</v>
      </c>
      <c r="AL287" s="409">
        <v>288.67675362732422</v>
      </c>
      <c r="AM287" s="409"/>
      <c r="AN287" s="409">
        <v>32.931560104917679</v>
      </c>
      <c r="AO287" s="409">
        <v>0</v>
      </c>
      <c r="AP287" s="409">
        <v>0</v>
      </c>
      <c r="AQ287" s="409">
        <v>0</v>
      </c>
      <c r="AR287" s="409">
        <v>0</v>
      </c>
      <c r="AS287" s="409">
        <v>0</v>
      </c>
      <c r="AT287" s="409">
        <v>0</v>
      </c>
      <c r="AU287" s="409">
        <v>0</v>
      </c>
      <c r="AV287" s="409">
        <v>0</v>
      </c>
      <c r="AW287" s="409">
        <v>0</v>
      </c>
      <c r="AX287" s="409">
        <v>0</v>
      </c>
      <c r="AY287" s="409">
        <v>0</v>
      </c>
      <c r="AZ287" s="409">
        <v>0</v>
      </c>
      <c r="BA287" s="409"/>
      <c r="BB287" s="409">
        <v>0</v>
      </c>
      <c r="BC287" s="409">
        <v>0</v>
      </c>
      <c r="BD287" s="409">
        <v>0</v>
      </c>
      <c r="BE287" s="409">
        <v>0</v>
      </c>
      <c r="BF287" s="409">
        <v>0</v>
      </c>
      <c r="BG287" s="409">
        <v>113.73326085624183</v>
      </c>
      <c r="BH287" s="409">
        <v>0</v>
      </c>
      <c r="BI287" s="409">
        <v>193.62</v>
      </c>
      <c r="BJ287" s="409">
        <v>894.01</v>
      </c>
      <c r="BK287" s="409">
        <v>5363.89</v>
      </c>
      <c r="BL287" s="409">
        <v>12</v>
      </c>
      <c r="BM287" s="409"/>
      <c r="BN287" s="409"/>
      <c r="BO287" s="409"/>
      <c r="BP287" s="409"/>
      <c r="BQ287" s="409"/>
      <c r="BR287" s="409"/>
      <c r="BS287" s="409"/>
      <c r="BT287" s="409"/>
      <c r="BU287" s="409"/>
      <c r="BV287" s="409">
        <v>8577.4774312035279</v>
      </c>
      <c r="BW287" s="409"/>
      <c r="BX287" s="409"/>
      <c r="BY287" s="409"/>
      <c r="BZ287" s="409"/>
      <c r="CA287" s="409"/>
      <c r="CB287" s="409"/>
      <c r="CC287" s="409"/>
      <c r="CD287" s="409"/>
      <c r="CE287" s="409"/>
      <c r="CF287" s="409"/>
      <c r="CG287" s="409"/>
      <c r="CH287" s="409"/>
      <c r="CI287" s="409">
        <v>18958.288800000002</v>
      </c>
      <c r="CJ287" s="409">
        <v>-593.68003999999564</v>
      </c>
      <c r="CK287" s="409"/>
      <c r="CL287" s="409"/>
      <c r="CM287" s="409"/>
      <c r="CN287" s="409"/>
      <c r="CO287" s="409">
        <v>-996.21018000000083</v>
      </c>
      <c r="CP287" s="409">
        <v>401.947</v>
      </c>
      <c r="CQ287" s="409">
        <v>29</v>
      </c>
      <c r="CR287" s="409">
        <v>379.12507493549856</v>
      </c>
      <c r="CS287" s="409">
        <v>0</v>
      </c>
      <c r="CT287" s="409">
        <v>0</v>
      </c>
      <c r="CU287" s="409">
        <v>0</v>
      </c>
      <c r="CV287" s="409">
        <v>0</v>
      </c>
      <c r="CW287" s="409">
        <v>0</v>
      </c>
      <c r="CX287" s="409">
        <v>0</v>
      </c>
      <c r="CY287" s="409">
        <v>0</v>
      </c>
      <c r="CZ287" s="409">
        <v>91.241358960533489</v>
      </c>
      <c r="DA287" s="409">
        <v>0</v>
      </c>
      <c r="DB287" s="409">
        <v>0</v>
      </c>
      <c r="DC287" s="409">
        <v>455.93953256884379</v>
      </c>
      <c r="DD287" s="409">
        <v>0</v>
      </c>
      <c r="DE287" s="409">
        <v>0</v>
      </c>
      <c r="DF287" s="409">
        <v>0</v>
      </c>
      <c r="DG287" s="409">
        <v>6.1267789702343123</v>
      </c>
      <c r="DH287" s="409">
        <v>0</v>
      </c>
      <c r="DI287" s="409">
        <v>-118.98688684436047</v>
      </c>
      <c r="DJ287" s="409"/>
      <c r="DK287" s="409">
        <v>0</v>
      </c>
      <c r="DL287" s="409">
        <v>0</v>
      </c>
      <c r="DM287" s="409">
        <v>0</v>
      </c>
      <c r="DN287" s="409">
        <v>0</v>
      </c>
      <c r="DO287" s="409">
        <v>-15.135841133263682</v>
      </c>
      <c r="DP287" s="409">
        <v>-2.1728052505915123</v>
      </c>
      <c r="DQ287" s="409">
        <v>0</v>
      </c>
      <c r="DR287" s="409">
        <v>-37.887062335898108</v>
      </c>
      <c r="DS287" s="409"/>
      <c r="DT287" s="409"/>
      <c r="DU287" s="409"/>
      <c r="DV287" s="409">
        <v>6124.4105387975524</v>
      </c>
      <c r="DW287" s="409">
        <v>0</v>
      </c>
      <c r="DX287" s="409">
        <v>0</v>
      </c>
      <c r="DY287" s="409">
        <v>-996.21018000000186</v>
      </c>
      <c r="DZ287" s="409">
        <v>401.94700000000012</v>
      </c>
      <c r="EA287" s="409">
        <v>0</v>
      </c>
      <c r="EB287" s="409">
        <v>0</v>
      </c>
      <c r="EC287" s="409">
        <v>-973.49331640676064</v>
      </c>
      <c r="ED287" s="409">
        <v>0</v>
      </c>
      <c r="EE287" s="409">
        <v>0</v>
      </c>
      <c r="EF287" s="409">
        <v>0</v>
      </c>
      <c r="EG287" s="409">
        <v>0</v>
      </c>
      <c r="EH287" s="409">
        <v>0</v>
      </c>
      <c r="EI287" s="409">
        <v>0</v>
      </c>
      <c r="EJ287" s="409">
        <v>0</v>
      </c>
      <c r="EK287" s="409">
        <v>0</v>
      </c>
      <c r="EL287" s="409">
        <v>0</v>
      </c>
      <c r="EM287" s="409">
        <v>0</v>
      </c>
      <c r="EN287" s="409">
        <v>0</v>
      </c>
      <c r="EO287" s="409">
        <v>0</v>
      </c>
      <c r="EP287" s="409">
        <v>0</v>
      </c>
      <c r="EQ287" s="409">
        <v>0</v>
      </c>
      <c r="ER287" s="409">
        <v>0</v>
      </c>
      <c r="ES287" s="409">
        <v>0</v>
      </c>
      <c r="ET287" s="409">
        <v>0</v>
      </c>
      <c r="EU287" s="409">
        <v>0</v>
      </c>
      <c r="EV287" s="409">
        <v>210</v>
      </c>
      <c r="EW287" s="409">
        <v>0</v>
      </c>
      <c r="EX287" s="409">
        <v>0</v>
      </c>
      <c r="EY287" s="409">
        <v>0</v>
      </c>
      <c r="EZ287" s="409"/>
      <c r="FA287" s="409">
        <v>0</v>
      </c>
      <c r="FB287" s="409"/>
      <c r="FC287" s="409"/>
      <c r="FD287" s="409"/>
      <c r="FE287" s="409"/>
      <c r="FF287" s="409">
        <v>0</v>
      </c>
      <c r="FG287" s="409">
        <v>0</v>
      </c>
      <c r="FH287" s="409">
        <v>0</v>
      </c>
      <c r="FI287" s="409">
        <v>0</v>
      </c>
    </row>
    <row r="288" spans="1:165">
      <c r="A288" s="409">
        <v>286</v>
      </c>
      <c r="B288" s="409" t="s">
        <v>2240</v>
      </c>
      <c r="C288" s="409" t="s">
        <v>2241</v>
      </c>
      <c r="D288" s="409" t="s">
        <v>1992</v>
      </c>
      <c r="E288" s="409" t="s">
        <v>969</v>
      </c>
      <c r="F288" s="409" t="s">
        <v>1323</v>
      </c>
      <c r="G288" s="409" t="s">
        <v>1323</v>
      </c>
      <c r="H288" s="409" t="s">
        <v>1323</v>
      </c>
      <c r="I288" s="409" t="s">
        <v>1323</v>
      </c>
      <c r="J288" s="409" t="s">
        <v>2242</v>
      </c>
      <c r="K288" s="838">
        <v>44593</v>
      </c>
      <c r="L288" s="409">
        <v>0</v>
      </c>
      <c r="M288" s="409">
        <v>0</v>
      </c>
      <c r="N288" s="409">
        <v>0.1</v>
      </c>
      <c r="O288" s="409">
        <v>0.1</v>
      </c>
      <c r="P288" s="409">
        <v>0.1</v>
      </c>
      <c r="Q288" s="409">
        <v>0.1</v>
      </c>
      <c r="R288" s="409"/>
      <c r="S288" s="409">
        <v>358.62</v>
      </c>
      <c r="T288" s="409">
        <v>273.74</v>
      </c>
      <c r="U288" s="409"/>
      <c r="V288" s="409">
        <v>63.236000000000004</v>
      </c>
      <c r="W288" s="409">
        <v>63.236000000000004</v>
      </c>
      <c r="X288" s="409">
        <v>61.314000000000007</v>
      </c>
      <c r="Y288" s="409">
        <v>0</v>
      </c>
      <c r="Z288" s="409">
        <v>6.03744121891852</v>
      </c>
      <c r="AA288" s="409">
        <v>0</v>
      </c>
      <c r="AB288" s="409">
        <v>0</v>
      </c>
      <c r="AC288" s="409">
        <v>0</v>
      </c>
      <c r="AD288" s="409">
        <v>8.6088517698592906</v>
      </c>
      <c r="AE288" s="409">
        <v>19.807919204364801</v>
      </c>
      <c r="AF288" s="409">
        <v>27.373925968974699</v>
      </c>
      <c r="AG288" s="409">
        <v>0</v>
      </c>
      <c r="AH288" s="409">
        <v>0</v>
      </c>
      <c r="AI288" s="409">
        <v>0</v>
      </c>
      <c r="AJ288" s="409">
        <v>0</v>
      </c>
      <c r="AK288" s="409">
        <v>0</v>
      </c>
      <c r="AL288" s="409">
        <v>0.93365488414025111</v>
      </c>
      <c r="AM288" s="409"/>
      <c r="AN288" s="409">
        <v>0.10650913711607</v>
      </c>
      <c r="AO288" s="409">
        <v>0</v>
      </c>
      <c r="AP288" s="409">
        <v>0</v>
      </c>
      <c r="AQ288" s="409">
        <v>0</v>
      </c>
      <c r="AR288" s="409">
        <v>0</v>
      </c>
      <c r="AS288" s="409">
        <v>0</v>
      </c>
      <c r="AT288" s="409">
        <v>0</v>
      </c>
      <c r="AU288" s="409">
        <v>0</v>
      </c>
      <c r="AV288" s="409">
        <v>0</v>
      </c>
      <c r="AW288" s="409">
        <v>0</v>
      </c>
      <c r="AX288" s="409">
        <v>0</v>
      </c>
      <c r="AY288" s="409">
        <v>0</v>
      </c>
      <c r="AZ288" s="409">
        <v>0</v>
      </c>
      <c r="BA288" s="409"/>
      <c r="BB288" s="409">
        <v>0</v>
      </c>
      <c r="BC288" s="409">
        <v>0</v>
      </c>
      <c r="BD288" s="409">
        <v>0</v>
      </c>
      <c r="BE288" s="409">
        <v>0</v>
      </c>
      <c r="BF288" s="409">
        <v>0</v>
      </c>
      <c r="BG288" s="409">
        <v>0.36784262381138405</v>
      </c>
      <c r="BH288" s="409">
        <v>0</v>
      </c>
      <c r="BI288" s="409">
        <v>0.62</v>
      </c>
      <c r="BJ288" s="409">
        <v>2.89</v>
      </c>
      <c r="BK288" s="409">
        <v>119.51</v>
      </c>
      <c r="BL288" s="409">
        <v>1</v>
      </c>
      <c r="BM288" s="409"/>
      <c r="BN288" s="409"/>
      <c r="BO288" s="409"/>
      <c r="BP288" s="409"/>
      <c r="BQ288" s="409"/>
      <c r="BR288" s="409"/>
      <c r="BS288" s="409"/>
      <c r="BT288" s="409"/>
      <c r="BU288" s="409"/>
      <c r="BV288" s="409">
        <v>27.741768592786084</v>
      </c>
      <c r="BW288" s="409"/>
      <c r="BX288" s="409"/>
      <c r="BY288" s="409"/>
      <c r="BZ288" s="409"/>
      <c r="CA288" s="409"/>
      <c r="CB288" s="409"/>
      <c r="CC288" s="409"/>
      <c r="CD288" s="409"/>
      <c r="CE288" s="409"/>
      <c r="CF288" s="409"/>
      <c r="CG288" s="409"/>
      <c r="CH288" s="409"/>
      <c r="CI288" s="409">
        <v>61.314000000000007</v>
      </c>
      <c r="CJ288" s="409">
        <v>-1.9519999999999911</v>
      </c>
      <c r="CK288" s="409"/>
      <c r="CL288" s="409"/>
      <c r="CM288" s="409"/>
      <c r="CN288" s="409"/>
      <c r="CO288" s="409">
        <v>-3.2220000000000031</v>
      </c>
      <c r="CP288" s="409">
        <v>1.3</v>
      </c>
      <c r="CQ288" s="409">
        <v>29</v>
      </c>
      <c r="CR288" s="409">
        <v>1.2261880233367748</v>
      </c>
      <c r="CS288" s="409">
        <v>0</v>
      </c>
      <c r="CT288" s="409">
        <v>0</v>
      </c>
      <c r="CU288" s="409">
        <v>0</v>
      </c>
      <c r="CV288" s="409">
        <v>0</v>
      </c>
      <c r="CW288" s="409">
        <v>0</v>
      </c>
      <c r="CX288" s="409">
        <v>0</v>
      </c>
      <c r="CY288" s="409">
        <v>0</v>
      </c>
      <c r="CZ288" s="409">
        <v>0.29509802697543108</v>
      </c>
      <c r="DA288" s="409">
        <v>0</v>
      </c>
      <c r="DB288" s="409">
        <v>0</v>
      </c>
      <c r="DC288" s="409">
        <v>1.4746257400590004</v>
      </c>
      <c r="DD288" s="409">
        <v>0</v>
      </c>
      <c r="DE288" s="409">
        <v>0</v>
      </c>
      <c r="DF288" s="409">
        <v>0</v>
      </c>
      <c r="DG288" s="409">
        <v>1.9815579320916987E-2</v>
      </c>
      <c r="DH288" s="409">
        <v>0</v>
      </c>
      <c r="DI288" s="409">
        <v>-0.38483420176707028</v>
      </c>
      <c r="DJ288" s="409"/>
      <c r="DK288" s="409">
        <v>0</v>
      </c>
      <c r="DL288" s="409">
        <v>0</v>
      </c>
      <c r="DM288" s="409">
        <v>0</v>
      </c>
      <c r="DN288" s="409">
        <v>0</v>
      </c>
      <c r="DO288" s="409">
        <v>-4.8953203962817993E-2</v>
      </c>
      <c r="DP288" s="409">
        <v>-7.0274111406950918E-3</v>
      </c>
      <c r="DQ288" s="409">
        <v>0</v>
      </c>
      <c r="DR288" s="409">
        <v>-0.12253650614799351</v>
      </c>
      <c r="DS288" s="409"/>
      <c r="DT288" s="409"/>
      <c r="DU288" s="409"/>
      <c r="DV288" s="409">
        <v>19.807919204364801</v>
      </c>
      <c r="DW288" s="409">
        <v>0</v>
      </c>
      <c r="DX288" s="409">
        <v>0</v>
      </c>
      <c r="DY288" s="409">
        <v>-3.2220000000000013</v>
      </c>
      <c r="DZ288" s="409">
        <v>1.3000000000000007</v>
      </c>
      <c r="EA288" s="409">
        <v>0</v>
      </c>
      <c r="EB288" s="409">
        <v>0</v>
      </c>
      <c r="EC288" s="409">
        <v>-3.1485278191622008</v>
      </c>
      <c r="ED288" s="409">
        <v>0</v>
      </c>
      <c r="EE288" s="409">
        <v>0</v>
      </c>
      <c r="EF288" s="409">
        <v>0</v>
      </c>
      <c r="EG288" s="409">
        <v>0</v>
      </c>
      <c r="EH288" s="409">
        <v>0</v>
      </c>
      <c r="EI288" s="409">
        <v>0</v>
      </c>
      <c r="EJ288" s="409">
        <v>0</v>
      </c>
      <c r="EK288" s="409">
        <v>0</v>
      </c>
      <c r="EL288" s="409">
        <v>0</v>
      </c>
      <c r="EM288" s="409">
        <v>0</v>
      </c>
      <c r="EN288" s="409">
        <v>0</v>
      </c>
      <c r="EO288" s="409">
        <v>0</v>
      </c>
      <c r="EP288" s="409">
        <v>0</v>
      </c>
      <c r="EQ288" s="409">
        <v>0</v>
      </c>
      <c r="ER288" s="409">
        <v>0</v>
      </c>
      <c r="ES288" s="409">
        <v>0</v>
      </c>
      <c r="ET288" s="409">
        <v>0</v>
      </c>
      <c r="EU288" s="409">
        <v>0</v>
      </c>
      <c r="EV288" s="409">
        <v>210</v>
      </c>
      <c r="EW288" s="409">
        <v>0</v>
      </c>
      <c r="EX288" s="409">
        <v>0</v>
      </c>
      <c r="EY288" s="409">
        <v>0</v>
      </c>
      <c r="EZ288" s="409"/>
      <c r="FA288" s="409">
        <v>0</v>
      </c>
      <c r="FB288" s="409"/>
      <c r="FC288" s="409"/>
      <c r="FD288" s="409"/>
      <c r="FE288" s="409"/>
      <c r="FF288" s="409">
        <v>0</v>
      </c>
      <c r="FG288" s="409">
        <v>0</v>
      </c>
      <c r="FH288" s="409">
        <v>0</v>
      </c>
      <c r="FI288" s="409">
        <v>0</v>
      </c>
    </row>
    <row r="289" spans="1:165">
      <c r="A289" s="409">
        <v>287</v>
      </c>
      <c r="B289" s="409" t="s">
        <v>1035</v>
      </c>
      <c r="C289" s="409" t="s">
        <v>2246</v>
      </c>
      <c r="D289" s="409" t="s">
        <v>595</v>
      </c>
      <c r="E289" s="409" t="s">
        <v>969</v>
      </c>
      <c r="F289" s="409" t="s">
        <v>1323</v>
      </c>
      <c r="G289" s="409" t="s">
        <v>1323</v>
      </c>
      <c r="H289" s="409" t="s">
        <v>1323</v>
      </c>
      <c r="I289" s="409" t="s">
        <v>972</v>
      </c>
      <c r="J289" s="409" t="s">
        <v>2242</v>
      </c>
      <c r="K289" s="838">
        <v>44593</v>
      </c>
      <c r="L289" s="409">
        <v>0</v>
      </c>
      <c r="M289" s="409">
        <v>0</v>
      </c>
      <c r="N289" s="409">
        <v>10.494</v>
      </c>
      <c r="O289" s="409">
        <v>10.494</v>
      </c>
      <c r="P289" s="409">
        <v>10.494</v>
      </c>
      <c r="Q289" s="409">
        <v>10.494</v>
      </c>
      <c r="R289" s="409"/>
      <c r="S289" s="409">
        <v>1856.88</v>
      </c>
      <c r="T289" s="409">
        <v>273.74</v>
      </c>
      <c r="U289" s="409"/>
      <c r="V289" s="409">
        <v>22358.726280000003</v>
      </c>
      <c r="W289" s="409">
        <v>22358.726280000003</v>
      </c>
      <c r="X289" s="409">
        <v>20487.12138</v>
      </c>
      <c r="Y289" s="409">
        <v>0</v>
      </c>
      <c r="Z289" s="409">
        <v>551.205100916579</v>
      </c>
      <c r="AA289" s="409">
        <v>0</v>
      </c>
      <c r="AB289" s="409">
        <v>0</v>
      </c>
      <c r="AC289" s="409">
        <v>0</v>
      </c>
      <c r="AD289" s="409">
        <v>5143.024088243581</v>
      </c>
      <c r="AE289" s="409">
        <v>13667.191680959382</v>
      </c>
      <c r="AF289" s="409">
        <v>2872.6197911842046</v>
      </c>
      <c r="AG289" s="409">
        <v>0</v>
      </c>
      <c r="AH289" s="409">
        <v>0</v>
      </c>
      <c r="AI289" s="409">
        <v>0</v>
      </c>
      <c r="AJ289" s="409">
        <v>0</v>
      </c>
      <c r="AK289" s="409">
        <v>0</v>
      </c>
      <c r="AL289" s="409">
        <v>97.977743541677953</v>
      </c>
      <c r="AM289" s="409"/>
      <c r="AN289" s="409">
        <v>9.1097145292962747</v>
      </c>
      <c r="AO289" s="409">
        <v>0</v>
      </c>
      <c r="AP289" s="409">
        <v>0</v>
      </c>
      <c r="AQ289" s="409">
        <v>0</v>
      </c>
      <c r="AR289" s="409">
        <v>0</v>
      </c>
      <c r="AS289" s="409">
        <v>0</v>
      </c>
      <c r="AT289" s="409">
        <v>0</v>
      </c>
      <c r="AU289" s="409">
        <v>0</v>
      </c>
      <c r="AV289" s="409">
        <v>0</v>
      </c>
      <c r="AW289" s="409">
        <v>0</v>
      </c>
      <c r="AX289" s="409">
        <v>0</v>
      </c>
      <c r="AY289" s="409">
        <v>0</v>
      </c>
      <c r="AZ289" s="409">
        <v>0</v>
      </c>
      <c r="BA289" s="409"/>
      <c r="BB289" s="409">
        <v>0</v>
      </c>
      <c r="BC289" s="409">
        <v>0</v>
      </c>
      <c r="BD289" s="409">
        <v>0</v>
      </c>
      <c r="BE289" s="409">
        <v>0</v>
      </c>
      <c r="BF289" s="409">
        <v>0</v>
      </c>
      <c r="BG289" s="409">
        <v>17.559881711541035</v>
      </c>
      <c r="BH289" s="409">
        <v>0</v>
      </c>
      <c r="BI289" s="409">
        <v>0</v>
      </c>
      <c r="BJ289" s="409">
        <v>0</v>
      </c>
      <c r="BK289" s="409">
        <v>0</v>
      </c>
      <c r="BL289" s="409">
        <v>0</v>
      </c>
      <c r="BM289" s="409"/>
      <c r="BN289" s="409"/>
      <c r="BO289" s="409"/>
      <c r="BP289" s="409"/>
      <c r="BQ289" s="409"/>
      <c r="BR289" s="409"/>
      <c r="BS289" s="409"/>
      <c r="BT289" s="409"/>
      <c r="BU289" s="409"/>
      <c r="BV289" s="409">
        <v>2890.1796728957456</v>
      </c>
      <c r="BW289" s="409"/>
      <c r="BX289" s="409"/>
      <c r="BY289" s="409"/>
      <c r="BZ289" s="409"/>
      <c r="CA289" s="409"/>
      <c r="CB289" s="409"/>
      <c r="CC289" s="409"/>
      <c r="CD289" s="409"/>
      <c r="CE289" s="409"/>
      <c r="CF289" s="409"/>
      <c r="CG289" s="409"/>
      <c r="CH289" s="409"/>
      <c r="CI289" s="409">
        <v>20479.312300000001</v>
      </c>
      <c r="CJ289" s="409">
        <v>-1879.4439799999964</v>
      </c>
      <c r="CK289" s="409"/>
      <c r="CL289" s="409"/>
      <c r="CM289" s="409"/>
      <c r="CN289" s="409"/>
      <c r="CO289" s="409">
        <v>-2008.0269000000014</v>
      </c>
      <c r="CP289" s="409">
        <v>136.422</v>
      </c>
      <c r="CQ289" s="409">
        <v>29</v>
      </c>
      <c r="CR289" s="409">
        <v>300.94877254394305</v>
      </c>
      <c r="CS289" s="409">
        <v>0</v>
      </c>
      <c r="CT289" s="409">
        <v>0</v>
      </c>
      <c r="CU289" s="409">
        <v>0</v>
      </c>
      <c r="CV289" s="409">
        <v>0</v>
      </c>
      <c r="CW289" s="409">
        <v>0</v>
      </c>
      <c r="CX289" s="409">
        <v>0</v>
      </c>
      <c r="CY289" s="409">
        <v>0</v>
      </c>
      <c r="CZ289" s="409">
        <v>176.29485344856221</v>
      </c>
      <c r="DA289" s="409">
        <v>0</v>
      </c>
      <c r="DB289" s="409">
        <v>0</v>
      </c>
      <c r="DC289" s="409">
        <v>154.7472251617919</v>
      </c>
      <c r="DD289" s="409">
        <v>0</v>
      </c>
      <c r="DE289" s="409">
        <v>0</v>
      </c>
      <c r="DF289" s="409">
        <v>0</v>
      </c>
      <c r="DG289" s="409">
        <v>0.94594591925108062</v>
      </c>
      <c r="DH289" s="409">
        <v>0</v>
      </c>
      <c r="DI289" s="409">
        <v>-35.134515986089582</v>
      </c>
      <c r="DJ289" s="409"/>
      <c r="DK289" s="409">
        <v>0</v>
      </c>
      <c r="DL289" s="409">
        <v>0</v>
      </c>
      <c r="DM289" s="409">
        <v>0</v>
      </c>
      <c r="DN289" s="409">
        <v>0</v>
      </c>
      <c r="DO289" s="409">
        <v>-5.1371492238581311</v>
      </c>
      <c r="DP289" s="409">
        <v>-0.60105368520602021</v>
      </c>
      <c r="DQ289" s="409">
        <v>0</v>
      </c>
      <c r="DR289" s="409">
        <v>9.8334669094916194</v>
      </c>
      <c r="DS289" s="409"/>
      <c r="DT289" s="409"/>
      <c r="DU289" s="409"/>
      <c r="DV289" s="409">
        <v>13667.191680959382</v>
      </c>
      <c r="DW289" s="409">
        <v>0</v>
      </c>
      <c r="DX289" s="409">
        <v>0</v>
      </c>
      <c r="DY289" s="409">
        <v>-2008.0269000000008</v>
      </c>
      <c r="DZ289" s="409">
        <v>136.42200000000003</v>
      </c>
      <c r="EA289" s="409">
        <v>0</v>
      </c>
      <c r="EB289" s="409">
        <v>0</v>
      </c>
      <c r="EC289" s="409">
        <v>-2172.44086939927</v>
      </c>
      <c r="ED289" s="409">
        <v>0</v>
      </c>
      <c r="EE289" s="409">
        <v>0</v>
      </c>
      <c r="EF289" s="409">
        <v>0</v>
      </c>
      <c r="EG289" s="409">
        <v>0</v>
      </c>
      <c r="EH289" s="409">
        <v>0</v>
      </c>
      <c r="EI289" s="409">
        <v>0</v>
      </c>
      <c r="EJ289" s="409">
        <v>0</v>
      </c>
      <c r="EK289" s="409">
        <v>0</v>
      </c>
      <c r="EL289" s="409">
        <v>0</v>
      </c>
      <c r="EM289" s="409">
        <v>0</v>
      </c>
      <c r="EN289" s="409">
        <v>0</v>
      </c>
      <c r="EO289" s="409">
        <v>0</v>
      </c>
      <c r="EP289" s="409">
        <v>0</v>
      </c>
      <c r="EQ289" s="409">
        <v>0</v>
      </c>
      <c r="ER289" s="409">
        <v>0</v>
      </c>
      <c r="ES289" s="409">
        <v>0</v>
      </c>
      <c r="ET289" s="409">
        <v>0</v>
      </c>
      <c r="EU289" s="409">
        <v>0</v>
      </c>
      <c r="EV289" s="409">
        <v>210</v>
      </c>
      <c r="EW289" s="409">
        <v>0</v>
      </c>
      <c r="EX289" s="409">
        <v>0</v>
      </c>
      <c r="EY289" s="409">
        <v>0</v>
      </c>
      <c r="EZ289" s="409"/>
      <c r="FA289" s="409">
        <v>0</v>
      </c>
      <c r="FB289" s="409"/>
      <c r="FC289" s="409"/>
      <c r="FD289" s="409"/>
      <c r="FE289" s="409"/>
      <c r="FF289" s="409">
        <v>0</v>
      </c>
      <c r="FG289" s="409">
        <v>0</v>
      </c>
      <c r="FH289" s="409">
        <v>0</v>
      </c>
      <c r="FI289" s="409">
        <v>0</v>
      </c>
    </row>
    <row r="290" spans="1:165">
      <c r="A290" s="409">
        <v>288</v>
      </c>
      <c r="B290" s="409" t="s">
        <v>1035</v>
      </c>
      <c r="C290" s="409" t="s">
        <v>2246</v>
      </c>
      <c r="D290" s="409" t="s">
        <v>595</v>
      </c>
      <c r="E290" s="409" t="s">
        <v>969</v>
      </c>
      <c r="F290" s="409" t="s">
        <v>1323</v>
      </c>
      <c r="G290" s="409" t="s">
        <v>1323</v>
      </c>
      <c r="H290" s="409" t="s">
        <v>1323</v>
      </c>
      <c r="I290" s="409" t="s">
        <v>2234</v>
      </c>
      <c r="J290" s="409" t="s">
        <v>2242</v>
      </c>
      <c r="K290" s="838">
        <v>44593</v>
      </c>
      <c r="L290" s="409">
        <v>0</v>
      </c>
      <c r="M290" s="409">
        <v>0</v>
      </c>
      <c r="N290" s="409">
        <v>93.561999999999998</v>
      </c>
      <c r="O290" s="409">
        <v>93.561999999999998</v>
      </c>
      <c r="P290" s="409">
        <v>93.561999999999998</v>
      </c>
      <c r="Q290" s="409">
        <v>93.561999999999998</v>
      </c>
      <c r="R290" s="409"/>
      <c r="S290" s="409">
        <v>64.400000000000006</v>
      </c>
      <c r="T290" s="409">
        <v>273.74</v>
      </c>
      <c r="U290" s="409"/>
      <c r="V290" s="409">
        <v>31637.054680000001</v>
      </c>
      <c r="W290" s="409">
        <v>31637.054680000001</v>
      </c>
      <c r="X290" s="409">
        <v>32506.24566</v>
      </c>
      <c r="Y290" s="409">
        <v>0</v>
      </c>
      <c r="Z290" s="409">
        <v>4914.4131553227526</v>
      </c>
      <c r="AA290" s="409">
        <v>0</v>
      </c>
      <c r="AB290" s="409">
        <v>0</v>
      </c>
      <c r="AC290" s="409">
        <v>0</v>
      </c>
      <c r="AD290" s="409">
        <v>0</v>
      </c>
      <c r="AE290" s="409">
        <v>0</v>
      </c>
      <c r="AF290" s="409">
        <v>25611.592615092104</v>
      </c>
      <c r="AG290" s="409">
        <v>0</v>
      </c>
      <c r="AH290" s="409">
        <v>0</v>
      </c>
      <c r="AI290" s="409">
        <v>0</v>
      </c>
      <c r="AJ290" s="409">
        <v>0</v>
      </c>
      <c r="AK290" s="409">
        <v>0</v>
      </c>
      <c r="AL290" s="409">
        <v>873.54618269930165</v>
      </c>
      <c r="AM290" s="409"/>
      <c r="AN290" s="409">
        <v>81.220041051078539</v>
      </c>
      <c r="AO290" s="409">
        <v>0</v>
      </c>
      <c r="AP290" s="409">
        <v>0</v>
      </c>
      <c r="AQ290" s="409">
        <v>0</v>
      </c>
      <c r="AR290" s="409">
        <v>0</v>
      </c>
      <c r="AS290" s="409">
        <v>0</v>
      </c>
      <c r="AT290" s="409">
        <v>0</v>
      </c>
      <c r="AU290" s="409">
        <v>0</v>
      </c>
      <c r="AV290" s="409">
        <v>0</v>
      </c>
      <c r="AW290" s="409">
        <v>0</v>
      </c>
      <c r="AX290" s="409">
        <v>0</v>
      </c>
      <c r="AY290" s="409">
        <v>0</v>
      </c>
      <c r="AZ290" s="409">
        <v>0</v>
      </c>
      <c r="BA290" s="409"/>
      <c r="BB290" s="409">
        <v>0</v>
      </c>
      <c r="BC290" s="409">
        <v>0</v>
      </c>
      <c r="BD290" s="409">
        <v>0</v>
      </c>
      <c r="BE290" s="409">
        <v>0</v>
      </c>
      <c r="BF290" s="409">
        <v>0</v>
      </c>
      <c r="BG290" s="409">
        <v>156.55971533211383</v>
      </c>
      <c r="BH290" s="409">
        <v>0</v>
      </c>
      <c r="BI290" s="409">
        <v>0</v>
      </c>
      <c r="BJ290" s="409">
        <v>0</v>
      </c>
      <c r="BK290" s="409">
        <v>0</v>
      </c>
      <c r="BL290" s="409">
        <v>0</v>
      </c>
      <c r="BM290" s="409"/>
      <c r="BN290" s="409"/>
      <c r="BO290" s="409"/>
      <c r="BP290" s="409"/>
      <c r="BQ290" s="409"/>
      <c r="BR290" s="409"/>
      <c r="BS290" s="409"/>
      <c r="BT290" s="409"/>
      <c r="BU290" s="409"/>
      <c r="BV290" s="409">
        <v>25768.152330424218</v>
      </c>
      <c r="BW290" s="409"/>
      <c r="BX290" s="409"/>
      <c r="BY290" s="409"/>
      <c r="BZ290" s="409"/>
      <c r="CA290" s="409"/>
      <c r="CB290" s="409"/>
      <c r="CC290" s="409"/>
      <c r="CD290" s="409"/>
      <c r="CE290" s="409"/>
      <c r="CF290" s="409"/>
      <c r="CG290" s="409"/>
      <c r="CH290" s="409"/>
      <c r="CI290" s="409">
        <v>32505.550800000001</v>
      </c>
      <c r="CJ290" s="409">
        <v>868.46612000000096</v>
      </c>
      <c r="CK290" s="409"/>
      <c r="CL290" s="409"/>
      <c r="CM290" s="409"/>
      <c r="CN290" s="409"/>
      <c r="CO290" s="409">
        <v>-347.11502000000075</v>
      </c>
      <c r="CP290" s="409">
        <v>1216.306</v>
      </c>
      <c r="CQ290" s="409">
        <v>29</v>
      </c>
      <c r="CR290" s="409">
        <v>869.33364795282614</v>
      </c>
      <c r="CS290" s="409">
        <v>0</v>
      </c>
      <c r="CT290" s="409">
        <v>0</v>
      </c>
      <c r="CU290" s="409">
        <v>0</v>
      </c>
      <c r="CV290" s="409">
        <v>0</v>
      </c>
      <c r="CW290" s="409">
        <v>0</v>
      </c>
      <c r="CX290" s="409">
        <v>0</v>
      </c>
      <c r="CY290" s="409">
        <v>0</v>
      </c>
      <c r="CZ290" s="409">
        <v>0</v>
      </c>
      <c r="DA290" s="409">
        <v>0</v>
      </c>
      <c r="DB290" s="409">
        <v>0</v>
      </c>
      <c r="DC290" s="409">
        <v>1379.6893349140046</v>
      </c>
      <c r="DD290" s="409">
        <v>0</v>
      </c>
      <c r="DE290" s="409">
        <v>0</v>
      </c>
      <c r="DF290" s="409">
        <v>0</v>
      </c>
      <c r="DG290" s="409">
        <v>8.4338281014836411</v>
      </c>
      <c r="DH290" s="409">
        <v>0</v>
      </c>
      <c r="DI290" s="409">
        <v>-313.25096099585608</v>
      </c>
      <c r="DJ290" s="409"/>
      <c r="DK290" s="409">
        <v>0</v>
      </c>
      <c r="DL290" s="409">
        <v>0</v>
      </c>
      <c r="DM290" s="409">
        <v>0</v>
      </c>
      <c r="DN290" s="409">
        <v>0</v>
      </c>
      <c r="DO290" s="409">
        <v>-45.801596691691771</v>
      </c>
      <c r="DP290" s="409">
        <v>-5.3588512383500841</v>
      </c>
      <c r="DQ290" s="409">
        <v>0</v>
      </c>
      <c r="DR290" s="409">
        <v>-154.37810613676621</v>
      </c>
      <c r="DS290" s="409"/>
      <c r="DT290" s="409"/>
      <c r="DU290" s="409"/>
      <c r="DV290" s="409">
        <v>0</v>
      </c>
      <c r="DW290" s="409">
        <v>0</v>
      </c>
      <c r="DX290" s="409">
        <v>0</v>
      </c>
      <c r="DY290" s="409">
        <v>-347.1150200000011</v>
      </c>
      <c r="DZ290" s="409">
        <v>1216.3060000000005</v>
      </c>
      <c r="EA290" s="409">
        <v>0</v>
      </c>
      <c r="EB290" s="409">
        <v>0</v>
      </c>
      <c r="EC290" s="409">
        <v>0</v>
      </c>
      <c r="ED290" s="409">
        <v>0</v>
      </c>
      <c r="EE290" s="409">
        <v>0</v>
      </c>
      <c r="EF290" s="409">
        <v>0</v>
      </c>
      <c r="EG290" s="409">
        <v>0</v>
      </c>
      <c r="EH290" s="409">
        <v>0</v>
      </c>
      <c r="EI290" s="409">
        <v>0</v>
      </c>
      <c r="EJ290" s="409">
        <v>0</v>
      </c>
      <c r="EK290" s="409">
        <v>0</v>
      </c>
      <c r="EL290" s="409">
        <v>0</v>
      </c>
      <c r="EM290" s="409">
        <v>0</v>
      </c>
      <c r="EN290" s="409">
        <v>0</v>
      </c>
      <c r="EO290" s="409">
        <v>0</v>
      </c>
      <c r="EP290" s="409">
        <v>0</v>
      </c>
      <c r="EQ290" s="409">
        <v>0</v>
      </c>
      <c r="ER290" s="409">
        <v>0</v>
      </c>
      <c r="ES290" s="409">
        <v>0</v>
      </c>
      <c r="ET290" s="409">
        <v>0</v>
      </c>
      <c r="EU290" s="409">
        <v>0</v>
      </c>
      <c r="EV290" s="409">
        <v>210</v>
      </c>
      <c r="EW290" s="409">
        <v>0</v>
      </c>
      <c r="EX290" s="409">
        <v>0</v>
      </c>
      <c r="EY290" s="409">
        <v>0</v>
      </c>
      <c r="EZ290" s="409"/>
      <c r="FA290" s="409">
        <v>0</v>
      </c>
      <c r="FB290" s="409"/>
      <c r="FC290" s="409"/>
      <c r="FD290" s="409"/>
      <c r="FE290" s="409"/>
      <c r="FF290" s="409">
        <v>0</v>
      </c>
      <c r="FG290" s="409">
        <v>0</v>
      </c>
      <c r="FH290" s="409">
        <v>0</v>
      </c>
      <c r="FI290" s="409">
        <v>0</v>
      </c>
    </row>
    <row r="291" spans="1:165">
      <c r="A291" s="409">
        <v>289</v>
      </c>
      <c r="B291" s="409" t="s">
        <v>1035</v>
      </c>
      <c r="C291" s="409" t="s">
        <v>2246</v>
      </c>
      <c r="D291" s="409" t="s">
        <v>595</v>
      </c>
      <c r="E291" s="409" t="s">
        <v>969</v>
      </c>
      <c r="F291" s="409" t="s">
        <v>1323</v>
      </c>
      <c r="G291" s="409" t="s">
        <v>1323</v>
      </c>
      <c r="H291" s="409" t="s">
        <v>1323</v>
      </c>
      <c r="I291" s="409" t="s">
        <v>1323</v>
      </c>
      <c r="J291" s="409" t="s">
        <v>2242</v>
      </c>
      <c r="K291" s="838">
        <v>44593</v>
      </c>
      <c r="L291" s="409">
        <v>843</v>
      </c>
      <c r="M291" s="409">
        <v>843</v>
      </c>
      <c r="N291" s="409">
        <v>0</v>
      </c>
      <c r="O291" s="409">
        <v>0</v>
      </c>
      <c r="P291" s="409">
        <v>0</v>
      </c>
      <c r="Q291" s="409">
        <v>0</v>
      </c>
      <c r="R291" s="409">
        <v>33.6</v>
      </c>
      <c r="S291" s="409"/>
      <c r="T291" s="409"/>
      <c r="U291" s="409">
        <v>28324.800000000003</v>
      </c>
      <c r="V291" s="409"/>
      <c r="W291" s="409">
        <v>28324.800000000003</v>
      </c>
      <c r="X291" s="409">
        <v>26773.68</v>
      </c>
      <c r="Y291" s="409">
        <v>0</v>
      </c>
      <c r="Z291" s="409">
        <v>0</v>
      </c>
      <c r="AA291" s="409">
        <v>0</v>
      </c>
      <c r="AB291" s="409">
        <v>0</v>
      </c>
      <c r="AC291" s="409">
        <v>0</v>
      </c>
      <c r="AD291" s="409">
        <v>15043.769038745078</v>
      </c>
      <c r="AE291" s="409">
        <v>13281.591460987915</v>
      </c>
      <c r="AF291" s="409"/>
      <c r="AG291" s="409"/>
      <c r="AH291" s="409"/>
      <c r="AI291" s="409">
        <v>0</v>
      </c>
      <c r="AJ291" s="409">
        <v>0</v>
      </c>
      <c r="AK291" s="409">
        <v>0</v>
      </c>
      <c r="AL291" s="409">
        <v>0</v>
      </c>
      <c r="AM291" s="409"/>
      <c r="AN291" s="409">
        <v>0</v>
      </c>
      <c r="AO291" s="409">
        <v>0</v>
      </c>
      <c r="AP291" s="409">
        <v>0</v>
      </c>
      <c r="AQ291" s="409">
        <v>0</v>
      </c>
      <c r="AR291" s="409">
        <v>0</v>
      </c>
      <c r="AS291" s="409"/>
      <c r="AT291" s="409"/>
      <c r="AU291" s="409">
        <v>0</v>
      </c>
      <c r="AV291" s="409">
        <v>0</v>
      </c>
      <c r="AW291" s="409">
        <v>0</v>
      </c>
      <c r="AX291" s="409"/>
      <c r="AY291" s="409"/>
      <c r="AZ291" s="409">
        <v>0</v>
      </c>
      <c r="BA291" s="409"/>
      <c r="BB291" s="409">
        <v>0</v>
      </c>
      <c r="BC291" s="409">
        <v>0</v>
      </c>
      <c r="BD291" s="409">
        <v>0</v>
      </c>
      <c r="BE291" s="409">
        <v>0</v>
      </c>
      <c r="BF291" s="409"/>
      <c r="BG291" s="409">
        <v>0</v>
      </c>
      <c r="BH291" s="409">
        <v>0</v>
      </c>
      <c r="BI291" s="409">
        <v>658.38</v>
      </c>
      <c r="BJ291" s="409">
        <v>3038.74</v>
      </c>
      <c r="BK291" s="409">
        <v>17587.39</v>
      </c>
      <c r="BL291" s="409">
        <v>3</v>
      </c>
      <c r="BM291" s="409"/>
      <c r="BN291" s="409"/>
      <c r="BO291" s="409"/>
      <c r="BP291" s="409"/>
      <c r="BQ291" s="409"/>
      <c r="BR291" s="409"/>
      <c r="BS291" s="409"/>
      <c r="BT291" s="409"/>
      <c r="BU291" s="409"/>
      <c r="BV291" s="409">
        <v>0</v>
      </c>
      <c r="BW291" s="409"/>
      <c r="BX291" s="409"/>
      <c r="BY291" s="409"/>
      <c r="BZ291" s="409"/>
      <c r="CA291" s="409"/>
      <c r="CB291" s="409"/>
      <c r="CC291" s="409"/>
      <c r="CD291" s="409"/>
      <c r="CE291" s="409"/>
      <c r="CF291" s="409"/>
      <c r="CG291" s="409"/>
      <c r="CH291" s="409"/>
      <c r="CI291" s="409">
        <v>26773.68</v>
      </c>
      <c r="CJ291" s="409">
        <v>-1551.1499999999978</v>
      </c>
      <c r="CK291" s="409"/>
      <c r="CL291" s="409"/>
      <c r="CM291" s="409"/>
      <c r="CN291" s="409"/>
      <c r="CO291" s="409">
        <v>-1551.12</v>
      </c>
      <c r="CP291" s="409">
        <v>0</v>
      </c>
      <c r="CQ291" s="409">
        <v>29</v>
      </c>
      <c r="CR291" s="409">
        <v>556.55876744722991</v>
      </c>
      <c r="CS291" s="409">
        <v>0</v>
      </c>
      <c r="CT291" s="409">
        <v>0</v>
      </c>
      <c r="CU291" s="409">
        <v>0</v>
      </c>
      <c r="CV291" s="409">
        <v>0</v>
      </c>
      <c r="CW291" s="409"/>
      <c r="CX291" s="409"/>
      <c r="CY291" s="409"/>
      <c r="CZ291" s="409">
        <v>515.67696602117758</v>
      </c>
      <c r="DA291" s="409">
        <v>0</v>
      </c>
      <c r="DB291" s="409">
        <v>0</v>
      </c>
      <c r="DC291" s="409"/>
      <c r="DD291" s="409"/>
      <c r="DE291" s="409">
        <v>0</v>
      </c>
      <c r="DF291" s="409">
        <v>0</v>
      </c>
      <c r="DG291" s="409">
        <v>0</v>
      </c>
      <c r="DH291" s="409">
        <v>0</v>
      </c>
      <c r="DI291" s="409">
        <v>0</v>
      </c>
      <c r="DJ291" s="409"/>
      <c r="DK291" s="409">
        <v>0</v>
      </c>
      <c r="DL291" s="409">
        <v>0</v>
      </c>
      <c r="DM291" s="409"/>
      <c r="DN291" s="409">
        <v>0</v>
      </c>
      <c r="DO291" s="409">
        <v>0</v>
      </c>
      <c r="DP291" s="409">
        <v>0</v>
      </c>
      <c r="DQ291" s="409">
        <v>0</v>
      </c>
      <c r="DR291" s="409">
        <v>40.881801426052682</v>
      </c>
      <c r="DS291" s="409"/>
      <c r="DT291" s="409"/>
      <c r="DU291" s="409">
        <v>13281.591460987915</v>
      </c>
      <c r="DV291" s="409"/>
      <c r="DW291" s="409">
        <v>0</v>
      </c>
      <c r="DX291" s="409">
        <v>0</v>
      </c>
      <c r="DY291" s="409">
        <v>-1551.1200000000026</v>
      </c>
      <c r="DZ291" s="409"/>
      <c r="EA291" s="409">
        <v>0</v>
      </c>
      <c r="EB291" s="409"/>
      <c r="EC291" s="409">
        <v>-2111.1485646837755</v>
      </c>
      <c r="ED291" s="409"/>
      <c r="EE291" s="409">
        <v>0</v>
      </c>
      <c r="EF291" s="409">
        <v>0</v>
      </c>
      <c r="EG291" s="409"/>
      <c r="EH291" s="409">
        <v>0</v>
      </c>
      <c r="EI291" s="409">
        <v>0</v>
      </c>
      <c r="EJ291" s="409">
        <v>0</v>
      </c>
      <c r="EK291" s="409">
        <v>0</v>
      </c>
      <c r="EL291" s="409">
        <v>0</v>
      </c>
      <c r="EM291" s="409"/>
      <c r="EN291" s="409"/>
      <c r="EO291" s="409">
        <v>0</v>
      </c>
      <c r="EP291" s="409">
        <v>0</v>
      </c>
      <c r="EQ291" s="409"/>
      <c r="ER291" s="409">
        <v>0</v>
      </c>
      <c r="ES291" s="409"/>
      <c r="ET291" s="409">
        <v>0</v>
      </c>
      <c r="EU291" s="409"/>
      <c r="EV291" s="409">
        <v>210</v>
      </c>
      <c r="EW291" s="409"/>
      <c r="EX291" s="409"/>
      <c r="EY291" s="409"/>
      <c r="EZ291" s="409"/>
      <c r="FA291" s="409">
        <v>0</v>
      </c>
      <c r="FB291" s="409"/>
      <c r="FC291" s="409"/>
      <c r="FD291" s="409"/>
      <c r="FE291" s="409"/>
      <c r="FF291" s="409">
        <v>0</v>
      </c>
      <c r="FG291" s="409">
        <v>0</v>
      </c>
      <c r="FH291" s="409">
        <v>0</v>
      </c>
      <c r="FI291" s="409">
        <v>0</v>
      </c>
    </row>
    <row r="292" spans="1:165">
      <c r="A292" s="409">
        <v>290</v>
      </c>
      <c r="B292" s="409" t="s">
        <v>1035</v>
      </c>
      <c r="C292" s="409" t="s">
        <v>2241</v>
      </c>
      <c r="D292" s="409" t="s">
        <v>1992</v>
      </c>
      <c r="E292" s="409" t="s">
        <v>997</v>
      </c>
      <c r="F292" s="409" t="s">
        <v>1323</v>
      </c>
      <c r="G292" s="409" t="s">
        <v>1323</v>
      </c>
      <c r="H292" s="409" t="s">
        <v>1323</v>
      </c>
      <c r="I292" s="409" t="s">
        <v>1323</v>
      </c>
      <c r="J292" s="409" t="s">
        <v>2242</v>
      </c>
      <c r="K292" s="838">
        <v>44593</v>
      </c>
      <c r="L292" s="409">
        <v>0</v>
      </c>
      <c r="M292" s="409">
        <v>0</v>
      </c>
      <c r="N292" s="409">
        <v>66.584999999999994</v>
      </c>
      <c r="O292" s="409">
        <v>66.584999999999994</v>
      </c>
      <c r="P292" s="409">
        <v>66.584999999999994</v>
      </c>
      <c r="Q292" s="409">
        <v>66.584999999999994</v>
      </c>
      <c r="R292" s="409"/>
      <c r="S292" s="409">
        <v>358.62</v>
      </c>
      <c r="T292" s="409">
        <v>273.74</v>
      </c>
      <c r="U292" s="409"/>
      <c r="V292" s="409">
        <v>42105.690599999994</v>
      </c>
      <c r="W292" s="409">
        <v>42105.690599999994</v>
      </c>
      <c r="X292" s="409">
        <v>40825.926899999991</v>
      </c>
      <c r="Y292" s="409">
        <v>0</v>
      </c>
      <c r="Z292" s="409">
        <v>4020.0302356168963</v>
      </c>
      <c r="AA292" s="409">
        <v>0</v>
      </c>
      <c r="AB292" s="409">
        <v>0</v>
      </c>
      <c r="AC292" s="409">
        <v>0</v>
      </c>
      <c r="AD292" s="409">
        <v>5732.2039509608076</v>
      </c>
      <c r="AE292" s="409">
        <v>13189.1030022263</v>
      </c>
      <c r="AF292" s="409">
        <v>18226.928606441801</v>
      </c>
      <c r="AG292" s="409">
        <v>0</v>
      </c>
      <c r="AH292" s="409">
        <v>0</v>
      </c>
      <c r="AI292" s="409">
        <v>0</v>
      </c>
      <c r="AJ292" s="409">
        <v>0</v>
      </c>
      <c r="AK292" s="409">
        <v>0</v>
      </c>
      <c r="AL292" s="409">
        <v>621.67410460478618</v>
      </c>
      <c r="AM292" s="409"/>
      <c r="AN292" s="409">
        <v>70.9191089487352</v>
      </c>
      <c r="AO292" s="409">
        <v>0</v>
      </c>
      <c r="AP292" s="409">
        <v>0</v>
      </c>
      <c r="AQ292" s="409">
        <v>0</v>
      </c>
      <c r="AR292" s="409">
        <v>0</v>
      </c>
      <c r="AS292" s="409">
        <v>0</v>
      </c>
      <c r="AT292" s="409">
        <v>0</v>
      </c>
      <c r="AU292" s="409">
        <v>0</v>
      </c>
      <c r="AV292" s="409">
        <v>0</v>
      </c>
      <c r="AW292" s="409">
        <v>0</v>
      </c>
      <c r="AX292" s="409">
        <v>0</v>
      </c>
      <c r="AY292" s="409">
        <v>0</v>
      </c>
      <c r="AZ292" s="409">
        <v>0</v>
      </c>
      <c r="BA292" s="409"/>
      <c r="BB292" s="409">
        <v>0</v>
      </c>
      <c r="BC292" s="409">
        <v>0</v>
      </c>
      <c r="BD292" s="409">
        <v>0</v>
      </c>
      <c r="BE292" s="409">
        <v>0</v>
      </c>
      <c r="BF292" s="409">
        <v>0</v>
      </c>
      <c r="BG292" s="409">
        <v>244.92801106481002</v>
      </c>
      <c r="BH292" s="409">
        <v>0</v>
      </c>
      <c r="BI292" s="409">
        <v>335.24</v>
      </c>
      <c r="BJ292" s="409">
        <v>1548.37</v>
      </c>
      <c r="BK292" s="409">
        <v>11450.23</v>
      </c>
      <c r="BL292" s="409">
        <v>71</v>
      </c>
      <c r="BM292" s="409"/>
      <c r="BN292" s="409"/>
      <c r="BO292" s="409"/>
      <c r="BP292" s="409"/>
      <c r="BQ292" s="409"/>
      <c r="BR292" s="409"/>
      <c r="BS292" s="409"/>
      <c r="BT292" s="409"/>
      <c r="BU292" s="409"/>
      <c r="BV292" s="409">
        <v>18471.856617506612</v>
      </c>
      <c r="BW292" s="409"/>
      <c r="BX292" s="409"/>
      <c r="BY292" s="409"/>
      <c r="BZ292" s="409"/>
      <c r="CA292" s="409"/>
      <c r="CB292" s="409"/>
      <c r="CC292" s="409"/>
      <c r="CD292" s="409"/>
      <c r="CE292" s="409"/>
      <c r="CF292" s="409"/>
      <c r="CG292" s="409"/>
      <c r="CH292" s="409"/>
      <c r="CI292" s="409">
        <v>40828.992599999998</v>
      </c>
      <c r="CJ292" s="409">
        <v>-1276.7279999999955</v>
      </c>
      <c r="CK292" s="409"/>
      <c r="CL292" s="409"/>
      <c r="CM292" s="409"/>
      <c r="CN292" s="409"/>
      <c r="CO292" s="409">
        <v>-2145.3687000000018</v>
      </c>
      <c r="CP292" s="409">
        <v>865.6049999999999</v>
      </c>
      <c r="CQ292" s="409">
        <v>29</v>
      </c>
      <c r="CR292" s="409">
        <v>816.45729533878693</v>
      </c>
      <c r="CS292" s="409">
        <v>0</v>
      </c>
      <c r="CT292" s="409">
        <v>0</v>
      </c>
      <c r="CU292" s="409">
        <v>0</v>
      </c>
      <c r="CV292" s="409">
        <v>0</v>
      </c>
      <c r="CW292" s="409">
        <v>0</v>
      </c>
      <c r="CX292" s="409">
        <v>0</v>
      </c>
      <c r="CY292" s="409">
        <v>0</v>
      </c>
      <c r="CZ292" s="409">
        <v>196.4910212615905</v>
      </c>
      <c r="DA292" s="409">
        <v>0</v>
      </c>
      <c r="DB292" s="409">
        <v>0</v>
      </c>
      <c r="DC292" s="409">
        <v>981.87954901828562</v>
      </c>
      <c r="DD292" s="409">
        <v>0</v>
      </c>
      <c r="DE292" s="409">
        <v>0</v>
      </c>
      <c r="DF292" s="409">
        <v>0</v>
      </c>
      <c r="DG292" s="409">
        <v>13.194203490832564</v>
      </c>
      <c r="DH292" s="409">
        <v>0</v>
      </c>
      <c r="DI292" s="409">
        <v>-256.24185324660402</v>
      </c>
      <c r="DJ292" s="409"/>
      <c r="DK292" s="409">
        <v>0</v>
      </c>
      <c r="DL292" s="409">
        <v>0</v>
      </c>
      <c r="DM292" s="409">
        <v>0</v>
      </c>
      <c r="DN292" s="409">
        <v>0</v>
      </c>
      <c r="DO292" s="409">
        <v>-32.595490858642393</v>
      </c>
      <c r="DP292" s="409">
        <v>-4.679201708031826</v>
      </c>
      <c r="DQ292" s="409">
        <v>0</v>
      </c>
      <c r="DR292" s="409">
        <v>-81.59093261864146</v>
      </c>
      <c r="DS292" s="409"/>
      <c r="DT292" s="409"/>
      <c r="DU292" s="409"/>
      <c r="DV292" s="409">
        <v>13189.1030022263</v>
      </c>
      <c r="DW292" s="409">
        <v>0</v>
      </c>
      <c r="DX292" s="409">
        <v>0</v>
      </c>
      <c r="DY292" s="409">
        <v>-2145.3686999999991</v>
      </c>
      <c r="DZ292" s="409">
        <v>865.60499999999956</v>
      </c>
      <c r="EA292" s="409">
        <v>0</v>
      </c>
      <c r="EB292" s="409">
        <v>0</v>
      </c>
      <c r="EC292" s="409">
        <v>-2096.4472483891514</v>
      </c>
      <c r="ED292" s="409">
        <v>0</v>
      </c>
      <c r="EE292" s="409">
        <v>0</v>
      </c>
      <c r="EF292" s="409">
        <v>0</v>
      </c>
      <c r="EG292" s="409">
        <v>0</v>
      </c>
      <c r="EH292" s="409">
        <v>0</v>
      </c>
      <c r="EI292" s="409">
        <v>0</v>
      </c>
      <c r="EJ292" s="409">
        <v>0</v>
      </c>
      <c r="EK292" s="409">
        <v>0</v>
      </c>
      <c r="EL292" s="409">
        <v>0</v>
      </c>
      <c r="EM292" s="409">
        <v>0</v>
      </c>
      <c r="EN292" s="409">
        <v>0</v>
      </c>
      <c r="EO292" s="409">
        <v>0</v>
      </c>
      <c r="EP292" s="409">
        <v>0</v>
      </c>
      <c r="EQ292" s="409">
        <v>0</v>
      </c>
      <c r="ER292" s="409">
        <v>0</v>
      </c>
      <c r="ES292" s="409">
        <v>0</v>
      </c>
      <c r="ET292" s="409">
        <v>0</v>
      </c>
      <c r="EU292" s="409">
        <v>0</v>
      </c>
      <c r="EV292" s="409">
        <v>210</v>
      </c>
      <c r="EW292" s="409">
        <v>0</v>
      </c>
      <c r="EX292" s="409">
        <v>0</v>
      </c>
      <c r="EY292" s="409">
        <v>0</v>
      </c>
      <c r="EZ292" s="409"/>
      <c r="FA292" s="409">
        <v>0</v>
      </c>
      <c r="FB292" s="409"/>
      <c r="FC292" s="409"/>
      <c r="FD292" s="409"/>
      <c r="FE292" s="409"/>
      <c r="FF292" s="409">
        <v>0</v>
      </c>
      <c r="FG292" s="409">
        <v>0</v>
      </c>
      <c r="FH292" s="409">
        <v>0</v>
      </c>
      <c r="FI292" s="409">
        <v>0</v>
      </c>
    </row>
    <row r="293" spans="1:165">
      <c r="A293" s="409">
        <v>291</v>
      </c>
      <c r="B293" s="409" t="s">
        <v>2240</v>
      </c>
      <c r="C293" s="409" t="s">
        <v>2241</v>
      </c>
      <c r="D293" s="409" t="s">
        <v>1992</v>
      </c>
      <c r="E293" s="409" t="s">
        <v>997</v>
      </c>
      <c r="F293" s="409" t="s">
        <v>1323</v>
      </c>
      <c r="G293" s="409" t="s">
        <v>1323</v>
      </c>
      <c r="H293" s="409" t="s">
        <v>1323</v>
      </c>
      <c r="I293" s="409" t="s">
        <v>1323</v>
      </c>
      <c r="J293" s="409" t="s">
        <v>2242</v>
      </c>
      <c r="K293" s="838">
        <v>44593</v>
      </c>
      <c r="L293" s="409">
        <v>0</v>
      </c>
      <c r="M293" s="409">
        <v>0</v>
      </c>
      <c r="N293" s="409">
        <v>0.61299999999999999</v>
      </c>
      <c r="O293" s="409">
        <v>0.61299999999999999</v>
      </c>
      <c r="P293" s="409">
        <v>0.61299999999999999</v>
      </c>
      <c r="Q293" s="409">
        <v>0.61299999999999999</v>
      </c>
      <c r="R293" s="409"/>
      <c r="S293" s="409">
        <v>358.62</v>
      </c>
      <c r="T293" s="409">
        <v>273.74</v>
      </c>
      <c r="U293" s="409"/>
      <c r="V293" s="409">
        <v>387.63667999999996</v>
      </c>
      <c r="W293" s="409">
        <v>387.63667999999996</v>
      </c>
      <c r="X293" s="409">
        <v>375.85482000000002</v>
      </c>
      <c r="Y293" s="409">
        <v>0</v>
      </c>
      <c r="Z293" s="409">
        <v>37.009514671970528</v>
      </c>
      <c r="AA293" s="409">
        <v>0</v>
      </c>
      <c r="AB293" s="409">
        <v>0</v>
      </c>
      <c r="AC293" s="409">
        <v>0</v>
      </c>
      <c r="AD293" s="409">
        <v>52.772261349237446</v>
      </c>
      <c r="AE293" s="409">
        <v>121.42254472275621</v>
      </c>
      <c r="AF293" s="409">
        <v>167.8021661898149</v>
      </c>
      <c r="AG293" s="409">
        <v>0</v>
      </c>
      <c r="AH293" s="409">
        <v>0</v>
      </c>
      <c r="AI293" s="409">
        <v>0</v>
      </c>
      <c r="AJ293" s="409">
        <v>0</v>
      </c>
      <c r="AK293" s="409">
        <v>0</v>
      </c>
      <c r="AL293" s="409">
        <v>5.7233044397797395</v>
      </c>
      <c r="AM293" s="409"/>
      <c r="AN293" s="409">
        <v>0.65290101052150906</v>
      </c>
      <c r="AO293" s="409">
        <v>0</v>
      </c>
      <c r="AP293" s="409">
        <v>0</v>
      </c>
      <c r="AQ293" s="409">
        <v>0</v>
      </c>
      <c r="AR293" s="409">
        <v>0</v>
      </c>
      <c r="AS293" s="409">
        <v>0</v>
      </c>
      <c r="AT293" s="409">
        <v>0</v>
      </c>
      <c r="AU293" s="409">
        <v>0</v>
      </c>
      <c r="AV293" s="409">
        <v>0</v>
      </c>
      <c r="AW293" s="409">
        <v>0</v>
      </c>
      <c r="AX293" s="409">
        <v>0</v>
      </c>
      <c r="AY293" s="409">
        <v>0</v>
      </c>
      <c r="AZ293" s="409">
        <v>0</v>
      </c>
      <c r="BA293" s="409"/>
      <c r="BB293" s="409">
        <v>0</v>
      </c>
      <c r="BC293" s="409">
        <v>0</v>
      </c>
      <c r="BD293" s="409">
        <v>0</v>
      </c>
      <c r="BE293" s="409">
        <v>0</v>
      </c>
      <c r="BF293" s="409">
        <v>0</v>
      </c>
      <c r="BG293" s="409">
        <v>2.2548752839637838</v>
      </c>
      <c r="BH293" s="409">
        <v>0</v>
      </c>
      <c r="BI293" s="409">
        <v>3.84</v>
      </c>
      <c r="BJ293" s="409">
        <v>17.72</v>
      </c>
      <c r="BK293" s="409">
        <v>241.32</v>
      </c>
      <c r="BL293" s="409">
        <v>1</v>
      </c>
      <c r="BM293" s="409"/>
      <c r="BN293" s="409"/>
      <c r="BO293" s="409"/>
      <c r="BP293" s="409"/>
      <c r="BQ293" s="409"/>
      <c r="BR293" s="409"/>
      <c r="BS293" s="409"/>
      <c r="BT293" s="409"/>
      <c r="BU293" s="409"/>
      <c r="BV293" s="409">
        <v>170.05704147377867</v>
      </c>
      <c r="BW293" s="409"/>
      <c r="BX293" s="409"/>
      <c r="BY293" s="409"/>
      <c r="BZ293" s="409"/>
      <c r="CA293" s="409"/>
      <c r="CB293" s="409"/>
      <c r="CC293" s="409"/>
      <c r="CD293" s="409"/>
      <c r="CE293" s="409"/>
      <c r="CF293" s="409"/>
      <c r="CG293" s="409"/>
      <c r="CH293" s="409"/>
      <c r="CI293" s="409">
        <v>374.0154</v>
      </c>
      <c r="CJ293" s="409">
        <v>-13.651279999999929</v>
      </c>
      <c r="CK293" s="409"/>
      <c r="CL293" s="409"/>
      <c r="CM293" s="409"/>
      <c r="CN293" s="409"/>
      <c r="CO293" s="409">
        <v>-19.750860000000017</v>
      </c>
      <c r="CP293" s="409">
        <v>7.9689999999999994</v>
      </c>
      <c r="CQ293" s="409">
        <v>29</v>
      </c>
      <c r="CR293" s="409">
        <v>7.5165325830544703</v>
      </c>
      <c r="CS293" s="409">
        <v>0</v>
      </c>
      <c r="CT293" s="409">
        <v>0</v>
      </c>
      <c r="CU293" s="409">
        <v>0</v>
      </c>
      <c r="CV293" s="409">
        <v>0</v>
      </c>
      <c r="CW293" s="409">
        <v>0</v>
      </c>
      <c r="CX293" s="409">
        <v>0</v>
      </c>
      <c r="CY293" s="409">
        <v>0</v>
      </c>
      <c r="CZ293" s="409">
        <v>1.8089509053593886</v>
      </c>
      <c r="DA293" s="409">
        <v>0</v>
      </c>
      <c r="DB293" s="409">
        <v>0</v>
      </c>
      <c r="DC293" s="409">
        <v>9.0394557865616889</v>
      </c>
      <c r="DD293" s="409">
        <v>0</v>
      </c>
      <c r="DE293" s="409">
        <v>0</v>
      </c>
      <c r="DF293" s="409">
        <v>0</v>
      </c>
      <c r="DG293" s="409">
        <v>0.12146950123722133</v>
      </c>
      <c r="DH293" s="409">
        <v>0</v>
      </c>
      <c r="DI293" s="409">
        <v>-2.3590336568321391</v>
      </c>
      <c r="DJ293" s="409"/>
      <c r="DK293" s="409">
        <v>0</v>
      </c>
      <c r="DL293" s="409">
        <v>0</v>
      </c>
      <c r="DM293" s="409">
        <v>0</v>
      </c>
      <c r="DN293" s="409">
        <v>0</v>
      </c>
      <c r="DO293" s="409">
        <v>-0.30008314029207472</v>
      </c>
      <c r="DP293" s="409">
        <v>-4.3078030292460934E-2</v>
      </c>
      <c r="DQ293" s="409">
        <v>0</v>
      </c>
      <c r="DR293" s="409">
        <v>-0.7511487826872002</v>
      </c>
      <c r="DS293" s="409"/>
      <c r="DT293" s="409"/>
      <c r="DU293" s="409"/>
      <c r="DV293" s="409">
        <v>121.42254472275621</v>
      </c>
      <c r="DW293" s="409">
        <v>0</v>
      </c>
      <c r="DX293" s="409">
        <v>0</v>
      </c>
      <c r="DY293" s="409">
        <v>-19.750860000000017</v>
      </c>
      <c r="DZ293" s="409">
        <v>7.9690000000000225</v>
      </c>
      <c r="EA293" s="409">
        <v>0</v>
      </c>
      <c r="EB293" s="409">
        <v>0</v>
      </c>
      <c r="EC293" s="409">
        <v>-19.300475531464286</v>
      </c>
      <c r="ED293" s="409">
        <v>0</v>
      </c>
      <c r="EE293" s="409">
        <v>0</v>
      </c>
      <c r="EF293" s="409">
        <v>0</v>
      </c>
      <c r="EG293" s="409">
        <v>0</v>
      </c>
      <c r="EH293" s="409">
        <v>0</v>
      </c>
      <c r="EI293" s="409">
        <v>0</v>
      </c>
      <c r="EJ293" s="409">
        <v>0</v>
      </c>
      <c r="EK293" s="409">
        <v>0</v>
      </c>
      <c r="EL293" s="409">
        <v>0</v>
      </c>
      <c r="EM293" s="409">
        <v>0</v>
      </c>
      <c r="EN293" s="409">
        <v>0</v>
      </c>
      <c r="EO293" s="409">
        <v>0</v>
      </c>
      <c r="EP293" s="409">
        <v>0</v>
      </c>
      <c r="EQ293" s="409">
        <v>0</v>
      </c>
      <c r="ER293" s="409">
        <v>0</v>
      </c>
      <c r="ES293" s="409">
        <v>0</v>
      </c>
      <c r="ET293" s="409">
        <v>0</v>
      </c>
      <c r="EU293" s="409">
        <v>0</v>
      </c>
      <c r="EV293" s="409">
        <v>210</v>
      </c>
      <c r="EW293" s="409">
        <v>0</v>
      </c>
      <c r="EX293" s="409">
        <v>0</v>
      </c>
      <c r="EY293" s="409">
        <v>0</v>
      </c>
      <c r="EZ293" s="409"/>
      <c r="FA293" s="409">
        <v>0</v>
      </c>
      <c r="FB293" s="409"/>
      <c r="FC293" s="409"/>
      <c r="FD293" s="409"/>
      <c r="FE293" s="409"/>
      <c r="FF293" s="409">
        <v>0</v>
      </c>
      <c r="FG293" s="409">
        <v>0</v>
      </c>
      <c r="FH293" s="409">
        <v>0</v>
      </c>
      <c r="FI293" s="409">
        <v>0</v>
      </c>
    </row>
    <row r="294" spans="1:165">
      <c r="A294" s="409">
        <v>292</v>
      </c>
      <c r="B294" s="409" t="s">
        <v>1035</v>
      </c>
      <c r="C294" s="409" t="s">
        <v>2246</v>
      </c>
      <c r="D294" s="409" t="s">
        <v>595</v>
      </c>
      <c r="E294" s="409" t="s">
        <v>997</v>
      </c>
      <c r="F294" s="409" t="s">
        <v>1323</v>
      </c>
      <c r="G294" s="409" t="s">
        <v>1323</v>
      </c>
      <c r="H294" s="409" t="s">
        <v>1323</v>
      </c>
      <c r="I294" s="409" t="s">
        <v>972</v>
      </c>
      <c r="J294" s="409" t="s">
        <v>2242</v>
      </c>
      <c r="K294" s="838">
        <v>44593</v>
      </c>
      <c r="L294" s="409">
        <v>0</v>
      </c>
      <c r="M294" s="409">
        <v>0</v>
      </c>
      <c r="N294" s="409">
        <v>0.26100000000000001</v>
      </c>
      <c r="O294" s="409">
        <v>0.26100000000000001</v>
      </c>
      <c r="P294" s="409">
        <v>0.26100000000000001</v>
      </c>
      <c r="Q294" s="409">
        <v>0.26100000000000001</v>
      </c>
      <c r="R294" s="409"/>
      <c r="S294" s="409">
        <v>1856.88</v>
      </c>
      <c r="T294" s="409">
        <v>273.74</v>
      </c>
      <c r="U294" s="409"/>
      <c r="V294" s="409">
        <v>556.09181999999998</v>
      </c>
      <c r="W294" s="409">
        <v>556.09181999999998</v>
      </c>
      <c r="X294" s="409">
        <v>509.54246999999998</v>
      </c>
      <c r="Y294" s="409">
        <v>0</v>
      </c>
      <c r="Z294" s="409">
        <v>13.709217775798278</v>
      </c>
      <c r="AA294" s="409">
        <v>0</v>
      </c>
      <c r="AB294" s="409">
        <v>0</v>
      </c>
      <c r="AC294" s="409">
        <v>0</v>
      </c>
      <c r="AD294" s="409">
        <v>127.91397818101531</v>
      </c>
      <c r="AE294" s="409">
        <v>339.92157697068791</v>
      </c>
      <c r="AF294" s="409">
        <v>71.445946779023956</v>
      </c>
      <c r="AG294" s="409">
        <v>0</v>
      </c>
      <c r="AH294" s="409">
        <v>0</v>
      </c>
      <c r="AI294" s="409">
        <v>0</v>
      </c>
      <c r="AJ294" s="409">
        <v>0</v>
      </c>
      <c r="AK294" s="409">
        <v>0</v>
      </c>
      <c r="AL294" s="409">
        <v>2.4368392476060556</v>
      </c>
      <c r="AM294" s="409"/>
      <c r="AN294" s="409">
        <v>0.22657094455368096</v>
      </c>
      <c r="AO294" s="409">
        <v>0</v>
      </c>
      <c r="AP294" s="409">
        <v>0</v>
      </c>
      <c r="AQ294" s="409">
        <v>0</v>
      </c>
      <c r="AR294" s="409">
        <v>0</v>
      </c>
      <c r="AS294" s="409">
        <v>0</v>
      </c>
      <c r="AT294" s="409">
        <v>0</v>
      </c>
      <c r="AU294" s="409">
        <v>0</v>
      </c>
      <c r="AV294" s="409">
        <v>0</v>
      </c>
      <c r="AW294" s="409">
        <v>0</v>
      </c>
      <c r="AX294" s="409">
        <v>0</v>
      </c>
      <c r="AY294" s="409">
        <v>0</v>
      </c>
      <c r="AZ294" s="409">
        <v>0</v>
      </c>
      <c r="BA294" s="409"/>
      <c r="BB294" s="409">
        <v>0</v>
      </c>
      <c r="BC294" s="409">
        <v>0</v>
      </c>
      <c r="BD294" s="409">
        <v>0</v>
      </c>
      <c r="BE294" s="409">
        <v>0</v>
      </c>
      <c r="BF294" s="409">
        <v>0</v>
      </c>
      <c r="BG294" s="409">
        <v>0.43673805285994005</v>
      </c>
      <c r="BH294" s="409">
        <v>0</v>
      </c>
      <c r="BI294" s="409">
        <v>0</v>
      </c>
      <c r="BJ294" s="409">
        <v>0</v>
      </c>
      <c r="BK294" s="409">
        <v>0</v>
      </c>
      <c r="BL294" s="409">
        <v>0</v>
      </c>
      <c r="BM294" s="409"/>
      <c r="BN294" s="409"/>
      <c r="BO294" s="409"/>
      <c r="BP294" s="409"/>
      <c r="BQ294" s="409"/>
      <c r="BR294" s="409"/>
      <c r="BS294" s="409"/>
      <c r="BT294" s="409"/>
      <c r="BU294" s="409"/>
      <c r="BV294" s="409">
        <v>71.882684831883893</v>
      </c>
      <c r="BW294" s="409"/>
      <c r="BX294" s="409"/>
      <c r="BY294" s="409"/>
      <c r="BZ294" s="409"/>
      <c r="CA294" s="409"/>
      <c r="CB294" s="409"/>
      <c r="CC294" s="409"/>
      <c r="CD294" s="409"/>
      <c r="CE294" s="409"/>
      <c r="CF294" s="409"/>
      <c r="CG294" s="409"/>
      <c r="CH294" s="409"/>
      <c r="CI294" s="409">
        <v>507.59019999999998</v>
      </c>
      <c r="CJ294" s="409">
        <v>-48.531619999999975</v>
      </c>
      <c r="CK294" s="409"/>
      <c r="CL294" s="409"/>
      <c r="CM294" s="409"/>
      <c r="CN294" s="409"/>
      <c r="CO294" s="409">
        <v>-49.94235000000004</v>
      </c>
      <c r="CP294" s="409">
        <v>3.3930000000000002</v>
      </c>
      <c r="CQ294" s="409">
        <v>29</v>
      </c>
      <c r="CR294" s="409">
        <v>7.4850037768219408</v>
      </c>
      <c r="CS294" s="409">
        <v>0</v>
      </c>
      <c r="CT294" s="409">
        <v>0</v>
      </c>
      <c r="CU294" s="409">
        <v>0</v>
      </c>
      <c r="CV294" s="409">
        <v>0</v>
      </c>
      <c r="CW294" s="409">
        <v>0</v>
      </c>
      <c r="CX294" s="409">
        <v>0</v>
      </c>
      <c r="CY294" s="409">
        <v>0</v>
      </c>
      <c r="CZ294" s="409">
        <v>4.3846918953759229</v>
      </c>
      <c r="DA294" s="409">
        <v>0</v>
      </c>
      <c r="DB294" s="409">
        <v>0</v>
      </c>
      <c r="DC294" s="409">
        <v>3.8487731815540087</v>
      </c>
      <c r="DD294" s="409">
        <v>0</v>
      </c>
      <c r="DE294" s="409">
        <v>0</v>
      </c>
      <c r="DF294" s="409">
        <v>0</v>
      </c>
      <c r="DG294" s="409">
        <v>2.3526956825284051E-2</v>
      </c>
      <c r="DH294" s="409">
        <v>0</v>
      </c>
      <c r="DI294" s="409">
        <v>-0.87384302195248509</v>
      </c>
      <c r="DJ294" s="409"/>
      <c r="DK294" s="409">
        <v>0</v>
      </c>
      <c r="DL294" s="409">
        <v>0</v>
      </c>
      <c r="DM294" s="409">
        <v>0</v>
      </c>
      <c r="DN294" s="409">
        <v>0</v>
      </c>
      <c r="DO294" s="409">
        <v>-0.12776786234295523</v>
      </c>
      <c r="DP294" s="409">
        <v>-1.4949019614901027E-2</v>
      </c>
      <c r="DQ294" s="409">
        <v>0</v>
      </c>
      <c r="DR294" s="409">
        <v>0.24457164697706441</v>
      </c>
      <c r="DS294" s="409"/>
      <c r="DT294" s="409"/>
      <c r="DU294" s="409"/>
      <c r="DV294" s="409">
        <v>339.92157697068791</v>
      </c>
      <c r="DW294" s="409">
        <v>0</v>
      </c>
      <c r="DX294" s="409">
        <v>0</v>
      </c>
      <c r="DY294" s="409">
        <v>-49.942350000000033</v>
      </c>
      <c r="DZ294" s="409">
        <v>3.3930000000000007</v>
      </c>
      <c r="EA294" s="409">
        <v>0</v>
      </c>
      <c r="EB294" s="409">
        <v>0</v>
      </c>
      <c r="EC294" s="409">
        <v>-54.031548209758853</v>
      </c>
      <c r="ED294" s="409">
        <v>0</v>
      </c>
      <c r="EE294" s="409">
        <v>0</v>
      </c>
      <c r="EF294" s="409">
        <v>0</v>
      </c>
      <c r="EG294" s="409">
        <v>0</v>
      </c>
      <c r="EH294" s="409">
        <v>0</v>
      </c>
      <c r="EI294" s="409">
        <v>0</v>
      </c>
      <c r="EJ294" s="409">
        <v>0</v>
      </c>
      <c r="EK294" s="409">
        <v>0</v>
      </c>
      <c r="EL294" s="409">
        <v>0</v>
      </c>
      <c r="EM294" s="409">
        <v>0</v>
      </c>
      <c r="EN294" s="409">
        <v>0</v>
      </c>
      <c r="EO294" s="409">
        <v>0</v>
      </c>
      <c r="EP294" s="409">
        <v>0</v>
      </c>
      <c r="EQ294" s="409">
        <v>0</v>
      </c>
      <c r="ER294" s="409">
        <v>0</v>
      </c>
      <c r="ES294" s="409">
        <v>0</v>
      </c>
      <c r="ET294" s="409">
        <v>0</v>
      </c>
      <c r="EU294" s="409">
        <v>0</v>
      </c>
      <c r="EV294" s="409">
        <v>210</v>
      </c>
      <c r="EW294" s="409">
        <v>0</v>
      </c>
      <c r="EX294" s="409">
        <v>0</v>
      </c>
      <c r="EY294" s="409">
        <v>0</v>
      </c>
      <c r="EZ294" s="409"/>
      <c r="FA294" s="409">
        <v>0</v>
      </c>
      <c r="FB294" s="409"/>
      <c r="FC294" s="409"/>
      <c r="FD294" s="409"/>
      <c r="FE294" s="409"/>
      <c r="FF294" s="409">
        <v>0</v>
      </c>
      <c r="FG294" s="409">
        <v>0</v>
      </c>
      <c r="FH294" s="409">
        <v>0</v>
      </c>
      <c r="FI294" s="409">
        <v>0</v>
      </c>
    </row>
    <row r="295" spans="1:165">
      <c r="A295" s="409">
        <v>293</v>
      </c>
      <c r="B295" s="409" t="s">
        <v>1035</v>
      </c>
      <c r="C295" s="409" t="s">
        <v>2246</v>
      </c>
      <c r="D295" s="409" t="s">
        <v>595</v>
      </c>
      <c r="E295" s="409" t="s">
        <v>997</v>
      </c>
      <c r="F295" s="409" t="s">
        <v>1323</v>
      </c>
      <c r="G295" s="409" t="s">
        <v>1323</v>
      </c>
      <c r="H295" s="409" t="s">
        <v>1323</v>
      </c>
      <c r="I295" s="409" t="s">
        <v>2234</v>
      </c>
      <c r="J295" s="409" t="s">
        <v>2242</v>
      </c>
      <c r="K295" s="838">
        <v>44593</v>
      </c>
      <c r="L295" s="409">
        <v>0</v>
      </c>
      <c r="M295" s="409">
        <v>0</v>
      </c>
      <c r="N295" s="409">
        <v>18.491</v>
      </c>
      <c r="O295" s="409">
        <v>18.491</v>
      </c>
      <c r="P295" s="409">
        <v>18.491</v>
      </c>
      <c r="Q295" s="409">
        <v>18.491</v>
      </c>
      <c r="R295" s="409"/>
      <c r="S295" s="409">
        <v>64.400000000000006</v>
      </c>
      <c r="T295" s="409">
        <v>273.74</v>
      </c>
      <c r="U295" s="409"/>
      <c r="V295" s="409">
        <v>6252.5467399999998</v>
      </c>
      <c r="W295" s="409">
        <v>6252.5467399999998</v>
      </c>
      <c r="X295" s="409">
        <v>6424.3281299999999</v>
      </c>
      <c r="Y295" s="409">
        <v>0</v>
      </c>
      <c r="Z295" s="409">
        <v>971.25343253749395</v>
      </c>
      <c r="AA295" s="409">
        <v>0</v>
      </c>
      <c r="AB295" s="409">
        <v>0</v>
      </c>
      <c r="AC295" s="409">
        <v>0</v>
      </c>
      <c r="AD295" s="409">
        <v>0</v>
      </c>
      <c r="AE295" s="409">
        <v>0</v>
      </c>
      <c r="AF295" s="409">
        <v>5061.7126509231111</v>
      </c>
      <c r="AG295" s="409">
        <v>0</v>
      </c>
      <c r="AH295" s="409">
        <v>0</v>
      </c>
      <c r="AI295" s="409">
        <v>0</v>
      </c>
      <c r="AJ295" s="409">
        <v>0</v>
      </c>
      <c r="AK295" s="409">
        <v>0</v>
      </c>
      <c r="AL295" s="409">
        <v>172.64212462637383</v>
      </c>
      <c r="AM295" s="409"/>
      <c r="AN295" s="409">
        <v>16.051813546904654</v>
      </c>
      <c r="AO295" s="409">
        <v>0</v>
      </c>
      <c r="AP295" s="409">
        <v>0</v>
      </c>
      <c r="AQ295" s="409">
        <v>0</v>
      </c>
      <c r="AR295" s="409">
        <v>0</v>
      </c>
      <c r="AS295" s="409">
        <v>0</v>
      </c>
      <c r="AT295" s="409">
        <v>0</v>
      </c>
      <c r="AU295" s="409">
        <v>0</v>
      </c>
      <c r="AV295" s="409">
        <v>0</v>
      </c>
      <c r="AW295" s="409">
        <v>0</v>
      </c>
      <c r="AX295" s="409">
        <v>0</v>
      </c>
      <c r="AY295" s="409">
        <v>0</v>
      </c>
      <c r="AZ295" s="409">
        <v>0</v>
      </c>
      <c r="BA295" s="409"/>
      <c r="BB295" s="409">
        <v>0</v>
      </c>
      <c r="BC295" s="409">
        <v>0</v>
      </c>
      <c r="BD295" s="409">
        <v>0</v>
      </c>
      <c r="BE295" s="409">
        <v>0</v>
      </c>
      <c r="BF295" s="409">
        <v>0</v>
      </c>
      <c r="BG295" s="409">
        <v>30.941468718134676</v>
      </c>
      <c r="BH295" s="409">
        <v>0</v>
      </c>
      <c r="BI295" s="409">
        <v>0</v>
      </c>
      <c r="BJ295" s="409">
        <v>0</v>
      </c>
      <c r="BK295" s="409">
        <v>0</v>
      </c>
      <c r="BL295" s="409">
        <v>0</v>
      </c>
      <c r="BM295" s="409"/>
      <c r="BN295" s="409"/>
      <c r="BO295" s="409"/>
      <c r="BP295" s="409"/>
      <c r="BQ295" s="409"/>
      <c r="BR295" s="409"/>
      <c r="BS295" s="409"/>
      <c r="BT295" s="409"/>
      <c r="BU295" s="409"/>
      <c r="BV295" s="409">
        <v>5092.6541196412454</v>
      </c>
      <c r="BW295" s="409"/>
      <c r="BX295" s="409"/>
      <c r="BY295" s="409"/>
      <c r="BZ295" s="409"/>
      <c r="CA295" s="409"/>
      <c r="CB295" s="409"/>
      <c r="CC295" s="409"/>
      <c r="CD295" s="409"/>
      <c r="CE295" s="409"/>
      <c r="CF295" s="409"/>
      <c r="CG295" s="409"/>
      <c r="CH295" s="409"/>
      <c r="CI295" s="409">
        <v>6423.9806999999992</v>
      </c>
      <c r="CJ295" s="409">
        <v>171.40395999999873</v>
      </c>
      <c r="CK295" s="409"/>
      <c r="CL295" s="409"/>
      <c r="CM295" s="409"/>
      <c r="CN295" s="409"/>
      <c r="CO295" s="409">
        <v>-68.60161000000015</v>
      </c>
      <c r="CP295" s="409">
        <v>240.38299999999998</v>
      </c>
      <c r="CQ295" s="409">
        <v>29</v>
      </c>
      <c r="CR295" s="409">
        <v>171.80958598892448</v>
      </c>
      <c r="CS295" s="409">
        <v>0</v>
      </c>
      <c r="CT295" s="409">
        <v>0</v>
      </c>
      <c r="CU295" s="409">
        <v>0</v>
      </c>
      <c r="CV295" s="409">
        <v>0</v>
      </c>
      <c r="CW295" s="409">
        <v>0</v>
      </c>
      <c r="CX295" s="409">
        <v>0</v>
      </c>
      <c r="CY295" s="409">
        <v>0</v>
      </c>
      <c r="CZ295" s="409">
        <v>0</v>
      </c>
      <c r="DA295" s="409">
        <v>0</v>
      </c>
      <c r="DB295" s="409">
        <v>0</v>
      </c>
      <c r="DC295" s="409">
        <v>272.67304559430977</v>
      </c>
      <c r="DD295" s="409">
        <v>0</v>
      </c>
      <c r="DE295" s="409">
        <v>0</v>
      </c>
      <c r="DF295" s="409">
        <v>0</v>
      </c>
      <c r="DG295" s="409">
        <v>1.6668082707139042</v>
      </c>
      <c r="DH295" s="409">
        <v>0</v>
      </c>
      <c r="DI295" s="409">
        <v>-61.90893225641139</v>
      </c>
      <c r="DJ295" s="409"/>
      <c r="DK295" s="409">
        <v>0</v>
      </c>
      <c r="DL295" s="409">
        <v>0</v>
      </c>
      <c r="DM295" s="409">
        <v>0</v>
      </c>
      <c r="DN295" s="409">
        <v>0</v>
      </c>
      <c r="DO295" s="409">
        <v>-9.0519369447646909</v>
      </c>
      <c r="DP295" s="409">
        <v>-1.0590893551690996</v>
      </c>
      <c r="DQ295" s="409">
        <v>0</v>
      </c>
      <c r="DR295" s="409">
        <v>-30.510309319755283</v>
      </c>
      <c r="DS295" s="409"/>
      <c r="DT295" s="409"/>
      <c r="DU295" s="409"/>
      <c r="DV295" s="409">
        <v>0</v>
      </c>
      <c r="DW295" s="409">
        <v>0</v>
      </c>
      <c r="DX295" s="409">
        <v>0</v>
      </c>
      <c r="DY295" s="409">
        <v>-68.601610000000164</v>
      </c>
      <c r="DZ295" s="409">
        <v>240.38299999999981</v>
      </c>
      <c r="EA295" s="409">
        <v>0</v>
      </c>
      <c r="EB295" s="409">
        <v>0</v>
      </c>
      <c r="EC295" s="409">
        <v>0</v>
      </c>
      <c r="ED295" s="409">
        <v>0</v>
      </c>
      <c r="EE295" s="409">
        <v>0</v>
      </c>
      <c r="EF295" s="409">
        <v>0</v>
      </c>
      <c r="EG295" s="409">
        <v>0</v>
      </c>
      <c r="EH295" s="409">
        <v>0</v>
      </c>
      <c r="EI295" s="409">
        <v>0</v>
      </c>
      <c r="EJ295" s="409">
        <v>0</v>
      </c>
      <c r="EK295" s="409">
        <v>0</v>
      </c>
      <c r="EL295" s="409">
        <v>0</v>
      </c>
      <c r="EM295" s="409">
        <v>0</v>
      </c>
      <c r="EN295" s="409">
        <v>0</v>
      </c>
      <c r="EO295" s="409">
        <v>0</v>
      </c>
      <c r="EP295" s="409">
        <v>0</v>
      </c>
      <c r="EQ295" s="409">
        <v>0</v>
      </c>
      <c r="ER295" s="409">
        <v>0</v>
      </c>
      <c r="ES295" s="409">
        <v>0</v>
      </c>
      <c r="ET295" s="409">
        <v>0</v>
      </c>
      <c r="EU295" s="409">
        <v>0</v>
      </c>
      <c r="EV295" s="409">
        <v>210</v>
      </c>
      <c r="EW295" s="409">
        <v>0</v>
      </c>
      <c r="EX295" s="409">
        <v>0</v>
      </c>
      <c r="EY295" s="409">
        <v>0</v>
      </c>
      <c r="EZ295" s="409"/>
      <c r="FA295" s="409">
        <v>0</v>
      </c>
      <c r="FB295" s="409"/>
      <c r="FC295" s="409"/>
      <c r="FD295" s="409"/>
      <c r="FE295" s="409"/>
      <c r="FF295" s="409">
        <v>0</v>
      </c>
      <c r="FG295" s="409">
        <v>0</v>
      </c>
      <c r="FH295" s="409">
        <v>0</v>
      </c>
      <c r="FI295" s="409">
        <v>0</v>
      </c>
    </row>
    <row r="296" spans="1:165">
      <c r="A296" s="409">
        <v>294</v>
      </c>
      <c r="B296" s="409" t="s">
        <v>1035</v>
      </c>
      <c r="C296" s="409" t="s">
        <v>2246</v>
      </c>
      <c r="D296" s="409" t="s">
        <v>595</v>
      </c>
      <c r="E296" s="409" t="s">
        <v>997</v>
      </c>
      <c r="F296" s="409" t="s">
        <v>1323</v>
      </c>
      <c r="G296" s="409" t="s">
        <v>1323</v>
      </c>
      <c r="H296" s="409" t="s">
        <v>1323</v>
      </c>
      <c r="I296" s="409" t="s">
        <v>1323</v>
      </c>
      <c r="J296" s="409" t="s">
        <v>2242</v>
      </c>
      <c r="K296" s="838">
        <v>44593</v>
      </c>
      <c r="L296" s="409">
        <v>215</v>
      </c>
      <c r="M296" s="409">
        <v>215</v>
      </c>
      <c r="N296" s="409">
        <v>0</v>
      </c>
      <c r="O296" s="409">
        <v>0</v>
      </c>
      <c r="P296" s="409">
        <v>0</v>
      </c>
      <c r="Q296" s="409">
        <v>0</v>
      </c>
      <c r="R296" s="409">
        <v>33.6</v>
      </c>
      <c r="S296" s="409"/>
      <c r="T296" s="409"/>
      <c r="U296" s="409">
        <v>7224</v>
      </c>
      <c r="V296" s="409"/>
      <c r="W296" s="409">
        <v>7224</v>
      </c>
      <c r="X296" s="409">
        <v>6828.4000000000005</v>
      </c>
      <c r="Y296" s="409">
        <v>0</v>
      </c>
      <c r="Z296" s="409">
        <v>0</v>
      </c>
      <c r="AA296" s="409">
        <v>0</v>
      </c>
      <c r="AB296" s="409">
        <v>0</v>
      </c>
      <c r="AC296" s="409">
        <v>0</v>
      </c>
      <c r="AD296" s="409">
        <v>3836.7856979005833</v>
      </c>
      <c r="AE296" s="409">
        <v>3387.3572528023742</v>
      </c>
      <c r="AF296" s="409"/>
      <c r="AG296" s="409"/>
      <c r="AH296" s="409"/>
      <c r="AI296" s="409">
        <v>0</v>
      </c>
      <c r="AJ296" s="409">
        <v>0</v>
      </c>
      <c r="AK296" s="409">
        <v>0</v>
      </c>
      <c r="AL296" s="409">
        <v>0</v>
      </c>
      <c r="AM296" s="409"/>
      <c r="AN296" s="409">
        <v>0</v>
      </c>
      <c r="AO296" s="409">
        <v>0</v>
      </c>
      <c r="AP296" s="409">
        <v>0</v>
      </c>
      <c r="AQ296" s="409">
        <v>0</v>
      </c>
      <c r="AR296" s="409">
        <v>0</v>
      </c>
      <c r="AS296" s="409"/>
      <c r="AT296" s="409"/>
      <c r="AU296" s="409">
        <v>0</v>
      </c>
      <c r="AV296" s="409">
        <v>0</v>
      </c>
      <c r="AW296" s="409">
        <v>0</v>
      </c>
      <c r="AX296" s="409"/>
      <c r="AY296" s="409"/>
      <c r="AZ296" s="409">
        <v>0</v>
      </c>
      <c r="BA296" s="409"/>
      <c r="BB296" s="409">
        <v>0</v>
      </c>
      <c r="BC296" s="409">
        <v>0</v>
      </c>
      <c r="BD296" s="409">
        <v>0</v>
      </c>
      <c r="BE296" s="409">
        <v>0</v>
      </c>
      <c r="BF296" s="409"/>
      <c r="BG296" s="409">
        <v>0</v>
      </c>
      <c r="BH296" s="409">
        <v>0</v>
      </c>
      <c r="BI296" s="409">
        <v>132.96</v>
      </c>
      <c r="BJ296" s="409">
        <v>613.66999999999996</v>
      </c>
      <c r="BK296" s="409">
        <v>3284.59</v>
      </c>
      <c r="BL296" s="409">
        <v>2</v>
      </c>
      <c r="BM296" s="409"/>
      <c r="BN296" s="409"/>
      <c r="BO296" s="409"/>
      <c r="BP296" s="409"/>
      <c r="BQ296" s="409"/>
      <c r="BR296" s="409"/>
      <c r="BS296" s="409"/>
      <c r="BT296" s="409"/>
      <c r="BU296" s="409"/>
      <c r="BV296" s="409">
        <v>0</v>
      </c>
      <c r="BW296" s="409"/>
      <c r="BX296" s="409"/>
      <c r="BY296" s="409"/>
      <c r="BZ296" s="409"/>
      <c r="CA296" s="409"/>
      <c r="CB296" s="409"/>
      <c r="CC296" s="409"/>
      <c r="CD296" s="409"/>
      <c r="CE296" s="409"/>
      <c r="CF296" s="409"/>
      <c r="CG296" s="409"/>
      <c r="CH296" s="409"/>
      <c r="CI296" s="409">
        <v>6828.4000000000005</v>
      </c>
      <c r="CJ296" s="409">
        <v>-395.63000000000011</v>
      </c>
      <c r="CK296" s="409"/>
      <c r="CL296" s="409"/>
      <c r="CM296" s="409"/>
      <c r="CN296" s="409"/>
      <c r="CO296" s="409">
        <v>-395.59999999999997</v>
      </c>
      <c r="CP296" s="409">
        <v>0</v>
      </c>
      <c r="CQ296" s="409">
        <v>29</v>
      </c>
      <c r="CR296" s="409">
        <v>141.94559312118008</v>
      </c>
      <c r="CS296" s="409">
        <v>0</v>
      </c>
      <c r="CT296" s="409">
        <v>0</v>
      </c>
      <c r="CU296" s="409">
        <v>0</v>
      </c>
      <c r="CV296" s="409">
        <v>0</v>
      </c>
      <c r="CW296" s="409"/>
      <c r="CX296" s="409"/>
      <c r="CY296" s="409"/>
      <c r="CZ296" s="409">
        <v>131.51903641109539</v>
      </c>
      <c r="DA296" s="409">
        <v>0</v>
      </c>
      <c r="DB296" s="409">
        <v>0</v>
      </c>
      <c r="DC296" s="409"/>
      <c r="DD296" s="409"/>
      <c r="DE296" s="409">
        <v>0</v>
      </c>
      <c r="DF296" s="409">
        <v>0</v>
      </c>
      <c r="DG296" s="409">
        <v>0</v>
      </c>
      <c r="DH296" s="409">
        <v>0</v>
      </c>
      <c r="DI296" s="409">
        <v>0</v>
      </c>
      <c r="DJ296" s="409"/>
      <c r="DK296" s="409">
        <v>0</v>
      </c>
      <c r="DL296" s="409">
        <v>0</v>
      </c>
      <c r="DM296" s="409"/>
      <c r="DN296" s="409">
        <v>0</v>
      </c>
      <c r="DO296" s="409">
        <v>0</v>
      </c>
      <c r="DP296" s="409">
        <v>0</v>
      </c>
      <c r="DQ296" s="409">
        <v>0</v>
      </c>
      <c r="DR296" s="409">
        <v>10.426556710084611</v>
      </c>
      <c r="DS296" s="409"/>
      <c r="DT296" s="409"/>
      <c r="DU296" s="409">
        <v>3387.3572528023742</v>
      </c>
      <c r="DV296" s="409"/>
      <c r="DW296" s="409">
        <v>0</v>
      </c>
      <c r="DX296" s="409">
        <v>0</v>
      </c>
      <c r="DY296" s="409">
        <v>-395.59999999999945</v>
      </c>
      <c r="DZ296" s="409"/>
      <c r="EA296" s="409">
        <v>0</v>
      </c>
      <c r="EB296" s="409"/>
      <c r="EC296" s="409">
        <v>-538.43053547688214</v>
      </c>
      <c r="ED296" s="409"/>
      <c r="EE296" s="409">
        <v>0</v>
      </c>
      <c r="EF296" s="409">
        <v>0</v>
      </c>
      <c r="EG296" s="409"/>
      <c r="EH296" s="409">
        <v>0</v>
      </c>
      <c r="EI296" s="409">
        <v>0</v>
      </c>
      <c r="EJ296" s="409">
        <v>0</v>
      </c>
      <c r="EK296" s="409">
        <v>0</v>
      </c>
      <c r="EL296" s="409">
        <v>0</v>
      </c>
      <c r="EM296" s="409"/>
      <c r="EN296" s="409"/>
      <c r="EO296" s="409">
        <v>0</v>
      </c>
      <c r="EP296" s="409">
        <v>0</v>
      </c>
      <c r="EQ296" s="409"/>
      <c r="ER296" s="409">
        <v>0</v>
      </c>
      <c r="ES296" s="409"/>
      <c r="ET296" s="409">
        <v>0</v>
      </c>
      <c r="EU296" s="409"/>
      <c r="EV296" s="409">
        <v>210</v>
      </c>
      <c r="EW296" s="409"/>
      <c r="EX296" s="409"/>
      <c r="EY296" s="409"/>
      <c r="EZ296" s="409"/>
      <c r="FA296" s="409">
        <v>0</v>
      </c>
      <c r="FB296" s="409"/>
      <c r="FC296" s="409"/>
      <c r="FD296" s="409"/>
      <c r="FE296" s="409"/>
      <c r="FF296" s="409">
        <v>0</v>
      </c>
      <c r="FG296" s="409">
        <v>0</v>
      </c>
      <c r="FH296" s="409">
        <v>0</v>
      </c>
      <c r="FI296" s="409">
        <v>0</v>
      </c>
    </row>
    <row r="297" spans="1:165">
      <c r="A297" s="409">
        <v>295</v>
      </c>
      <c r="B297" s="409" t="s">
        <v>1035</v>
      </c>
      <c r="C297" s="409" t="s">
        <v>2241</v>
      </c>
      <c r="D297" s="409" t="s">
        <v>2247</v>
      </c>
      <c r="E297" s="409" t="s">
        <v>973</v>
      </c>
      <c r="F297" s="409" t="s">
        <v>1323</v>
      </c>
      <c r="G297" s="409" t="s">
        <v>1323</v>
      </c>
      <c r="H297" s="409" t="s">
        <v>1323</v>
      </c>
      <c r="I297" s="409" t="s">
        <v>1323</v>
      </c>
      <c r="J297" s="409" t="s">
        <v>2242</v>
      </c>
      <c r="K297" s="838">
        <v>44593</v>
      </c>
      <c r="L297" s="409">
        <v>0</v>
      </c>
      <c r="M297" s="409">
        <v>0</v>
      </c>
      <c r="N297" s="409">
        <v>443.97500000000002</v>
      </c>
      <c r="O297" s="409">
        <v>443.97500000000002</v>
      </c>
      <c r="P297" s="409">
        <v>443.97500000000002</v>
      </c>
      <c r="Q297" s="409">
        <v>443.97500000000002</v>
      </c>
      <c r="R297" s="409"/>
      <c r="S297" s="409">
        <v>358.62</v>
      </c>
      <c r="T297" s="409">
        <v>273.74</v>
      </c>
      <c r="U297" s="409"/>
      <c r="V297" s="409">
        <v>280752.03100000002</v>
      </c>
      <c r="W297" s="409">
        <v>280752.03100000002</v>
      </c>
      <c r="X297" s="409">
        <v>272218.83150000003</v>
      </c>
      <c r="Y297" s="409">
        <v>0</v>
      </c>
      <c r="Z297" s="409">
        <v>26804.729651693502</v>
      </c>
      <c r="AA297" s="409">
        <v>0</v>
      </c>
      <c r="AB297" s="409">
        <v>0</v>
      </c>
      <c r="AC297" s="409">
        <v>0</v>
      </c>
      <c r="AD297" s="409">
        <v>38221.149645232785</v>
      </c>
      <c r="AE297" s="409">
        <v>87942.209287578618</v>
      </c>
      <c r="AF297" s="409">
        <v>121533.38782075542</v>
      </c>
      <c r="AG297" s="409">
        <v>0</v>
      </c>
      <c r="AH297" s="409">
        <v>0</v>
      </c>
      <c r="AI297" s="409">
        <v>0</v>
      </c>
      <c r="AJ297" s="409">
        <v>0</v>
      </c>
      <c r="AK297" s="409">
        <v>0</v>
      </c>
      <c r="AL297" s="409">
        <v>4145.1942718616801</v>
      </c>
      <c r="AM297" s="409"/>
      <c r="AN297" s="409">
        <v>472.87394151107179</v>
      </c>
      <c r="AO297" s="409">
        <v>0</v>
      </c>
      <c r="AP297" s="409">
        <v>0</v>
      </c>
      <c r="AQ297" s="409">
        <v>0</v>
      </c>
      <c r="AR297" s="409">
        <v>0</v>
      </c>
      <c r="AS297" s="409">
        <v>0</v>
      </c>
      <c r="AT297" s="409">
        <v>0</v>
      </c>
      <c r="AU297" s="409">
        <v>0</v>
      </c>
      <c r="AV297" s="409">
        <v>0</v>
      </c>
      <c r="AW297" s="409">
        <v>0</v>
      </c>
      <c r="AX297" s="409">
        <v>0</v>
      </c>
      <c r="AY297" s="409">
        <v>0</v>
      </c>
      <c r="AZ297" s="409">
        <v>0</v>
      </c>
      <c r="BA297" s="409"/>
      <c r="BB297" s="409">
        <v>0</v>
      </c>
      <c r="BC297" s="409">
        <v>0</v>
      </c>
      <c r="BD297" s="409">
        <v>0</v>
      </c>
      <c r="BE297" s="409">
        <v>0</v>
      </c>
      <c r="BF297" s="409">
        <v>0</v>
      </c>
      <c r="BG297" s="409">
        <v>1633.1292890665923</v>
      </c>
      <c r="BH297" s="409">
        <v>0</v>
      </c>
      <c r="BI297" s="409">
        <v>858.49</v>
      </c>
      <c r="BJ297" s="409">
        <v>3973.44</v>
      </c>
      <c r="BK297" s="409">
        <v>17484.939999999999</v>
      </c>
      <c r="BL297" s="409">
        <v>1018</v>
      </c>
      <c r="BM297" s="409"/>
      <c r="BN297" s="409"/>
      <c r="BO297" s="409"/>
      <c r="BP297" s="409"/>
      <c r="BQ297" s="409"/>
      <c r="BR297" s="409">
        <v>38110.814000000006</v>
      </c>
      <c r="BS297" s="409"/>
      <c r="BT297" s="409"/>
      <c r="BU297" s="409"/>
      <c r="BV297" s="409">
        <v>123166.51710982202</v>
      </c>
      <c r="BW297" s="409"/>
      <c r="BX297" s="409"/>
      <c r="BY297" s="409"/>
      <c r="BZ297" s="409"/>
      <c r="CA297" s="409"/>
      <c r="CB297" s="409"/>
      <c r="CC297" s="409"/>
      <c r="CD297" s="409"/>
      <c r="CE297" s="409"/>
      <c r="CF297" s="409"/>
      <c r="CG297" s="409"/>
      <c r="CH297" s="409"/>
      <c r="CI297" s="409">
        <v>234110.65400000001</v>
      </c>
      <c r="CJ297" s="409">
        <v>-7340.7400000000489</v>
      </c>
      <c r="CK297" s="409"/>
      <c r="CL297" s="409"/>
      <c r="CM297" s="409"/>
      <c r="CN297" s="409"/>
      <c r="CO297" s="409">
        <v>-14304.874500000013</v>
      </c>
      <c r="CP297" s="409">
        <v>5771.6750000000002</v>
      </c>
      <c r="CQ297" s="409">
        <v>29</v>
      </c>
      <c r="CR297" s="409">
        <v>5443.9682766094629</v>
      </c>
      <c r="CS297" s="409">
        <v>0</v>
      </c>
      <c r="CT297" s="409">
        <v>0</v>
      </c>
      <c r="CU297" s="409">
        <v>0</v>
      </c>
      <c r="CV297" s="409">
        <v>0</v>
      </c>
      <c r="CW297" s="409">
        <v>0</v>
      </c>
      <c r="CX297" s="409">
        <v>0</v>
      </c>
      <c r="CY297" s="409">
        <v>0</v>
      </c>
      <c r="CZ297" s="409">
        <v>1310.1614652641656</v>
      </c>
      <c r="DA297" s="409">
        <v>0</v>
      </c>
      <c r="DB297" s="409">
        <v>0</v>
      </c>
      <c r="DC297" s="409">
        <v>6546.9696294269525</v>
      </c>
      <c r="DD297" s="409">
        <v>0</v>
      </c>
      <c r="DE297" s="409">
        <v>0</v>
      </c>
      <c r="DF297" s="409">
        <v>0</v>
      </c>
      <c r="DG297" s="409">
        <v>87.976218290041061</v>
      </c>
      <c r="DH297" s="409">
        <v>0</v>
      </c>
      <c r="DI297" s="409">
        <v>-1708.5676472953528</v>
      </c>
      <c r="DJ297" s="409"/>
      <c r="DK297" s="409">
        <v>0</v>
      </c>
      <c r="DL297" s="409">
        <v>0</v>
      </c>
      <c r="DM297" s="409">
        <v>0</v>
      </c>
      <c r="DN297" s="409">
        <v>0</v>
      </c>
      <c r="DO297" s="409">
        <v>-217.33998729392169</v>
      </c>
      <c r="DP297" s="409">
        <v>-31.19994861190105</v>
      </c>
      <c r="DQ297" s="409">
        <v>0</v>
      </c>
      <c r="DR297" s="409">
        <v>-544.03145317055419</v>
      </c>
      <c r="DS297" s="409"/>
      <c r="DT297" s="409"/>
      <c r="DU297" s="409"/>
      <c r="DV297" s="409">
        <v>87942.209287578618</v>
      </c>
      <c r="DW297" s="409">
        <v>0</v>
      </c>
      <c r="DX297" s="409">
        <v>0</v>
      </c>
      <c r="DY297" s="409">
        <v>-14304.874500000005</v>
      </c>
      <c r="DZ297" s="409">
        <v>5771.6750000000029</v>
      </c>
      <c r="EA297" s="409">
        <v>0</v>
      </c>
      <c r="EB297" s="409">
        <v>0</v>
      </c>
      <c r="EC297" s="409">
        <v>-13978.676385125378</v>
      </c>
      <c r="ED297" s="409">
        <v>0</v>
      </c>
      <c r="EE297" s="409">
        <v>0</v>
      </c>
      <c r="EF297" s="409">
        <v>0</v>
      </c>
      <c r="EG297" s="409">
        <v>0</v>
      </c>
      <c r="EH297" s="409">
        <v>0</v>
      </c>
      <c r="EI297" s="409">
        <v>0</v>
      </c>
      <c r="EJ297" s="409">
        <v>0</v>
      </c>
      <c r="EK297" s="409">
        <v>0</v>
      </c>
      <c r="EL297" s="409">
        <v>0</v>
      </c>
      <c r="EM297" s="409">
        <v>0</v>
      </c>
      <c r="EN297" s="409">
        <v>0</v>
      </c>
      <c r="EO297" s="409">
        <v>0</v>
      </c>
      <c r="EP297" s="409">
        <v>0</v>
      </c>
      <c r="EQ297" s="409">
        <v>0</v>
      </c>
      <c r="ER297" s="409">
        <v>0</v>
      </c>
      <c r="ES297" s="409">
        <v>0</v>
      </c>
      <c r="ET297" s="409">
        <v>0</v>
      </c>
      <c r="EU297" s="409">
        <v>0</v>
      </c>
      <c r="EV297" s="409">
        <v>210</v>
      </c>
      <c r="EW297" s="409">
        <v>0</v>
      </c>
      <c r="EX297" s="409">
        <v>0</v>
      </c>
      <c r="EY297" s="409">
        <v>0</v>
      </c>
      <c r="EZ297" s="409"/>
      <c r="FA297" s="409">
        <v>0</v>
      </c>
      <c r="FB297" s="409"/>
      <c r="FC297" s="409"/>
      <c r="FD297" s="409"/>
      <c r="FE297" s="409"/>
      <c r="FF297" s="409">
        <v>0</v>
      </c>
      <c r="FG297" s="409">
        <v>0</v>
      </c>
      <c r="FH297" s="409">
        <v>0</v>
      </c>
      <c r="FI297" s="409">
        <v>0</v>
      </c>
    </row>
    <row r="298" spans="1:165">
      <c r="A298" s="409">
        <v>296</v>
      </c>
      <c r="B298" s="409" t="s">
        <v>2240</v>
      </c>
      <c r="C298" s="409" t="s">
        <v>2241</v>
      </c>
      <c r="D298" s="409" t="s">
        <v>2247</v>
      </c>
      <c r="E298" s="409" t="s">
        <v>973</v>
      </c>
      <c r="F298" s="409" t="s">
        <v>1323</v>
      </c>
      <c r="G298" s="409" t="s">
        <v>1323</v>
      </c>
      <c r="H298" s="409" t="s">
        <v>1323</v>
      </c>
      <c r="I298" s="409" t="s">
        <v>1323</v>
      </c>
      <c r="J298" s="409" t="s">
        <v>2242</v>
      </c>
      <c r="K298" s="838">
        <v>44593</v>
      </c>
      <c r="L298" s="409">
        <v>0</v>
      </c>
      <c r="M298" s="409">
        <v>0</v>
      </c>
      <c r="N298" s="409">
        <v>3.23</v>
      </c>
      <c r="O298" s="409">
        <v>3.23</v>
      </c>
      <c r="P298" s="409">
        <v>3.23</v>
      </c>
      <c r="Q298" s="409">
        <v>3.23</v>
      </c>
      <c r="R298" s="409"/>
      <c r="S298" s="409">
        <v>358.62</v>
      </c>
      <c r="T298" s="409">
        <v>273.74</v>
      </c>
      <c r="U298" s="409"/>
      <c r="V298" s="409">
        <v>2042.5228</v>
      </c>
      <c r="W298" s="409">
        <v>2042.5228</v>
      </c>
      <c r="X298" s="409">
        <v>1980.4422</v>
      </c>
      <c r="Y298" s="409">
        <v>0</v>
      </c>
      <c r="Z298" s="409">
        <v>195.00935137106819</v>
      </c>
      <c r="AA298" s="409">
        <v>0</v>
      </c>
      <c r="AB298" s="409">
        <v>0</v>
      </c>
      <c r="AC298" s="409">
        <v>0</v>
      </c>
      <c r="AD298" s="409">
        <v>278.06591216645506</v>
      </c>
      <c r="AE298" s="409">
        <v>639.79579030098296</v>
      </c>
      <c r="AF298" s="409">
        <v>884.17780879788268</v>
      </c>
      <c r="AG298" s="409">
        <v>0</v>
      </c>
      <c r="AH298" s="409">
        <v>0</v>
      </c>
      <c r="AI298" s="409">
        <v>0</v>
      </c>
      <c r="AJ298" s="409">
        <v>0</v>
      </c>
      <c r="AK298" s="409">
        <v>0</v>
      </c>
      <c r="AL298" s="409">
        <v>30.15705275773011</v>
      </c>
      <c r="AM298" s="409"/>
      <c r="AN298" s="409">
        <v>3.4402451288490608</v>
      </c>
      <c r="AO298" s="409">
        <v>0</v>
      </c>
      <c r="AP298" s="409">
        <v>0</v>
      </c>
      <c r="AQ298" s="409">
        <v>0</v>
      </c>
      <c r="AR298" s="409">
        <v>0</v>
      </c>
      <c r="AS298" s="409">
        <v>0</v>
      </c>
      <c r="AT298" s="409">
        <v>0</v>
      </c>
      <c r="AU298" s="409">
        <v>0</v>
      </c>
      <c r="AV298" s="409">
        <v>0</v>
      </c>
      <c r="AW298" s="409">
        <v>0</v>
      </c>
      <c r="AX298" s="409">
        <v>0</v>
      </c>
      <c r="AY298" s="409">
        <v>0</v>
      </c>
      <c r="AZ298" s="409">
        <v>0</v>
      </c>
      <c r="BA298" s="409"/>
      <c r="BB298" s="409">
        <v>0</v>
      </c>
      <c r="BC298" s="409">
        <v>0</v>
      </c>
      <c r="BD298" s="409">
        <v>0</v>
      </c>
      <c r="BE298" s="409">
        <v>0</v>
      </c>
      <c r="BF298" s="409">
        <v>0</v>
      </c>
      <c r="BG298" s="409">
        <v>11.881316749107704</v>
      </c>
      <c r="BH298" s="409">
        <v>0</v>
      </c>
      <c r="BI298" s="409">
        <v>7.17</v>
      </c>
      <c r="BJ298" s="409">
        <v>33.24</v>
      </c>
      <c r="BK298" s="409">
        <v>192.76</v>
      </c>
      <c r="BL298" s="409">
        <v>13</v>
      </c>
      <c r="BM298" s="409"/>
      <c r="BN298" s="409"/>
      <c r="BO298" s="409"/>
      <c r="BP298" s="409"/>
      <c r="BQ298" s="409"/>
      <c r="BR298" s="409">
        <v>277.26319999999998</v>
      </c>
      <c r="BS298" s="409"/>
      <c r="BT298" s="409"/>
      <c r="BU298" s="409"/>
      <c r="BV298" s="409">
        <v>896.05912554699034</v>
      </c>
      <c r="BW298" s="409"/>
      <c r="BX298" s="409"/>
      <c r="BY298" s="409"/>
      <c r="BZ298" s="409"/>
      <c r="CA298" s="409"/>
      <c r="CB298" s="409"/>
      <c r="CC298" s="409"/>
      <c r="CD298" s="409"/>
      <c r="CE298" s="409"/>
      <c r="CF298" s="409"/>
      <c r="CG298" s="409"/>
      <c r="CH298" s="409"/>
      <c r="CI298" s="409">
        <v>1703.1790000000001</v>
      </c>
      <c r="CJ298" s="409">
        <v>-53.454199999999901</v>
      </c>
      <c r="CK298" s="409"/>
      <c r="CL298" s="409"/>
      <c r="CM298" s="409"/>
      <c r="CN298" s="409"/>
      <c r="CO298" s="409">
        <v>-104.07060000000008</v>
      </c>
      <c r="CP298" s="409">
        <v>41.99</v>
      </c>
      <c r="CQ298" s="409">
        <v>29</v>
      </c>
      <c r="CR298" s="409">
        <v>39.605873153777793</v>
      </c>
      <c r="CS298" s="409">
        <v>0</v>
      </c>
      <c r="CT298" s="409">
        <v>0</v>
      </c>
      <c r="CU298" s="409">
        <v>0</v>
      </c>
      <c r="CV298" s="409">
        <v>0</v>
      </c>
      <c r="CW298" s="409">
        <v>0</v>
      </c>
      <c r="CX298" s="409">
        <v>0</v>
      </c>
      <c r="CY298" s="409">
        <v>0</v>
      </c>
      <c r="CZ298" s="409">
        <v>9.531666271306392</v>
      </c>
      <c r="DA298" s="409">
        <v>0</v>
      </c>
      <c r="DB298" s="409">
        <v>0</v>
      </c>
      <c r="DC298" s="409">
        <v>47.630411403905782</v>
      </c>
      <c r="DD298" s="409">
        <v>0</v>
      </c>
      <c r="DE298" s="409">
        <v>0</v>
      </c>
      <c r="DF298" s="409">
        <v>0</v>
      </c>
      <c r="DG298" s="409">
        <v>0.64004321206561876</v>
      </c>
      <c r="DH298" s="409">
        <v>0</v>
      </c>
      <c r="DI298" s="409">
        <v>-12.430144717076359</v>
      </c>
      <c r="DJ298" s="409"/>
      <c r="DK298" s="409">
        <v>0</v>
      </c>
      <c r="DL298" s="409">
        <v>0</v>
      </c>
      <c r="DM298" s="409">
        <v>0</v>
      </c>
      <c r="DN298" s="409">
        <v>0</v>
      </c>
      <c r="DO298" s="409">
        <v>-1.5811884879990217</v>
      </c>
      <c r="DP298" s="409">
        <v>-0.22698537984445144</v>
      </c>
      <c r="DQ298" s="409">
        <v>0</v>
      </c>
      <c r="DR298" s="409">
        <v>-3.95792914858019</v>
      </c>
      <c r="DS298" s="409"/>
      <c r="DT298" s="409"/>
      <c r="DU298" s="409"/>
      <c r="DV298" s="409">
        <v>639.79579030098296</v>
      </c>
      <c r="DW298" s="409">
        <v>0</v>
      </c>
      <c r="DX298" s="409">
        <v>0</v>
      </c>
      <c r="DY298" s="409">
        <v>-104.07060000000001</v>
      </c>
      <c r="DZ298" s="409">
        <v>41.990000000000009</v>
      </c>
      <c r="EA298" s="409">
        <v>0</v>
      </c>
      <c r="EB298" s="409">
        <v>0</v>
      </c>
      <c r="EC298" s="409">
        <v>-101.69744855893896</v>
      </c>
      <c r="ED298" s="409">
        <v>0</v>
      </c>
      <c r="EE298" s="409">
        <v>0</v>
      </c>
      <c r="EF298" s="409">
        <v>0</v>
      </c>
      <c r="EG298" s="409">
        <v>0</v>
      </c>
      <c r="EH298" s="409">
        <v>0</v>
      </c>
      <c r="EI298" s="409">
        <v>0</v>
      </c>
      <c r="EJ298" s="409">
        <v>0</v>
      </c>
      <c r="EK298" s="409">
        <v>0</v>
      </c>
      <c r="EL298" s="409">
        <v>0</v>
      </c>
      <c r="EM298" s="409">
        <v>0</v>
      </c>
      <c r="EN298" s="409">
        <v>0</v>
      </c>
      <c r="EO298" s="409">
        <v>0</v>
      </c>
      <c r="EP298" s="409">
        <v>0</v>
      </c>
      <c r="EQ298" s="409">
        <v>0</v>
      </c>
      <c r="ER298" s="409">
        <v>0</v>
      </c>
      <c r="ES298" s="409">
        <v>0</v>
      </c>
      <c r="ET298" s="409">
        <v>0</v>
      </c>
      <c r="EU298" s="409">
        <v>0</v>
      </c>
      <c r="EV298" s="409">
        <v>210</v>
      </c>
      <c r="EW298" s="409">
        <v>0</v>
      </c>
      <c r="EX298" s="409">
        <v>0</v>
      </c>
      <c r="EY298" s="409">
        <v>0</v>
      </c>
      <c r="EZ298" s="409"/>
      <c r="FA298" s="409">
        <v>0</v>
      </c>
      <c r="FB298" s="409"/>
      <c r="FC298" s="409"/>
      <c r="FD298" s="409"/>
      <c r="FE298" s="409"/>
      <c r="FF298" s="409">
        <v>0</v>
      </c>
      <c r="FG298" s="409">
        <v>0</v>
      </c>
      <c r="FH298" s="409">
        <v>0</v>
      </c>
      <c r="FI298" s="409">
        <v>0</v>
      </c>
    </row>
    <row r="299" spans="1:165">
      <c r="A299" s="409">
        <v>297</v>
      </c>
      <c r="B299" s="409" t="s">
        <v>1035</v>
      </c>
      <c r="C299" s="409" t="s">
        <v>2248</v>
      </c>
      <c r="D299" s="409" t="s">
        <v>2247</v>
      </c>
      <c r="E299" s="409" t="s">
        <v>973</v>
      </c>
      <c r="F299" s="409" t="s">
        <v>1323</v>
      </c>
      <c r="G299" s="409" t="s">
        <v>1323</v>
      </c>
      <c r="H299" s="409" t="s">
        <v>1323</v>
      </c>
      <c r="I299" s="409" t="s">
        <v>1323</v>
      </c>
      <c r="J299" s="409" t="s">
        <v>2242</v>
      </c>
      <c r="K299" s="838">
        <v>44593</v>
      </c>
      <c r="L299" s="409">
        <v>0</v>
      </c>
      <c r="M299" s="409">
        <v>0</v>
      </c>
      <c r="N299" s="409">
        <v>0</v>
      </c>
      <c r="O299" s="409">
        <v>0</v>
      </c>
      <c r="P299" s="409">
        <v>0</v>
      </c>
      <c r="Q299" s="409">
        <v>0</v>
      </c>
      <c r="R299" s="409"/>
      <c r="S299" s="409"/>
      <c r="T299" s="409"/>
      <c r="U299" s="409"/>
      <c r="V299" s="409"/>
      <c r="W299" s="409"/>
      <c r="X299" s="409"/>
      <c r="Y299" s="409"/>
      <c r="Z299" s="409"/>
      <c r="AA299" s="409">
        <v>0</v>
      </c>
      <c r="AB299" s="409"/>
      <c r="AC299" s="409"/>
      <c r="AD299" s="409"/>
      <c r="AE299" s="409"/>
      <c r="AF299" s="409"/>
      <c r="AG299" s="409"/>
      <c r="AH299" s="409"/>
      <c r="AI299" s="409"/>
      <c r="AJ299" s="409"/>
      <c r="AK299" s="409"/>
      <c r="AL299" s="409"/>
      <c r="AM299" s="409"/>
      <c r="AN299" s="409"/>
      <c r="AO299" s="409"/>
      <c r="AP299" s="409"/>
      <c r="AQ299" s="409"/>
      <c r="AR299" s="409"/>
      <c r="AS299" s="409"/>
      <c r="AT299" s="409"/>
      <c r="AU299" s="409"/>
      <c r="AV299" s="409"/>
      <c r="AW299" s="409"/>
      <c r="AX299" s="409"/>
      <c r="AY299" s="409"/>
      <c r="AZ299" s="409">
        <v>0</v>
      </c>
      <c r="BA299" s="409"/>
      <c r="BB299" s="409"/>
      <c r="BC299" s="409"/>
      <c r="BD299" s="409"/>
      <c r="BE299" s="409"/>
      <c r="BF299" s="409"/>
      <c r="BG299" s="409"/>
      <c r="BH299" s="409"/>
      <c r="BI299" s="409">
        <v>0.22</v>
      </c>
      <c r="BJ299" s="409">
        <v>1.04</v>
      </c>
      <c r="BK299" s="409">
        <v>0</v>
      </c>
      <c r="BL299" s="409">
        <v>1</v>
      </c>
      <c r="BM299" s="409"/>
      <c r="BN299" s="409"/>
      <c r="BO299" s="409"/>
      <c r="BP299" s="409"/>
      <c r="BQ299" s="409"/>
      <c r="BR299" s="409"/>
      <c r="BS299" s="409"/>
      <c r="BT299" s="409"/>
      <c r="BU299" s="409"/>
      <c r="BV299" s="409"/>
      <c r="BW299" s="409"/>
      <c r="BX299" s="409"/>
      <c r="BY299" s="409"/>
      <c r="BZ299" s="409"/>
      <c r="CA299" s="409"/>
      <c r="CB299" s="409"/>
      <c r="CC299" s="409"/>
      <c r="CD299" s="409"/>
      <c r="CE299" s="409"/>
      <c r="CF299" s="409"/>
      <c r="CG299" s="409"/>
      <c r="CH299" s="409"/>
      <c r="CI299" s="409"/>
      <c r="CJ299" s="409">
        <v>-0.03</v>
      </c>
      <c r="CK299" s="409"/>
      <c r="CL299" s="409"/>
      <c r="CM299" s="409"/>
      <c r="CN299" s="409"/>
      <c r="CO299" s="409">
        <v>0</v>
      </c>
      <c r="CP299" s="409">
        <v>0</v>
      </c>
      <c r="CQ299" s="409">
        <v>29</v>
      </c>
      <c r="CR299" s="409"/>
      <c r="CS299" s="409"/>
      <c r="CT299" s="409"/>
      <c r="CU299" s="409"/>
      <c r="CV299" s="409"/>
      <c r="CW299" s="409"/>
      <c r="CX299" s="409"/>
      <c r="CY299" s="409"/>
      <c r="CZ299" s="409"/>
      <c r="DA299" s="409"/>
      <c r="DB299" s="409"/>
      <c r="DC299" s="409"/>
      <c r="DD299" s="409"/>
      <c r="DE299" s="409"/>
      <c r="DF299" s="409"/>
      <c r="DG299" s="409"/>
      <c r="DH299" s="409"/>
      <c r="DI299" s="409"/>
      <c r="DJ299" s="409"/>
      <c r="DK299" s="409">
        <v>0</v>
      </c>
      <c r="DL299" s="409"/>
      <c r="DM299" s="409"/>
      <c r="DN299" s="409"/>
      <c r="DO299" s="409"/>
      <c r="DP299" s="409"/>
      <c r="DQ299" s="409"/>
      <c r="DR299" s="409"/>
      <c r="DS299" s="409"/>
      <c r="DT299" s="409"/>
      <c r="DU299" s="409"/>
      <c r="DV299" s="409"/>
      <c r="DW299" s="409"/>
      <c r="DX299" s="409"/>
      <c r="DY299" s="409"/>
      <c r="DZ299" s="409"/>
      <c r="EA299" s="409"/>
      <c r="EB299" s="409"/>
      <c r="EC299" s="409"/>
      <c r="ED299" s="409"/>
      <c r="EE299" s="409"/>
      <c r="EF299" s="409"/>
      <c r="EG299" s="409"/>
      <c r="EH299" s="409"/>
      <c r="EI299" s="409"/>
      <c r="EJ299" s="409"/>
      <c r="EK299" s="409"/>
      <c r="EL299" s="409"/>
      <c r="EM299" s="409"/>
      <c r="EN299" s="409"/>
      <c r="EO299" s="409"/>
      <c r="EP299" s="409"/>
      <c r="EQ299" s="409"/>
      <c r="ER299" s="409"/>
      <c r="ES299" s="409"/>
      <c r="ET299" s="409"/>
      <c r="EU299" s="409"/>
      <c r="EV299" s="409">
        <v>210</v>
      </c>
      <c r="EW299" s="409"/>
      <c r="EX299" s="409"/>
      <c r="EY299" s="409"/>
      <c r="EZ299" s="409"/>
      <c r="FA299" s="409">
        <v>0</v>
      </c>
      <c r="FB299" s="409"/>
      <c r="FC299" s="409"/>
      <c r="FD299" s="409"/>
      <c r="FE299" s="409"/>
      <c r="FF299" s="409">
        <v>0</v>
      </c>
      <c r="FG299" s="409">
        <v>0</v>
      </c>
      <c r="FH299" s="409">
        <v>0</v>
      </c>
      <c r="FI299" s="409">
        <v>0</v>
      </c>
    </row>
    <row r="300" spans="1:165">
      <c r="A300" s="409">
        <v>298</v>
      </c>
      <c r="B300" s="409" t="s">
        <v>1035</v>
      </c>
      <c r="C300" s="409" t="s">
        <v>2241</v>
      </c>
      <c r="D300" s="409" t="s">
        <v>1992</v>
      </c>
      <c r="E300" s="409" t="s">
        <v>2249</v>
      </c>
      <c r="F300" s="409" t="s">
        <v>1323</v>
      </c>
      <c r="G300" s="409" t="s">
        <v>1323</v>
      </c>
      <c r="H300" s="409" t="s">
        <v>1323</v>
      </c>
      <c r="I300" s="409" t="s">
        <v>1323</v>
      </c>
      <c r="J300" s="409" t="s">
        <v>2242</v>
      </c>
      <c r="K300" s="838">
        <v>44593</v>
      </c>
      <c r="L300" s="409">
        <v>0</v>
      </c>
      <c r="M300" s="409">
        <v>0</v>
      </c>
      <c r="N300" s="409">
        <v>12.324999999999999</v>
      </c>
      <c r="O300" s="409">
        <v>12.324999999999999</v>
      </c>
      <c r="P300" s="409">
        <v>12.324999999999999</v>
      </c>
      <c r="Q300" s="409">
        <v>12.324999999999999</v>
      </c>
      <c r="R300" s="409"/>
      <c r="S300" s="409">
        <v>358.62</v>
      </c>
      <c r="T300" s="409">
        <v>273.74</v>
      </c>
      <c r="U300" s="409"/>
      <c r="V300" s="409">
        <v>7793.8369999999995</v>
      </c>
      <c r="W300" s="409">
        <v>7793.8369999999995</v>
      </c>
      <c r="X300" s="409">
        <v>7556.950499999999</v>
      </c>
      <c r="Y300" s="409">
        <v>0</v>
      </c>
      <c r="Z300" s="409">
        <v>744.11463023170757</v>
      </c>
      <c r="AA300" s="409">
        <v>0</v>
      </c>
      <c r="AB300" s="409">
        <v>0</v>
      </c>
      <c r="AC300" s="409">
        <v>0</v>
      </c>
      <c r="AD300" s="409">
        <v>1061.0409806351574</v>
      </c>
      <c r="AE300" s="409">
        <v>2441.3260419379612</v>
      </c>
      <c r="AF300" s="409">
        <v>3373.8363756761314</v>
      </c>
      <c r="AG300" s="409">
        <v>0</v>
      </c>
      <c r="AH300" s="409">
        <v>0</v>
      </c>
      <c r="AI300" s="409">
        <v>0</v>
      </c>
      <c r="AJ300" s="409">
        <v>0</v>
      </c>
      <c r="AK300" s="409">
        <v>0</v>
      </c>
      <c r="AL300" s="409">
        <v>115.07296447028594</v>
      </c>
      <c r="AM300" s="409"/>
      <c r="AN300" s="409">
        <v>13.127251149555626</v>
      </c>
      <c r="AO300" s="409">
        <v>0</v>
      </c>
      <c r="AP300" s="409">
        <v>0</v>
      </c>
      <c r="AQ300" s="409">
        <v>0</v>
      </c>
      <c r="AR300" s="409">
        <v>0</v>
      </c>
      <c r="AS300" s="409">
        <v>0</v>
      </c>
      <c r="AT300" s="409">
        <v>0</v>
      </c>
      <c r="AU300" s="409">
        <v>0</v>
      </c>
      <c r="AV300" s="409">
        <v>0</v>
      </c>
      <c r="AW300" s="409">
        <v>0</v>
      </c>
      <c r="AX300" s="409">
        <v>0</v>
      </c>
      <c r="AY300" s="409">
        <v>0</v>
      </c>
      <c r="AZ300" s="409">
        <v>0</v>
      </c>
      <c r="BA300" s="409"/>
      <c r="BB300" s="409">
        <v>0</v>
      </c>
      <c r="BC300" s="409">
        <v>0</v>
      </c>
      <c r="BD300" s="409">
        <v>0</v>
      </c>
      <c r="BE300" s="409">
        <v>0</v>
      </c>
      <c r="BF300" s="409">
        <v>0</v>
      </c>
      <c r="BG300" s="409">
        <v>45.336603384753076</v>
      </c>
      <c r="BH300" s="409">
        <v>0</v>
      </c>
      <c r="BI300" s="409">
        <v>4.8</v>
      </c>
      <c r="BJ300" s="409">
        <v>22.17</v>
      </c>
      <c r="BK300" s="409">
        <v>1886.58</v>
      </c>
      <c r="BL300" s="409">
        <v>15</v>
      </c>
      <c r="BM300" s="409"/>
      <c r="BN300" s="409"/>
      <c r="BO300" s="409"/>
      <c r="BP300" s="409"/>
      <c r="BQ300" s="409"/>
      <c r="BR300" s="409"/>
      <c r="BS300" s="409"/>
      <c r="BT300" s="409"/>
      <c r="BU300" s="409"/>
      <c r="BV300" s="409">
        <v>3419.1729790608847</v>
      </c>
      <c r="BW300" s="409"/>
      <c r="BX300" s="409"/>
      <c r="BY300" s="409"/>
      <c r="BZ300" s="409"/>
      <c r="CA300" s="409"/>
      <c r="CB300" s="409"/>
      <c r="CC300" s="409"/>
      <c r="CD300" s="409"/>
      <c r="CE300" s="409"/>
      <c r="CF300" s="409"/>
      <c r="CG300" s="409"/>
      <c r="CH300" s="409"/>
      <c r="CI300" s="409">
        <v>7560.0162</v>
      </c>
      <c r="CJ300" s="409">
        <v>-233.85080000000016</v>
      </c>
      <c r="CK300" s="409"/>
      <c r="CL300" s="409"/>
      <c r="CM300" s="409"/>
      <c r="CN300" s="409"/>
      <c r="CO300" s="409">
        <v>-397.11150000000032</v>
      </c>
      <c r="CP300" s="409">
        <v>160.22499999999999</v>
      </c>
      <c r="CQ300" s="409">
        <v>29</v>
      </c>
      <c r="CR300" s="409">
        <v>151.12767387625718</v>
      </c>
      <c r="CS300" s="409">
        <v>0</v>
      </c>
      <c r="CT300" s="409">
        <v>0</v>
      </c>
      <c r="CU300" s="409">
        <v>0</v>
      </c>
      <c r="CV300" s="409">
        <v>0</v>
      </c>
      <c r="CW300" s="409">
        <v>0</v>
      </c>
      <c r="CX300" s="409">
        <v>0</v>
      </c>
      <c r="CY300" s="409">
        <v>0</v>
      </c>
      <c r="CZ300" s="409">
        <v>36.37083182472179</v>
      </c>
      <c r="DA300" s="409">
        <v>0</v>
      </c>
      <c r="DB300" s="409">
        <v>0</v>
      </c>
      <c r="DC300" s="409">
        <v>181.74762246227192</v>
      </c>
      <c r="DD300" s="409">
        <v>0</v>
      </c>
      <c r="DE300" s="409">
        <v>0</v>
      </c>
      <c r="DF300" s="409">
        <v>0</v>
      </c>
      <c r="DG300" s="409">
        <v>2.4422701513030205</v>
      </c>
      <c r="DH300" s="409">
        <v>0</v>
      </c>
      <c r="DI300" s="409">
        <v>-47.430815367791411</v>
      </c>
      <c r="DJ300" s="409"/>
      <c r="DK300" s="409">
        <v>0</v>
      </c>
      <c r="DL300" s="409">
        <v>0</v>
      </c>
      <c r="DM300" s="409">
        <v>0</v>
      </c>
      <c r="DN300" s="409">
        <v>0</v>
      </c>
      <c r="DO300" s="409">
        <v>-6.0334823884173261</v>
      </c>
      <c r="DP300" s="409">
        <v>-0.86612842309066984</v>
      </c>
      <c r="DQ300" s="409">
        <v>0</v>
      </c>
      <c r="DR300" s="409">
        <v>-15.102624382740199</v>
      </c>
      <c r="DS300" s="409"/>
      <c r="DT300" s="409"/>
      <c r="DU300" s="409"/>
      <c r="DV300" s="409">
        <v>2441.3260419379612</v>
      </c>
      <c r="DW300" s="409">
        <v>0</v>
      </c>
      <c r="DX300" s="409">
        <v>0</v>
      </c>
      <c r="DY300" s="409">
        <v>-397.11150000000043</v>
      </c>
      <c r="DZ300" s="409">
        <v>160.22499999999991</v>
      </c>
      <c r="EA300" s="409">
        <v>0</v>
      </c>
      <c r="EB300" s="409">
        <v>0</v>
      </c>
      <c r="EC300" s="409">
        <v>-388.05605371174079</v>
      </c>
      <c r="ED300" s="409">
        <v>0</v>
      </c>
      <c r="EE300" s="409">
        <v>0</v>
      </c>
      <c r="EF300" s="409">
        <v>0</v>
      </c>
      <c r="EG300" s="409">
        <v>0</v>
      </c>
      <c r="EH300" s="409">
        <v>0</v>
      </c>
      <c r="EI300" s="409">
        <v>0</v>
      </c>
      <c r="EJ300" s="409">
        <v>0</v>
      </c>
      <c r="EK300" s="409">
        <v>0</v>
      </c>
      <c r="EL300" s="409">
        <v>0</v>
      </c>
      <c r="EM300" s="409">
        <v>0</v>
      </c>
      <c r="EN300" s="409">
        <v>0</v>
      </c>
      <c r="EO300" s="409">
        <v>0</v>
      </c>
      <c r="EP300" s="409">
        <v>0</v>
      </c>
      <c r="EQ300" s="409">
        <v>0</v>
      </c>
      <c r="ER300" s="409">
        <v>0</v>
      </c>
      <c r="ES300" s="409">
        <v>0</v>
      </c>
      <c r="ET300" s="409">
        <v>0</v>
      </c>
      <c r="EU300" s="409">
        <v>0</v>
      </c>
      <c r="EV300" s="409">
        <v>210</v>
      </c>
      <c r="EW300" s="409">
        <v>0</v>
      </c>
      <c r="EX300" s="409">
        <v>0</v>
      </c>
      <c r="EY300" s="409">
        <v>0</v>
      </c>
      <c r="EZ300" s="409"/>
      <c r="FA300" s="409">
        <v>0</v>
      </c>
      <c r="FB300" s="409"/>
      <c r="FC300" s="409"/>
      <c r="FD300" s="409"/>
      <c r="FE300" s="409"/>
      <c r="FF300" s="409">
        <v>0</v>
      </c>
      <c r="FG300" s="409">
        <v>0</v>
      </c>
      <c r="FH300" s="409">
        <v>0</v>
      </c>
      <c r="FI300" s="409">
        <v>0</v>
      </c>
    </row>
    <row r="301" spans="1:165">
      <c r="A301" s="409">
        <v>299</v>
      </c>
      <c r="B301" s="409" t="s">
        <v>1035</v>
      </c>
      <c r="C301" s="409" t="s">
        <v>2241</v>
      </c>
      <c r="D301" s="409" t="s">
        <v>2250</v>
      </c>
      <c r="E301" s="409" t="s">
        <v>2251</v>
      </c>
      <c r="F301" s="409" t="s">
        <v>2252</v>
      </c>
      <c r="G301" s="409" t="s">
        <v>1323</v>
      </c>
      <c r="H301" s="409" t="s">
        <v>1323</v>
      </c>
      <c r="I301" s="409" t="s">
        <v>1323</v>
      </c>
      <c r="J301" s="409" t="s">
        <v>2242</v>
      </c>
      <c r="K301" s="838">
        <v>44593</v>
      </c>
      <c r="L301" s="409">
        <v>0</v>
      </c>
      <c r="M301" s="409">
        <v>0</v>
      </c>
      <c r="N301" s="409">
        <v>20.052</v>
      </c>
      <c r="O301" s="409">
        <v>20.052</v>
      </c>
      <c r="P301" s="409">
        <v>20.052</v>
      </c>
      <c r="Q301" s="409">
        <v>20.052</v>
      </c>
      <c r="R301" s="409"/>
      <c r="S301" s="409">
        <v>215.17</v>
      </c>
      <c r="T301" s="409">
        <v>164.24</v>
      </c>
      <c r="U301" s="409"/>
      <c r="V301" s="409">
        <v>7607.9293199999993</v>
      </c>
      <c r="W301" s="409">
        <v>7607.9293199999993</v>
      </c>
      <c r="X301" s="409">
        <v>7376.9302800000005</v>
      </c>
      <c r="Y301" s="409">
        <v>0</v>
      </c>
      <c r="Z301" s="409">
        <v>726.37662793052459</v>
      </c>
      <c r="AA301" s="409">
        <v>0</v>
      </c>
      <c r="AB301" s="409">
        <v>0</v>
      </c>
      <c r="AC301" s="409">
        <v>0</v>
      </c>
      <c r="AD301" s="409">
        <v>1035.748174135312</v>
      </c>
      <c r="AE301" s="409">
        <v>2383.1303753155416</v>
      </c>
      <c r="AF301" s="409">
        <v>3293.4117811792798</v>
      </c>
      <c r="AG301" s="409">
        <v>0</v>
      </c>
      <c r="AH301" s="409">
        <v>0</v>
      </c>
      <c r="AI301" s="409">
        <v>0</v>
      </c>
      <c r="AJ301" s="409">
        <v>0</v>
      </c>
      <c r="AK301" s="409">
        <v>0</v>
      </c>
      <c r="AL301" s="409">
        <v>112.32988642068175</v>
      </c>
      <c r="AM301" s="409"/>
      <c r="AN301" s="409">
        <v>12.814327304708593</v>
      </c>
      <c r="AO301" s="409">
        <v>0</v>
      </c>
      <c r="AP301" s="409">
        <v>0</v>
      </c>
      <c r="AQ301" s="409">
        <v>0</v>
      </c>
      <c r="AR301" s="409">
        <v>0</v>
      </c>
      <c r="AS301" s="409">
        <v>0</v>
      </c>
      <c r="AT301" s="409">
        <v>0</v>
      </c>
      <c r="AU301" s="409">
        <v>0</v>
      </c>
      <c r="AV301" s="409">
        <v>0</v>
      </c>
      <c r="AW301" s="409">
        <v>0</v>
      </c>
      <c r="AX301" s="409">
        <v>0</v>
      </c>
      <c r="AY301" s="409">
        <v>0</v>
      </c>
      <c r="AZ301" s="409">
        <v>0</v>
      </c>
      <c r="BA301" s="409"/>
      <c r="BB301" s="409">
        <v>0</v>
      </c>
      <c r="BC301" s="409">
        <v>0</v>
      </c>
      <c r="BD301" s="409">
        <v>0</v>
      </c>
      <c r="BE301" s="409">
        <v>0</v>
      </c>
      <c r="BF301" s="409">
        <v>0</v>
      </c>
      <c r="BG301" s="409">
        <v>44.255881755995354</v>
      </c>
      <c r="BH301" s="409">
        <v>0</v>
      </c>
      <c r="BI301" s="409">
        <v>0</v>
      </c>
      <c r="BJ301" s="409">
        <v>0</v>
      </c>
      <c r="BK301" s="409">
        <v>2244.3000000000002</v>
      </c>
      <c r="BL301" s="409">
        <v>6</v>
      </c>
      <c r="BM301" s="409"/>
      <c r="BN301" s="409"/>
      <c r="BO301" s="409"/>
      <c r="BP301" s="409"/>
      <c r="BQ301" s="409"/>
      <c r="BR301" s="409"/>
      <c r="BS301" s="409"/>
      <c r="BT301" s="409"/>
      <c r="BU301" s="409"/>
      <c r="BV301" s="409">
        <v>3337.6676629352751</v>
      </c>
      <c r="BW301" s="409"/>
      <c r="BX301" s="409"/>
      <c r="BY301" s="409"/>
      <c r="BZ301" s="409"/>
      <c r="CA301" s="409"/>
      <c r="CB301" s="409"/>
      <c r="CC301" s="409"/>
      <c r="CD301" s="409"/>
      <c r="CE301" s="409"/>
      <c r="CF301" s="409"/>
      <c r="CG301" s="409"/>
      <c r="CH301" s="409"/>
      <c r="CI301" s="409">
        <v>7376.1945000000005</v>
      </c>
      <c r="CJ301" s="409">
        <v>-231.76481999999942</v>
      </c>
      <c r="CK301" s="409"/>
      <c r="CL301" s="409"/>
      <c r="CM301" s="409"/>
      <c r="CN301" s="409"/>
      <c r="CO301" s="409">
        <v>-387.60515999999967</v>
      </c>
      <c r="CP301" s="409">
        <v>156.60612000000003</v>
      </c>
      <c r="CQ301" s="409">
        <v>29</v>
      </c>
      <c r="CR301" s="409">
        <v>147.52513346369142</v>
      </c>
      <c r="CS301" s="409">
        <v>0</v>
      </c>
      <c r="CT301" s="409">
        <v>0</v>
      </c>
      <c r="CU301" s="409">
        <v>0</v>
      </c>
      <c r="CV301" s="409">
        <v>0</v>
      </c>
      <c r="CW301" s="409">
        <v>0</v>
      </c>
      <c r="CX301" s="409">
        <v>0</v>
      </c>
      <c r="CY301" s="409">
        <v>0</v>
      </c>
      <c r="CZ301" s="409">
        <v>35.503833821466515</v>
      </c>
      <c r="DA301" s="409">
        <v>0</v>
      </c>
      <c r="DB301" s="409">
        <v>0</v>
      </c>
      <c r="DC301" s="409">
        <v>177.41517203797866</v>
      </c>
      <c r="DD301" s="409">
        <v>0</v>
      </c>
      <c r="DE301" s="409">
        <v>0</v>
      </c>
      <c r="DF301" s="409">
        <v>0</v>
      </c>
      <c r="DG301" s="409">
        <v>2.3840519792581176</v>
      </c>
      <c r="DH301" s="409">
        <v>0</v>
      </c>
      <c r="DI301" s="409">
        <v>-46.300172482999415</v>
      </c>
      <c r="DJ301" s="409"/>
      <c r="DK301" s="409">
        <v>0</v>
      </c>
      <c r="DL301" s="409">
        <v>0</v>
      </c>
      <c r="DM301" s="409">
        <v>0</v>
      </c>
      <c r="DN301" s="409">
        <v>0</v>
      </c>
      <c r="DO301" s="409">
        <v>-5.8896578751743789</v>
      </c>
      <c r="DP301" s="409">
        <v>-0.84548188915927547</v>
      </c>
      <c r="DQ301" s="409">
        <v>0</v>
      </c>
      <c r="DR301" s="409">
        <v>-14.742612127677354</v>
      </c>
      <c r="DS301" s="409"/>
      <c r="DT301" s="409"/>
      <c r="DU301" s="409"/>
      <c r="DV301" s="409">
        <v>2383.1303753155416</v>
      </c>
      <c r="DW301" s="409">
        <v>0</v>
      </c>
      <c r="DX301" s="409">
        <v>0</v>
      </c>
      <c r="DY301" s="409">
        <v>-387.60515999999961</v>
      </c>
      <c r="DZ301" s="409">
        <v>156.60611999999992</v>
      </c>
      <c r="EA301" s="409">
        <v>0</v>
      </c>
      <c r="EB301" s="409">
        <v>0</v>
      </c>
      <c r="EC301" s="409">
        <v>-378.80567897904029</v>
      </c>
      <c r="ED301" s="409">
        <v>0</v>
      </c>
      <c r="EE301" s="409">
        <v>0</v>
      </c>
      <c r="EF301" s="409">
        <v>0</v>
      </c>
      <c r="EG301" s="409">
        <v>0</v>
      </c>
      <c r="EH301" s="409">
        <v>0</v>
      </c>
      <c r="EI301" s="409">
        <v>0</v>
      </c>
      <c r="EJ301" s="409">
        <v>0</v>
      </c>
      <c r="EK301" s="409">
        <v>0</v>
      </c>
      <c r="EL301" s="409">
        <v>0</v>
      </c>
      <c r="EM301" s="409">
        <v>0</v>
      </c>
      <c r="EN301" s="409">
        <v>0</v>
      </c>
      <c r="EO301" s="409">
        <v>0</v>
      </c>
      <c r="EP301" s="409">
        <v>0</v>
      </c>
      <c r="EQ301" s="409">
        <v>0</v>
      </c>
      <c r="ER301" s="409">
        <v>0</v>
      </c>
      <c r="ES301" s="409">
        <v>0</v>
      </c>
      <c r="ET301" s="409">
        <v>0</v>
      </c>
      <c r="EU301" s="409">
        <v>0</v>
      </c>
      <c r="EV301" s="409">
        <v>210</v>
      </c>
      <c r="EW301" s="409">
        <v>0</v>
      </c>
      <c r="EX301" s="409">
        <v>0</v>
      </c>
      <c r="EY301" s="409">
        <v>0</v>
      </c>
      <c r="EZ301" s="409"/>
      <c r="FA301" s="409">
        <v>0</v>
      </c>
      <c r="FB301" s="409"/>
      <c r="FC301" s="409"/>
      <c r="FD301" s="409"/>
      <c r="FE301" s="409"/>
      <c r="FF301" s="409">
        <v>0</v>
      </c>
      <c r="FG301" s="409">
        <v>0</v>
      </c>
      <c r="FH301" s="409">
        <v>0</v>
      </c>
      <c r="FI301" s="409">
        <v>0</v>
      </c>
    </row>
    <row r="302" spans="1:165">
      <c r="A302" s="409">
        <v>300</v>
      </c>
      <c r="B302" s="409" t="s">
        <v>1035</v>
      </c>
      <c r="C302" s="409" t="s">
        <v>2241</v>
      </c>
      <c r="D302" s="409" t="s">
        <v>1992</v>
      </c>
      <c r="E302" s="409" t="s">
        <v>1000</v>
      </c>
      <c r="F302" s="409" t="s">
        <v>2253</v>
      </c>
      <c r="G302" s="409" t="s">
        <v>1323</v>
      </c>
      <c r="H302" s="409" t="s">
        <v>1323</v>
      </c>
      <c r="I302" s="409" t="s">
        <v>1323</v>
      </c>
      <c r="J302" s="409" t="s">
        <v>2242</v>
      </c>
      <c r="K302" s="838">
        <v>44593</v>
      </c>
      <c r="L302" s="409">
        <v>0</v>
      </c>
      <c r="M302" s="409">
        <v>0</v>
      </c>
      <c r="N302" s="409">
        <v>2.7570000000000001</v>
      </c>
      <c r="O302" s="409">
        <v>2.59158</v>
      </c>
      <c r="P302" s="409">
        <v>2.7570000000000001</v>
      </c>
      <c r="Q302" s="409">
        <v>2.59158</v>
      </c>
      <c r="R302" s="409"/>
      <c r="S302" s="409">
        <v>358.62</v>
      </c>
      <c r="T302" s="409">
        <v>273.74</v>
      </c>
      <c r="U302" s="409"/>
      <c r="V302" s="409">
        <v>1743.4165200000002</v>
      </c>
      <c r="W302" s="409">
        <v>1743.4165200000002</v>
      </c>
      <c r="X302" s="409">
        <v>1690.42698</v>
      </c>
      <c r="Y302" s="409">
        <v>0</v>
      </c>
      <c r="Z302" s="409">
        <v>166.4522544055836</v>
      </c>
      <c r="AA302" s="409">
        <v>0</v>
      </c>
      <c r="AB302" s="409">
        <v>0</v>
      </c>
      <c r="AC302" s="409">
        <v>0</v>
      </c>
      <c r="AD302" s="409">
        <v>237.34604329502062</v>
      </c>
      <c r="AE302" s="409">
        <v>546.10433246433752</v>
      </c>
      <c r="AF302" s="409">
        <v>754.69913896463243</v>
      </c>
      <c r="AG302" s="409">
        <v>0</v>
      </c>
      <c r="AH302" s="409">
        <v>0</v>
      </c>
      <c r="AI302" s="409">
        <v>0</v>
      </c>
      <c r="AJ302" s="409">
        <v>0</v>
      </c>
      <c r="AK302" s="409">
        <v>0</v>
      </c>
      <c r="AL302" s="409">
        <v>25.740865155746725</v>
      </c>
      <c r="AM302" s="409"/>
      <c r="AN302" s="409">
        <v>2.9364569102900497</v>
      </c>
      <c r="AO302" s="409">
        <v>0</v>
      </c>
      <c r="AP302" s="409">
        <v>0</v>
      </c>
      <c r="AQ302" s="409">
        <v>0</v>
      </c>
      <c r="AR302" s="409">
        <v>0</v>
      </c>
      <c r="AS302" s="409">
        <v>0</v>
      </c>
      <c r="AT302" s="409">
        <v>0</v>
      </c>
      <c r="AU302" s="409">
        <v>0</v>
      </c>
      <c r="AV302" s="409">
        <v>0</v>
      </c>
      <c r="AW302" s="409">
        <v>0</v>
      </c>
      <c r="AX302" s="409">
        <v>0</v>
      </c>
      <c r="AY302" s="409">
        <v>0</v>
      </c>
      <c r="AZ302" s="409">
        <v>0</v>
      </c>
      <c r="BA302" s="409"/>
      <c r="BB302" s="409">
        <v>0</v>
      </c>
      <c r="BC302" s="409">
        <v>0</v>
      </c>
      <c r="BD302" s="409">
        <v>0</v>
      </c>
      <c r="BE302" s="409">
        <v>0</v>
      </c>
      <c r="BF302" s="409">
        <v>0</v>
      </c>
      <c r="BG302" s="409">
        <v>10.141421138479858</v>
      </c>
      <c r="BH302" s="409">
        <v>0</v>
      </c>
      <c r="BI302" s="409">
        <v>0</v>
      </c>
      <c r="BJ302" s="409">
        <v>0</v>
      </c>
      <c r="BK302" s="409">
        <v>388.43</v>
      </c>
      <c r="BL302" s="409">
        <v>3</v>
      </c>
      <c r="BM302" s="409"/>
      <c r="BN302" s="409"/>
      <c r="BO302" s="409"/>
      <c r="BP302" s="409"/>
      <c r="BQ302" s="409">
        <v>101.42561880000008</v>
      </c>
      <c r="BR302" s="409"/>
      <c r="BS302" s="409"/>
      <c r="BT302" s="409"/>
      <c r="BU302" s="409"/>
      <c r="BV302" s="409">
        <v>764.84056010311224</v>
      </c>
      <c r="BW302" s="409"/>
      <c r="BX302" s="409"/>
      <c r="BY302" s="409"/>
      <c r="BZ302" s="409"/>
      <c r="CA302" s="409"/>
      <c r="CB302" s="409"/>
      <c r="CC302" s="409"/>
      <c r="CD302" s="409"/>
      <c r="CE302" s="409"/>
      <c r="CF302" s="409"/>
      <c r="CG302" s="409"/>
      <c r="CH302" s="409"/>
      <c r="CI302" s="409">
        <v>1588.0326</v>
      </c>
      <c r="CJ302" s="409">
        <v>-50.808928799999876</v>
      </c>
      <c r="CK302" s="409"/>
      <c r="CL302" s="409"/>
      <c r="CM302" s="409"/>
      <c r="CN302" s="409"/>
      <c r="CO302" s="409">
        <v>-88.830540000000084</v>
      </c>
      <c r="CP302" s="409">
        <v>35.841000000000001</v>
      </c>
      <c r="CQ302" s="409">
        <v>29</v>
      </c>
      <c r="CR302" s="409">
        <v>33.806003803395242</v>
      </c>
      <c r="CS302" s="409">
        <v>0</v>
      </c>
      <c r="CT302" s="409">
        <v>0</v>
      </c>
      <c r="CU302" s="409">
        <v>0</v>
      </c>
      <c r="CV302" s="409">
        <v>0</v>
      </c>
      <c r="CW302" s="409">
        <v>0</v>
      </c>
      <c r="CX302" s="409">
        <v>0</v>
      </c>
      <c r="CY302" s="409">
        <v>0</v>
      </c>
      <c r="CZ302" s="409">
        <v>8.1358526037126353</v>
      </c>
      <c r="DA302" s="409">
        <v>0</v>
      </c>
      <c r="DB302" s="409">
        <v>0</v>
      </c>
      <c r="DC302" s="409">
        <v>40.655431653426717</v>
      </c>
      <c r="DD302" s="409">
        <v>0</v>
      </c>
      <c r="DE302" s="409">
        <v>0</v>
      </c>
      <c r="DF302" s="409">
        <v>0</v>
      </c>
      <c r="DG302" s="409">
        <v>0.54631552187768051</v>
      </c>
      <c r="DH302" s="409">
        <v>0</v>
      </c>
      <c r="DI302" s="409">
        <v>-10.609878942718126</v>
      </c>
      <c r="DJ302" s="409"/>
      <c r="DK302" s="409">
        <v>0</v>
      </c>
      <c r="DL302" s="409">
        <v>0</v>
      </c>
      <c r="DM302" s="409">
        <v>0</v>
      </c>
      <c r="DN302" s="409">
        <v>0</v>
      </c>
      <c r="DO302" s="409">
        <v>-1.3496398332548942</v>
      </c>
      <c r="DP302" s="409">
        <v>-0.19374572514896338</v>
      </c>
      <c r="DQ302" s="409">
        <v>0</v>
      </c>
      <c r="DR302" s="409">
        <v>-3.3783314745001807</v>
      </c>
      <c r="DS302" s="409"/>
      <c r="DT302" s="409"/>
      <c r="DU302" s="409"/>
      <c r="DV302" s="409">
        <v>546.10433246433752</v>
      </c>
      <c r="DW302" s="409">
        <v>0</v>
      </c>
      <c r="DX302" s="409">
        <v>0</v>
      </c>
      <c r="DY302" s="409">
        <v>-88.830540000000155</v>
      </c>
      <c r="DZ302" s="409">
        <v>35.841000000000008</v>
      </c>
      <c r="EA302" s="409">
        <v>0</v>
      </c>
      <c r="EB302" s="409">
        <v>0</v>
      </c>
      <c r="EC302" s="409">
        <v>-86.804911974301831</v>
      </c>
      <c r="ED302" s="409">
        <v>0</v>
      </c>
      <c r="EE302" s="409">
        <v>0</v>
      </c>
      <c r="EF302" s="409">
        <v>0</v>
      </c>
      <c r="EG302" s="409">
        <v>0</v>
      </c>
      <c r="EH302" s="409">
        <v>0</v>
      </c>
      <c r="EI302" s="409">
        <v>0</v>
      </c>
      <c r="EJ302" s="409">
        <v>0</v>
      </c>
      <c r="EK302" s="409">
        <v>0</v>
      </c>
      <c r="EL302" s="409">
        <v>0</v>
      </c>
      <c r="EM302" s="409">
        <v>0</v>
      </c>
      <c r="EN302" s="409">
        <v>0</v>
      </c>
      <c r="EO302" s="409">
        <v>0</v>
      </c>
      <c r="EP302" s="409">
        <v>0</v>
      </c>
      <c r="EQ302" s="409">
        <v>0</v>
      </c>
      <c r="ER302" s="409">
        <v>0</v>
      </c>
      <c r="ES302" s="409">
        <v>0</v>
      </c>
      <c r="ET302" s="409">
        <v>0</v>
      </c>
      <c r="EU302" s="409">
        <v>0</v>
      </c>
      <c r="EV302" s="409">
        <v>210</v>
      </c>
      <c r="EW302" s="409">
        <v>0</v>
      </c>
      <c r="EX302" s="409">
        <v>0</v>
      </c>
      <c r="EY302" s="409">
        <v>0</v>
      </c>
      <c r="EZ302" s="409"/>
      <c r="FA302" s="409">
        <v>0</v>
      </c>
      <c r="FB302" s="409"/>
      <c r="FC302" s="409"/>
      <c r="FD302" s="409"/>
      <c r="FE302" s="409"/>
      <c r="FF302" s="409">
        <v>0</v>
      </c>
      <c r="FG302" s="409">
        <v>0</v>
      </c>
      <c r="FH302" s="409">
        <v>0</v>
      </c>
      <c r="FI302" s="409">
        <v>0</v>
      </c>
    </row>
    <row r="303" spans="1:165">
      <c r="A303" s="409">
        <v>301</v>
      </c>
      <c r="B303" s="409" t="s">
        <v>1035</v>
      </c>
      <c r="C303" s="409" t="s">
        <v>2246</v>
      </c>
      <c r="D303" s="409" t="s">
        <v>595</v>
      </c>
      <c r="E303" s="409" t="s">
        <v>1000</v>
      </c>
      <c r="F303" s="409" t="s">
        <v>2253</v>
      </c>
      <c r="G303" s="409" t="s">
        <v>1323</v>
      </c>
      <c r="H303" s="409" t="s">
        <v>1323</v>
      </c>
      <c r="I303" s="409" t="s">
        <v>972</v>
      </c>
      <c r="J303" s="409" t="s">
        <v>2242</v>
      </c>
      <c r="K303" s="838">
        <v>44593</v>
      </c>
      <c r="L303" s="409">
        <v>0</v>
      </c>
      <c r="M303" s="409">
        <v>0</v>
      </c>
      <c r="N303" s="409">
        <v>7.1740000000000004</v>
      </c>
      <c r="O303" s="409">
        <v>6.7435599999999996</v>
      </c>
      <c r="P303" s="409">
        <v>7.1740000000000004</v>
      </c>
      <c r="Q303" s="409">
        <v>6.7435599999999996</v>
      </c>
      <c r="R303" s="409"/>
      <c r="S303" s="409">
        <v>1856.88</v>
      </c>
      <c r="T303" s="409">
        <v>273.74</v>
      </c>
      <c r="U303" s="409"/>
      <c r="V303" s="409">
        <v>15285.067880000002</v>
      </c>
      <c r="W303" s="409">
        <v>15285.067880000002</v>
      </c>
      <c r="X303" s="409">
        <v>14005.58498</v>
      </c>
      <c r="Y303" s="409">
        <v>0</v>
      </c>
      <c r="Z303" s="409">
        <v>376.81964874933658</v>
      </c>
      <c r="AA303" s="409">
        <v>0</v>
      </c>
      <c r="AB303" s="409">
        <v>0</v>
      </c>
      <c r="AC303" s="409">
        <v>0</v>
      </c>
      <c r="AD303" s="409">
        <v>3515.9190784314324</v>
      </c>
      <c r="AE303" s="409">
        <v>9343.2850313705549</v>
      </c>
      <c r="AF303" s="409">
        <v>1963.8054490142449</v>
      </c>
      <c r="AG303" s="409">
        <v>0</v>
      </c>
      <c r="AH303" s="409">
        <v>0</v>
      </c>
      <c r="AI303" s="409">
        <v>0</v>
      </c>
      <c r="AJ303" s="409">
        <v>0</v>
      </c>
      <c r="AK303" s="409">
        <v>0</v>
      </c>
      <c r="AL303" s="409">
        <v>66.980401388221622</v>
      </c>
      <c r="AM303" s="409"/>
      <c r="AN303" s="409">
        <v>6.227662667540641</v>
      </c>
      <c r="AO303" s="409">
        <v>0</v>
      </c>
      <c r="AP303" s="409">
        <v>0</v>
      </c>
      <c r="AQ303" s="409">
        <v>0</v>
      </c>
      <c r="AR303" s="409">
        <v>0</v>
      </c>
      <c r="AS303" s="409">
        <v>0</v>
      </c>
      <c r="AT303" s="409">
        <v>0</v>
      </c>
      <c r="AU303" s="409">
        <v>0</v>
      </c>
      <c r="AV303" s="409">
        <v>0</v>
      </c>
      <c r="AW303" s="409">
        <v>0</v>
      </c>
      <c r="AX303" s="409">
        <v>0</v>
      </c>
      <c r="AY303" s="409">
        <v>0</v>
      </c>
      <c r="AZ303" s="409">
        <v>0</v>
      </c>
      <c r="BA303" s="409"/>
      <c r="BB303" s="409">
        <v>0</v>
      </c>
      <c r="BC303" s="409">
        <v>0</v>
      </c>
      <c r="BD303" s="409">
        <v>0</v>
      </c>
      <c r="BE303" s="409">
        <v>0</v>
      </c>
      <c r="BF303" s="409">
        <v>0</v>
      </c>
      <c r="BG303" s="409">
        <v>12.004439813092757</v>
      </c>
      <c r="BH303" s="409">
        <v>0</v>
      </c>
      <c r="BI303" s="409">
        <v>0</v>
      </c>
      <c r="BJ303" s="409">
        <v>0</v>
      </c>
      <c r="BK303" s="409">
        <v>0</v>
      </c>
      <c r="BL303" s="409">
        <v>0</v>
      </c>
      <c r="BM303" s="409"/>
      <c r="BN303" s="409"/>
      <c r="BO303" s="409"/>
      <c r="BP303" s="409"/>
      <c r="BQ303" s="409">
        <v>840.33509880000156</v>
      </c>
      <c r="BR303" s="409"/>
      <c r="BS303" s="409"/>
      <c r="BT303" s="409"/>
      <c r="BU303" s="409"/>
      <c r="BV303" s="409">
        <v>1975.8098888273378</v>
      </c>
      <c r="BW303" s="409"/>
      <c r="BX303" s="409"/>
      <c r="BY303" s="409"/>
      <c r="BZ303" s="409"/>
      <c r="CA303" s="409"/>
      <c r="CB303" s="409"/>
      <c r="CC303" s="409"/>
      <c r="CD303" s="409"/>
      <c r="CE303" s="409"/>
      <c r="CF303" s="409"/>
      <c r="CG303" s="409"/>
      <c r="CH303" s="409"/>
      <c r="CI303" s="409">
        <v>13158.299800000001</v>
      </c>
      <c r="CJ303" s="409">
        <v>-1209.6940071999998</v>
      </c>
      <c r="CK303" s="409"/>
      <c r="CL303" s="409"/>
      <c r="CM303" s="409"/>
      <c r="CN303" s="409"/>
      <c r="CO303" s="409">
        <v>-1372.7449000000011</v>
      </c>
      <c r="CP303" s="409">
        <v>93.262</v>
      </c>
      <c r="CQ303" s="409">
        <v>29</v>
      </c>
      <c r="CR303" s="409">
        <v>205.73723024873834</v>
      </c>
      <c r="CS303" s="409">
        <v>0</v>
      </c>
      <c r="CT303" s="409">
        <v>0</v>
      </c>
      <c r="CU303" s="409">
        <v>0</v>
      </c>
      <c r="CV303" s="409">
        <v>0</v>
      </c>
      <c r="CW303" s="409">
        <v>0</v>
      </c>
      <c r="CX303" s="409">
        <v>0</v>
      </c>
      <c r="CY303" s="409">
        <v>0</v>
      </c>
      <c r="CZ303" s="409">
        <v>120.52022857251632</v>
      </c>
      <c r="DA303" s="409">
        <v>0</v>
      </c>
      <c r="DB303" s="409">
        <v>0</v>
      </c>
      <c r="DC303" s="409">
        <v>105.78965059183292</v>
      </c>
      <c r="DD303" s="409">
        <v>0</v>
      </c>
      <c r="DE303" s="409">
        <v>0</v>
      </c>
      <c r="DF303" s="409">
        <v>0</v>
      </c>
      <c r="DG303" s="409">
        <v>0.64667581710570232</v>
      </c>
      <c r="DH303" s="409">
        <v>0</v>
      </c>
      <c r="DI303" s="409">
        <v>-24.018964902249536</v>
      </c>
      <c r="DJ303" s="409"/>
      <c r="DK303" s="409">
        <v>0</v>
      </c>
      <c r="DL303" s="409">
        <v>0</v>
      </c>
      <c r="DM303" s="409">
        <v>0</v>
      </c>
      <c r="DN303" s="409">
        <v>0</v>
      </c>
      <c r="DO303" s="409">
        <v>-3.5119028522925717</v>
      </c>
      <c r="DP303" s="409">
        <v>-0.41089757362950152</v>
      </c>
      <c r="DQ303" s="409">
        <v>0</v>
      </c>
      <c r="DR303" s="409">
        <v>6.7224405954538682</v>
      </c>
      <c r="DS303" s="409"/>
      <c r="DT303" s="409"/>
      <c r="DU303" s="409"/>
      <c r="DV303" s="409">
        <v>9343.2850313705549</v>
      </c>
      <c r="DW303" s="409">
        <v>0</v>
      </c>
      <c r="DX303" s="409">
        <v>0</v>
      </c>
      <c r="DY303" s="409">
        <v>-1372.7449000000015</v>
      </c>
      <c r="DZ303" s="409">
        <v>93.261999999999944</v>
      </c>
      <c r="EA303" s="409">
        <v>0</v>
      </c>
      <c r="EB303" s="409">
        <v>0</v>
      </c>
      <c r="EC303" s="409">
        <v>-1485.1430147770488</v>
      </c>
      <c r="ED303" s="409">
        <v>0</v>
      </c>
      <c r="EE303" s="409">
        <v>0</v>
      </c>
      <c r="EF303" s="409">
        <v>0</v>
      </c>
      <c r="EG303" s="409">
        <v>0</v>
      </c>
      <c r="EH303" s="409">
        <v>0</v>
      </c>
      <c r="EI303" s="409">
        <v>0</v>
      </c>
      <c r="EJ303" s="409">
        <v>0</v>
      </c>
      <c r="EK303" s="409">
        <v>0</v>
      </c>
      <c r="EL303" s="409">
        <v>0</v>
      </c>
      <c r="EM303" s="409">
        <v>0</v>
      </c>
      <c r="EN303" s="409">
        <v>0</v>
      </c>
      <c r="EO303" s="409">
        <v>0</v>
      </c>
      <c r="EP303" s="409">
        <v>0</v>
      </c>
      <c r="EQ303" s="409">
        <v>0</v>
      </c>
      <c r="ER303" s="409">
        <v>0</v>
      </c>
      <c r="ES303" s="409">
        <v>0</v>
      </c>
      <c r="ET303" s="409">
        <v>0</v>
      </c>
      <c r="EU303" s="409">
        <v>0</v>
      </c>
      <c r="EV303" s="409">
        <v>210</v>
      </c>
      <c r="EW303" s="409">
        <v>0</v>
      </c>
      <c r="EX303" s="409">
        <v>0</v>
      </c>
      <c r="EY303" s="409">
        <v>0</v>
      </c>
      <c r="EZ303" s="409"/>
      <c r="FA303" s="409">
        <v>0</v>
      </c>
      <c r="FB303" s="409"/>
      <c r="FC303" s="409"/>
      <c r="FD303" s="409"/>
      <c r="FE303" s="409"/>
      <c r="FF303" s="409">
        <v>0</v>
      </c>
      <c r="FG303" s="409">
        <v>0</v>
      </c>
      <c r="FH303" s="409">
        <v>0</v>
      </c>
      <c r="FI303" s="409">
        <v>0</v>
      </c>
    </row>
    <row r="304" spans="1:165">
      <c r="A304" s="409">
        <v>302</v>
      </c>
      <c r="B304" s="409" t="s">
        <v>1035</v>
      </c>
      <c r="C304" s="409" t="s">
        <v>2246</v>
      </c>
      <c r="D304" s="409" t="s">
        <v>595</v>
      </c>
      <c r="E304" s="409" t="s">
        <v>1000</v>
      </c>
      <c r="F304" s="409" t="s">
        <v>2253</v>
      </c>
      <c r="G304" s="409" t="s">
        <v>1323</v>
      </c>
      <c r="H304" s="409" t="s">
        <v>1323</v>
      </c>
      <c r="I304" s="409" t="s">
        <v>2234</v>
      </c>
      <c r="J304" s="409" t="s">
        <v>2242</v>
      </c>
      <c r="K304" s="838">
        <v>44593</v>
      </c>
      <c r="L304" s="409">
        <v>0</v>
      </c>
      <c r="M304" s="409">
        <v>0</v>
      </c>
      <c r="N304" s="409">
        <v>65.638999999999996</v>
      </c>
      <c r="O304" s="409">
        <v>61.700659999999992</v>
      </c>
      <c r="P304" s="409">
        <v>65.638999999999996</v>
      </c>
      <c r="Q304" s="409">
        <v>61.700659999999992</v>
      </c>
      <c r="R304" s="409"/>
      <c r="S304" s="409">
        <v>64.400000000000006</v>
      </c>
      <c r="T304" s="409">
        <v>273.74</v>
      </c>
      <c r="U304" s="409"/>
      <c r="V304" s="409">
        <v>22195.171460000001</v>
      </c>
      <c r="W304" s="409">
        <v>22195.171460000001</v>
      </c>
      <c r="X304" s="409">
        <v>22804.957770000001</v>
      </c>
      <c r="Y304" s="409">
        <v>0</v>
      </c>
      <c r="Z304" s="409">
        <v>3447.736956266755</v>
      </c>
      <c r="AA304" s="409">
        <v>0</v>
      </c>
      <c r="AB304" s="409">
        <v>0</v>
      </c>
      <c r="AC304" s="409">
        <v>0</v>
      </c>
      <c r="AD304" s="409">
        <v>0</v>
      </c>
      <c r="AE304" s="409">
        <v>0</v>
      </c>
      <c r="AF304" s="409">
        <v>17967.971266775301</v>
      </c>
      <c r="AG304" s="409">
        <v>0</v>
      </c>
      <c r="AH304" s="409">
        <v>0</v>
      </c>
      <c r="AI304" s="409">
        <v>0</v>
      </c>
      <c r="AJ304" s="409">
        <v>0</v>
      </c>
      <c r="AK304" s="409">
        <v>0</v>
      </c>
      <c r="AL304" s="409">
        <v>612.84172940081942</v>
      </c>
      <c r="AM304" s="409"/>
      <c r="AN304" s="409">
        <v>56.980422335475339</v>
      </c>
      <c r="AO304" s="409">
        <v>0</v>
      </c>
      <c r="AP304" s="409">
        <v>0</v>
      </c>
      <c r="AQ304" s="409">
        <v>0</v>
      </c>
      <c r="AR304" s="409">
        <v>0</v>
      </c>
      <c r="AS304" s="409">
        <v>0</v>
      </c>
      <c r="AT304" s="409">
        <v>0</v>
      </c>
      <c r="AU304" s="409">
        <v>0</v>
      </c>
      <c r="AV304" s="409">
        <v>0</v>
      </c>
      <c r="AW304" s="409">
        <v>0</v>
      </c>
      <c r="AX304" s="409">
        <v>0</v>
      </c>
      <c r="AY304" s="409">
        <v>0</v>
      </c>
      <c r="AZ304" s="409">
        <v>0</v>
      </c>
      <c r="BA304" s="409"/>
      <c r="BB304" s="409">
        <v>0</v>
      </c>
      <c r="BC304" s="409">
        <v>0</v>
      </c>
      <c r="BD304" s="409">
        <v>0</v>
      </c>
      <c r="BE304" s="409">
        <v>0</v>
      </c>
      <c r="BF304" s="409">
        <v>0</v>
      </c>
      <c r="BG304" s="409">
        <v>109.83543697959234</v>
      </c>
      <c r="BH304" s="409">
        <v>0</v>
      </c>
      <c r="BI304" s="409">
        <v>0</v>
      </c>
      <c r="BJ304" s="409">
        <v>0</v>
      </c>
      <c r="BK304" s="409">
        <v>0</v>
      </c>
      <c r="BL304" s="409">
        <v>0</v>
      </c>
      <c r="BM304" s="409"/>
      <c r="BN304" s="409"/>
      <c r="BO304" s="409"/>
      <c r="BP304" s="409"/>
      <c r="BQ304" s="409">
        <v>1368.2974662000013</v>
      </c>
      <c r="BR304" s="409"/>
      <c r="BS304" s="409"/>
      <c r="BT304" s="409"/>
      <c r="BU304" s="409"/>
      <c r="BV304" s="409">
        <v>18077.806703754894</v>
      </c>
      <c r="BW304" s="409"/>
      <c r="BX304" s="409"/>
      <c r="BY304" s="409"/>
      <c r="BZ304" s="409"/>
      <c r="CA304" s="409"/>
      <c r="CB304" s="409"/>
      <c r="CC304" s="409"/>
      <c r="CD304" s="409"/>
      <c r="CE304" s="409"/>
      <c r="CF304" s="409"/>
      <c r="CG304" s="409"/>
      <c r="CH304" s="409"/>
      <c r="CI304" s="409">
        <v>21436.431</v>
      </c>
      <c r="CJ304" s="409">
        <v>572.9398276000029</v>
      </c>
      <c r="CK304" s="409"/>
      <c r="CL304" s="409"/>
      <c r="CM304" s="409"/>
      <c r="CN304" s="409"/>
      <c r="CO304" s="409">
        <v>-243.52069000000051</v>
      </c>
      <c r="CP304" s="409">
        <v>853.3069999999999</v>
      </c>
      <c r="CQ304" s="409">
        <v>29</v>
      </c>
      <c r="CR304" s="409">
        <v>609.88639958503336</v>
      </c>
      <c r="CS304" s="409">
        <v>0</v>
      </c>
      <c r="CT304" s="409">
        <v>0</v>
      </c>
      <c r="CU304" s="409">
        <v>0</v>
      </c>
      <c r="CV304" s="409">
        <v>0</v>
      </c>
      <c r="CW304" s="409">
        <v>0</v>
      </c>
      <c r="CX304" s="409">
        <v>0</v>
      </c>
      <c r="CY304" s="409">
        <v>0</v>
      </c>
      <c r="CZ304" s="409">
        <v>0</v>
      </c>
      <c r="DA304" s="409">
        <v>0</v>
      </c>
      <c r="DB304" s="409">
        <v>0</v>
      </c>
      <c r="DC304" s="409">
        <v>967.92958951732726</v>
      </c>
      <c r="DD304" s="409">
        <v>0</v>
      </c>
      <c r="DE304" s="409">
        <v>0</v>
      </c>
      <c r="DF304" s="409">
        <v>0</v>
      </c>
      <c r="DG304" s="409">
        <v>5.9168042875663645</v>
      </c>
      <c r="DH304" s="409">
        <v>0</v>
      </c>
      <c r="DI304" s="409">
        <v>-219.76314987716114</v>
      </c>
      <c r="DJ304" s="409"/>
      <c r="DK304" s="409">
        <v>0</v>
      </c>
      <c r="DL304" s="409">
        <v>0</v>
      </c>
      <c r="DM304" s="409">
        <v>0</v>
      </c>
      <c r="DN304" s="409">
        <v>0</v>
      </c>
      <c r="DO304" s="409">
        <v>-32.132393549154131</v>
      </c>
      <c r="DP304" s="409">
        <v>-3.7595352433045548</v>
      </c>
      <c r="DQ304" s="409">
        <v>0</v>
      </c>
      <c r="DR304" s="409">
        <v>-108.30491555023616</v>
      </c>
      <c r="DS304" s="409"/>
      <c r="DT304" s="409"/>
      <c r="DU304" s="409"/>
      <c r="DV304" s="409">
        <v>0</v>
      </c>
      <c r="DW304" s="409">
        <v>0</v>
      </c>
      <c r="DX304" s="409">
        <v>0</v>
      </c>
      <c r="DY304" s="409">
        <v>-243.52069000000074</v>
      </c>
      <c r="DZ304" s="409">
        <v>853.3070000000007</v>
      </c>
      <c r="EA304" s="409">
        <v>0</v>
      </c>
      <c r="EB304" s="409">
        <v>0</v>
      </c>
      <c r="EC304" s="409">
        <v>0</v>
      </c>
      <c r="ED304" s="409">
        <v>0</v>
      </c>
      <c r="EE304" s="409">
        <v>0</v>
      </c>
      <c r="EF304" s="409">
        <v>0</v>
      </c>
      <c r="EG304" s="409">
        <v>0</v>
      </c>
      <c r="EH304" s="409">
        <v>0</v>
      </c>
      <c r="EI304" s="409">
        <v>0</v>
      </c>
      <c r="EJ304" s="409">
        <v>0</v>
      </c>
      <c r="EK304" s="409">
        <v>0</v>
      </c>
      <c r="EL304" s="409">
        <v>0</v>
      </c>
      <c r="EM304" s="409">
        <v>0</v>
      </c>
      <c r="EN304" s="409">
        <v>0</v>
      </c>
      <c r="EO304" s="409">
        <v>0</v>
      </c>
      <c r="EP304" s="409">
        <v>0</v>
      </c>
      <c r="EQ304" s="409">
        <v>0</v>
      </c>
      <c r="ER304" s="409">
        <v>0</v>
      </c>
      <c r="ES304" s="409">
        <v>0</v>
      </c>
      <c r="ET304" s="409">
        <v>0</v>
      </c>
      <c r="EU304" s="409">
        <v>0</v>
      </c>
      <c r="EV304" s="409">
        <v>210</v>
      </c>
      <c r="EW304" s="409">
        <v>0</v>
      </c>
      <c r="EX304" s="409">
        <v>0</v>
      </c>
      <c r="EY304" s="409">
        <v>0</v>
      </c>
      <c r="EZ304" s="409"/>
      <c r="FA304" s="409">
        <v>0</v>
      </c>
      <c r="FB304" s="409"/>
      <c r="FC304" s="409"/>
      <c r="FD304" s="409"/>
      <c r="FE304" s="409"/>
      <c r="FF304" s="409">
        <v>0</v>
      </c>
      <c r="FG304" s="409">
        <v>0</v>
      </c>
      <c r="FH304" s="409">
        <v>0</v>
      </c>
      <c r="FI304" s="409">
        <v>0</v>
      </c>
    </row>
    <row r="305" spans="1:165">
      <c r="A305" s="409">
        <v>303</v>
      </c>
      <c r="B305" s="409" t="s">
        <v>1035</v>
      </c>
      <c r="C305" s="409" t="s">
        <v>2246</v>
      </c>
      <c r="D305" s="409" t="s">
        <v>595</v>
      </c>
      <c r="E305" s="409" t="s">
        <v>1000</v>
      </c>
      <c r="F305" s="409" t="s">
        <v>2253</v>
      </c>
      <c r="G305" s="409" t="s">
        <v>1323</v>
      </c>
      <c r="H305" s="409" t="s">
        <v>1323</v>
      </c>
      <c r="I305" s="409" t="s">
        <v>1323</v>
      </c>
      <c r="J305" s="409" t="s">
        <v>2242</v>
      </c>
      <c r="K305" s="838">
        <v>44593</v>
      </c>
      <c r="L305" s="409">
        <v>140</v>
      </c>
      <c r="M305" s="409">
        <v>131.6</v>
      </c>
      <c r="N305" s="409">
        <v>0</v>
      </c>
      <c r="O305" s="409">
        <v>0</v>
      </c>
      <c r="P305" s="409">
        <v>0</v>
      </c>
      <c r="Q305" s="409">
        <v>0</v>
      </c>
      <c r="R305" s="409">
        <v>33.6</v>
      </c>
      <c r="S305" s="409"/>
      <c r="T305" s="409"/>
      <c r="U305" s="409">
        <v>4704</v>
      </c>
      <c r="V305" s="409"/>
      <c r="W305" s="409">
        <v>4704</v>
      </c>
      <c r="X305" s="409">
        <v>4446.4000000000005</v>
      </c>
      <c r="Y305" s="409">
        <v>0</v>
      </c>
      <c r="Z305" s="409">
        <v>0</v>
      </c>
      <c r="AA305" s="409">
        <v>0</v>
      </c>
      <c r="AB305" s="409">
        <v>0</v>
      </c>
      <c r="AC305" s="409">
        <v>0</v>
      </c>
      <c r="AD305" s="409">
        <v>2498.3720823538683</v>
      </c>
      <c r="AE305" s="409">
        <v>2205.721001824802</v>
      </c>
      <c r="AF305" s="409"/>
      <c r="AG305" s="409"/>
      <c r="AH305" s="409"/>
      <c r="AI305" s="409">
        <v>0</v>
      </c>
      <c r="AJ305" s="409">
        <v>0</v>
      </c>
      <c r="AK305" s="409">
        <v>0</v>
      </c>
      <c r="AL305" s="409">
        <v>0</v>
      </c>
      <c r="AM305" s="409"/>
      <c r="AN305" s="409">
        <v>0</v>
      </c>
      <c r="AO305" s="409">
        <v>0</v>
      </c>
      <c r="AP305" s="409">
        <v>0</v>
      </c>
      <c r="AQ305" s="409">
        <v>0</v>
      </c>
      <c r="AR305" s="409">
        <v>0</v>
      </c>
      <c r="AS305" s="409"/>
      <c r="AT305" s="409"/>
      <c r="AU305" s="409">
        <v>0</v>
      </c>
      <c r="AV305" s="409">
        <v>0</v>
      </c>
      <c r="AW305" s="409">
        <v>0</v>
      </c>
      <c r="AX305" s="409"/>
      <c r="AY305" s="409"/>
      <c r="AZ305" s="409">
        <v>0</v>
      </c>
      <c r="BA305" s="409"/>
      <c r="BB305" s="409">
        <v>0</v>
      </c>
      <c r="BC305" s="409">
        <v>0</v>
      </c>
      <c r="BD305" s="409">
        <v>0</v>
      </c>
      <c r="BE305" s="409">
        <v>0</v>
      </c>
      <c r="BF305" s="409"/>
      <c r="BG305" s="409">
        <v>0</v>
      </c>
      <c r="BH305" s="409">
        <v>0</v>
      </c>
      <c r="BI305" s="409">
        <v>0</v>
      </c>
      <c r="BJ305" s="409">
        <v>0</v>
      </c>
      <c r="BK305" s="409">
        <v>9914.2900000000009</v>
      </c>
      <c r="BL305" s="409">
        <v>1</v>
      </c>
      <c r="BM305" s="409"/>
      <c r="BN305" s="409"/>
      <c r="BO305" s="409"/>
      <c r="BP305" s="409"/>
      <c r="BQ305" s="409">
        <v>266.78400000000022</v>
      </c>
      <c r="BR305" s="409"/>
      <c r="BS305" s="409"/>
      <c r="BT305" s="409"/>
      <c r="BU305" s="409"/>
      <c r="BV305" s="409">
        <v>0</v>
      </c>
      <c r="BW305" s="409"/>
      <c r="BX305" s="409"/>
      <c r="BY305" s="409"/>
      <c r="BZ305" s="409"/>
      <c r="CA305" s="409"/>
      <c r="CB305" s="409"/>
      <c r="CC305" s="409"/>
      <c r="CD305" s="409"/>
      <c r="CE305" s="409"/>
      <c r="CF305" s="409"/>
      <c r="CG305" s="409"/>
      <c r="CH305" s="409"/>
      <c r="CI305" s="409">
        <v>4179.616</v>
      </c>
      <c r="CJ305" s="409">
        <v>-242.17400000000089</v>
      </c>
      <c r="CK305" s="409"/>
      <c r="CL305" s="409"/>
      <c r="CM305" s="409"/>
      <c r="CN305" s="409"/>
      <c r="CO305" s="409">
        <v>-257.59999999999997</v>
      </c>
      <c r="CP305" s="409">
        <v>0</v>
      </c>
      <c r="CQ305" s="409">
        <v>29</v>
      </c>
      <c r="CR305" s="409">
        <v>92.429688544023975</v>
      </c>
      <c r="CS305" s="409">
        <v>0</v>
      </c>
      <c r="CT305" s="409">
        <v>0</v>
      </c>
      <c r="CU305" s="409">
        <v>0</v>
      </c>
      <c r="CV305" s="409">
        <v>0</v>
      </c>
      <c r="CW305" s="409"/>
      <c r="CX305" s="409"/>
      <c r="CY305" s="409"/>
      <c r="CZ305" s="409">
        <v>85.640302779317608</v>
      </c>
      <c r="DA305" s="409">
        <v>0</v>
      </c>
      <c r="DB305" s="409">
        <v>0</v>
      </c>
      <c r="DC305" s="409"/>
      <c r="DD305" s="409"/>
      <c r="DE305" s="409">
        <v>0</v>
      </c>
      <c r="DF305" s="409">
        <v>0</v>
      </c>
      <c r="DG305" s="409">
        <v>0</v>
      </c>
      <c r="DH305" s="409">
        <v>0</v>
      </c>
      <c r="DI305" s="409">
        <v>0</v>
      </c>
      <c r="DJ305" s="409"/>
      <c r="DK305" s="409">
        <v>0</v>
      </c>
      <c r="DL305" s="409">
        <v>0</v>
      </c>
      <c r="DM305" s="409"/>
      <c r="DN305" s="409">
        <v>0</v>
      </c>
      <c r="DO305" s="409">
        <v>0</v>
      </c>
      <c r="DP305" s="409">
        <v>0</v>
      </c>
      <c r="DQ305" s="409">
        <v>0</v>
      </c>
      <c r="DR305" s="409">
        <v>6.7893857647062585</v>
      </c>
      <c r="DS305" s="409"/>
      <c r="DT305" s="409"/>
      <c r="DU305" s="409">
        <v>2205.721001824802</v>
      </c>
      <c r="DV305" s="409"/>
      <c r="DW305" s="409">
        <v>0</v>
      </c>
      <c r="DX305" s="409">
        <v>0</v>
      </c>
      <c r="DY305" s="409">
        <v>-257.59999999999945</v>
      </c>
      <c r="DZ305" s="409"/>
      <c r="EA305" s="409">
        <v>0</v>
      </c>
      <c r="EB305" s="409"/>
      <c r="EC305" s="409">
        <v>-350.60593007797002</v>
      </c>
      <c r="ED305" s="409"/>
      <c r="EE305" s="409">
        <v>0</v>
      </c>
      <c r="EF305" s="409">
        <v>0</v>
      </c>
      <c r="EG305" s="409"/>
      <c r="EH305" s="409">
        <v>0</v>
      </c>
      <c r="EI305" s="409">
        <v>0</v>
      </c>
      <c r="EJ305" s="409">
        <v>0</v>
      </c>
      <c r="EK305" s="409">
        <v>0</v>
      </c>
      <c r="EL305" s="409">
        <v>0</v>
      </c>
      <c r="EM305" s="409"/>
      <c r="EN305" s="409"/>
      <c r="EO305" s="409">
        <v>0</v>
      </c>
      <c r="EP305" s="409">
        <v>0</v>
      </c>
      <c r="EQ305" s="409"/>
      <c r="ER305" s="409">
        <v>0</v>
      </c>
      <c r="ES305" s="409"/>
      <c r="ET305" s="409">
        <v>0</v>
      </c>
      <c r="EU305" s="409"/>
      <c r="EV305" s="409">
        <v>210</v>
      </c>
      <c r="EW305" s="409"/>
      <c r="EX305" s="409"/>
      <c r="EY305" s="409"/>
      <c r="EZ305" s="409"/>
      <c r="FA305" s="409">
        <v>0</v>
      </c>
      <c r="FB305" s="409"/>
      <c r="FC305" s="409"/>
      <c r="FD305" s="409"/>
      <c r="FE305" s="409"/>
      <c r="FF305" s="409">
        <v>0</v>
      </c>
      <c r="FG305" s="409">
        <v>0</v>
      </c>
      <c r="FH305" s="409">
        <v>0</v>
      </c>
      <c r="FI305" s="409">
        <v>0</v>
      </c>
    </row>
    <row r="306" spans="1:165">
      <c r="A306" s="409">
        <v>304</v>
      </c>
      <c r="B306" s="409" t="s">
        <v>1035</v>
      </c>
      <c r="C306" s="409" t="s">
        <v>2241</v>
      </c>
      <c r="D306" s="409" t="s">
        <v>2247</v>
      </c>
      <c r="E306" s="409" t="s">
        <v>973</v>
      </c>
      <c r="F306" s="409" t="s">
        <v>2254</v>
      </c>
      <c r="G306" s="409" t="s">
        <v>2255</v>
      </c>
      <c r="H306" s="409" t="s">
        <v>1323</v>
      </c>
      <c r="I306" s="409" t="s">
        <v>1323</v>
      </c>
      <c r="J306" s="409" t="s">
        <v>2242</v>
      </c>
      <c r="K306" s="838">
        <v>44593</v>
      </c>
      <c r="L306" s="409">
        <v>0</v>
      </c>
      <c r="M306" s="409">
        <v>0</v>
      </c>
      <c r="N306" s="409">
        <v>0</v>
      </c>
      <c r="O306" s="409">
        <v>0</v>
      </c>
      <c r="P306" s="409">
        <v>0</v>
      </c>
      <c r="Q306" s="409">
        <v>0</v>
      </c>
      <c r="R306" s="409"/>
      <c r="S306" s="409"/>
      <c r="T306" s="409"/>
      <c r="U306" s="409"/>
      <c r="V306" s="409"/>
      <c r="W306" s="409"/>
      <c r="X306" s="409"/>
      <c r="Y306" s="409"/>
      <c r="Z306" s="409"/>
      <c r="AA306" s="409">
        <v>0</v>
      </c>
      <c r="AB306" s="409"/>
      <c r="AC306" s="409"/>
      <c r="AD306" s="409"/>
      <c r="AE306" s="409"/>
      <c r="AF306" s="409"/>
      <c r="AG306" s="409"/>
      <c r="AH306" s="409"/>
      <c r="AI306" s="409"/>
      <c r="AJ306" s="409"/>
      <c r="AK306" s="409"/>
      <c r="AL306" s="409"/>
      <c r="AM306" s="409"/>
      <c r="AN306" s="409"/>
      <c r="AO306" s="409"/>
      <c r="AP306" s="409"/>
      <c r="AQ306" s="409"/>
      <c r="AR306" s="409"/>
      <c r="AS306" s="409"/>
      <c r="AT306" s="409"/>
      <c r="AU306" s="409"/>
      <c r="AV306" s="409"/>
      <c r="AW306" s="409"/>
      <c r="AX306" s="409"/>
      <c r="AY306" s="409"/>
      <c r="AZ306" s="409">
        <v>0</v>
      </c>
      <c r="BA306" s="409"/>
      <c r="BB306" s="409"/>
      <c r="BC306" s="409"/>
      <c r="BD306" s="409"/>
      <c r="BE306" s="409"/>
      <c r="BF306" s="409"/>
      <c r="BG306" s="409"/>
      <c r="BH306" s="409"/>
      <c r="BI306" s="409">
        <v>29.21</v>
      </c>
      <c r="BJ306" s="409">
        <v>135.24</v>
      </c>
      <c r="BK306" s="409">
        <v>596.12</v>
      </c>
      <c r="BL306" s="409">
        <v>34</v>
      </c>
      <c r="BM306" s="409"/>
      <c r="BN306" s="409"/>
      <c r="BO306" s="409"/>
      <c r="BP306" s="409"/>
      <c r="BQ306" s="409"/>
      <c r="BR306" s="409"/>
      <c r="BS306" s="409"/>
      <c r="BT306" s="409"/>
      <c r="BU306" s="409"/>
      <c r="BV306" s="409"/>
      <c r="BW306" s="409"/>
      <c r="BX306" s="409"/>
      <c r="BY306" s="409"/>
      <c r="BZ306" s="409"/>
      <c r="CA306" s="409"/>
      <c r="CB306" s="409"/>
      <c r="CC306" s="409"/>
      <c r="CD306" s="409"/>
      <c r="CE306" s="409"/>
      <c r="CF306" s="409"/>
      <c r="CG306" s="409"/>
      <c r="CH306" s="409"/>
      <c r="CI306" s="409"/>
      <c r="CJ306" s="409">
        <v>-0.03</v>
      </c>
      <c r="CK306" s="409"/>
      <c r="CL306" s="409"/>
      <c r="CM306" s="409"/>
      <c r="CN306" s="409"/>
      <c r="CO306" s="409">
        <v>0</v>
      </c>
      <c r="CP306" s="409">
        <v>0</v>
      </c>
      <c r="CQ306" s="409">
        <v>29</v>
      </c>
      <c r="CR306" s="409"/>
      <c r="CS306" s="409"/>
      <c r="CT306" s="409"/>
      <c r="CU306" s="409"/>
      <c r="CV306" s="409"/>
      <c r="CW306" s="409"/>
      <c r="CX306" s="409"/>
      <c r="CY306" s="409"/>
      <c r="CZ306" s="409"/>
      <c r="DA306" s="409"/>
      <c r="DB306" s="409"/>
      <c r="DC306" s="409"/>
      <c r="DD306" s="409"/>
      <c r="DE306" s="409"/>
      <c r="DF306" s="409"/>
      <c r="DG306" s="409"/>
      <c r="DH306" s="409"/>
      <c r="DI306" s="409"/>
      <c r="DJ306" s="409"/>
      <c r="DK306" s="409">
        <v>0</v>
      </c>
      <c r="DL306" s="409"/>
      <c r="DM306" s="409"/>
      <c r="DN306" s="409"/>
      <c r="DO306" s="409"/>
      <c r="DP306" s="409"/>
      <c r="DQ306" s="409"/>
      <c r="DR306" s="409"/>
      <c r="DS306" s="409"/>
      <c r="DT306" s="409"/>
      <c r="DU306" s="409"/>
      <c r="DV306" s="409"/>
      <c r="DW306" s="409"/>
      <c r="DX306" s="409"/>
      <c r="DY306" s="409"/>
      <c r="DZ306" s="409"/>
      <c r="EA306" s="409"/>
      <c r="EB306" s="409"/>
      <c r="EC306" s="409"/>
      <c r="ED306" s="409"/>
      <c r="EE306" s="409"/>
      <c r="EF306" s="409"/>
      <c r="EG306" s="409"/>
      <c r="EH306" s="409"/>
      <c r="EI306" s="409"/>
      <c r="EJ306" s="409"/>
      <c r="EK306" s="409"/>
      <c r="EL306" s="409"/>
      <c r="EM306" s="409"/>
      <c r="EN306" s="409"/>
      <c r="EO306" s="409"/>
      <c r="EP306" s="409"/>
      <c r="EQ306" s="409"/>
      <c r="ER306" s="409"/>
      <c r="ES306" s="409"/>
      <c r="ET306" s="409"/>
      <c r="EU306" s="409"/>
      <c r="EV306" s="409">
        <v>210</v>
      </c>
      <c r="EW306" s="409"/>
      <c r="EX306" s="409"/>
      <c r="EY306" s="409"/>
      <c r="EZ306" s="409"/>
      <c r="FA306" s="409">
        <v>0</v>
      </c>
      <c r="FB306" s="409"/>
      <c r="FC306" s="409"/>
      <c r="FD306" s="409"/>
      <c r="FE306" s="409"/>
      <c r="FF306" s="409">
        <v>0</v>
      </c>
      <c r="FG306" s="409">
        <v>0</v>
      </c>
      <c r="FH306" s="409">
        <v>0</v>
      </c>
      <c r="FI306" s="409">
        <v>0</v>
      </c>
    </row>
    <row r="307" spans="1:165">
      <c r="A307" s="409">
        <v>305</v>
      </c>
      <c r="B307" s="409" t="s">
        <v>1035</v>
      </c>
      <c r="C307" s="409" t="s">
        <v>2241</v>
      </c>
      <c r="D307" s="409" t="s">
        <v>2247</v>
      </c>
      <c r="E307" s="409" t="s">
        <v>973</v>
      </c>
      <c r="F307" s="409" t="s">
        <v>2254</v>
      </c>
      <c r="G307" s="409" t="s">
        <v>2255</v>
      </c>
      <c r="H307" s="409" t="s">
        <v>1323</v>
      </c>
      <c r="I307" s="409" t="s">
        <v>1323</v>
      </c>
      <c r="J307" s="409" t="s">
        <v>2242</v>
      </c>
      <c r="K307" s="838">
        <v>44593</v>
      </c>
      <c r="L307" s="409">
        <v>0</v>
      </c>
      <c r="M307" s="409">
        <v>0</v>
      </c>
      <c r="N307" s="409">
        <v>14.849</v>
      </c>
      <c r="O307" s="409">
        <v>14.849</v>
      </c>
      <c r="P307" s="409">
        <v>14.849</v>
      </c>
      <c r="Q307" s="409">
        <v>14.849</v>
      </c>
      <c r="R307" s="409"/>
      <c r="S307" s="409">
        <v>358.62</v>
      </c>
      <c r="T307" s="409">
        <v>273.74</v>
      </c>
      <c r="U307" s="409"/>
      <c r="V307" s="409">
        <v>9389.9136400000007</v>
      </c>
      <c r="W307" s="409">
        <v>9389.9136400000007</v>
      </c>
      <c r="X307" s="409">
        <v>9104.5158599999995</v>
      </c>
      <c r="Y307" s="409">
        <v>0</v>
      </c>
      <c r="Z307" s="409">
        <v>896.49964659721104</v>
      </c>
      <c r="AA307" s="409">
        <v>0</v>
      </c>
      <c r="AB307" s="409">
        <v>0</v>
      </c>
      <c r="AC307" s="409">
        <v>0</v>
      </c>
      <c r="AD307" s="409">
        <v>1278.328399306406</v>
      </c>
      <c r="AE307" s="409">
        <v>2941.2779226561292</v>
      </c>
      <c r="AF307" s="409">
        <v>4064.754267133053</v>
      </c>
      <c r="AG307" s="409">
        <v>0</v>
      </c>
      <c r="AH307" s="409">
        <v>0</v>
      </c>
      <c r="AI307" s="409">
        <v>0</v>
      </c>
      <c r="AJ307" s="409">
        <v>0</v>
      </c>
      <c r="AK307" s="409">
        <v>0</v>
      </c>
      <c r="AL307" s="409">
        <v>138.63841374598587</v>
      </c>
      <c r="AM307" s="409"/>
      <c r="AN307" s="409">
        <v>15.815541770365234</v>
      </c>
      <c r="AO307" s="409">
        <v>0</v>
      </c>
      <c r="AP307" s="409">
        <v>0</v>
      </c>
      <c r="AQ307" s="409">
        <v>0</v>
      </c>
      <c r="AR307" s="409">
        <v>0</v>
      </c>
      <c r="AS307" s="409">
        <v>0</v>
      </c>
      <c r="AT307" s="409">
        <v>0</v>
      </c>
      <c r="AU307" s="409">
        <v>0</v>
      </c>
      <c r="AV307" s="409">
        <v>0</v>
      </c>
      <c r="AW307" s="409">
        <v>0</v>
      </c>
      <c r="AX307" s="409">
        <v>0</v>
      </c>
      <c r="AY307" s="409">
        <v>0</v>
      </c>
      <c r="AZ307" s="409">
        <v>0</v>
      </c>
      <c r="BA307" s="409"/>
      <c r="BB307" s="409">
        <v>0</v>
      </c>
      <c r="BC307" s="409">
        <v>0</v>
      </c>
      <c r="BD307" s="409">
        <v>0</v>
      </c>
      <c r="BE307" s="409">
        <v>0</v>
      </c>
      <c r="BF307" s="409">
        <v>0</v>
      </c>
      <c r="BG307" s="409">
        <v>54.620951209752413</v>
      </c>
      <c r="BH307" s="409">
        <v>0</v>
      </c>
      <c r="BI307" s="409">
        <v>0</v>
      </c>
      <c r="BJ307" s="409">
        <v>0</v>
      </c>
      <c r="BK307" s="409">
        <v>0</v>
      </c>
      <c r="BL307" s="409">
        <v>0</v>
      </c>
      <c r="BM307" s="409"/>
      <c r="BN307" s="409"/>
      <c r="BO307" s="409"/>
      <c r="BP307" s="409"/>
      <c r="BQ307" s="409"/>
      <c r="BR307" s="409">
        <v>1274.63816</v>
      </c>
      <c r="BS307" s="409"/>
      <c r="BT307" s="409"/>
      <c r="BU307" s="409"/>
      <c r="BV307" s="409">
        <v>4119.3752183428051</v>
      </c>
      <c r="BW307" s="409"/>
      <c r="BX307" s="409"/>
      <c r="BY307" s="409"/>
      <c r="BZ307" s="409"/>
      <c r="CA307" s="409"/>
      <c r="CB307" s="409"/>
      <c r="CC307" s="409"/>
      <c r="CD307" s="409"/>
      <c r="CE307" s="409"/>
      <c r="CF307" s="409"/>
      <c r="CG307" s="409"/>
      <c r="CH307" s="409"/>
      <c r="CI307" s="409">
        <v>7830.4049999999988</v>
      </c>
      <c r="CJ307" s="409">
        <v>-245.10516000000098</v>
      </c>
      <c r="CK307" s="409"/>
      <c r="CL307" s="409"/>
      <c r="CM307" s="409"/>
      <c r="CN307" s="409"/>
      <c r="CO307" s="409">
        <v>-478.43478000000039</v>
      </c>
      <c r="CP307" s="409">
        <v>193.03700000000001</v>
      </c>
      <c r="CQ307" s="409">
        <v>29</v>
      </c>
      <c r="CR307" s="409">
        <v>182.07665958527741</v>
      </c>
      <c r="CS307" s="409">
        <v>0</v>
      </c>
      <c r="CT307" s="409">
        <v>0</v>
      </c>
      <c r="CU307" s="409">
        <v>0</v>
      </c>
      <c r="CV307" s="409">
        <v>0</v>
      </c>
      <c r="CW307" s="409">
        <v>0</v>
      </c>
      <c r="CX307" s="409">
        <v>0</v>
      </c>
      <c r="CY307" s="409">
        <v>0</v>
      </c>
      <c r="CZ307" s="409">
        <v>43.819106025581732</v>
      </c>
      <c r="DA307" s="409">
        <v>0</v>
      </c>
      <c r="DB307" s="409">
        <v>0</v>
      </c>
      <c r="DC307" s="409">
        <v>218.96717614136105</v>
      </c>
      <c r="DD307" s="409">
        <v>0</v>
      </c>
      <c r="DE307" s="409">
        <v>0</v>
      </c>
      <c r="DF307" s="409">
        <v>0</v>
      </c>
      <c r="DG307" s="409">
        <v>2.9424153733629623</v>
      </c>
      <c r="DH307" s="409">
        <v>0</v>
      </c>
      <c r="DI307" s="409">
        <v>-57.1440306203923</v>
      </c>
      <c r="DJ307" s="409"/>
      <c r="DK307" s="409">
        <v>0</v>
      </c>
      <c r="DL307" s="409">
        <v>0</v>
      </c>
      <c r="DM307" s="409">
        <v>0</v>
      </c>
      <c r="DN307" s="409">
        <v>0</v>
      </c>
      <c r="DO307" s="409">
        <v>-7.2690612564388459</v>
      </c>
      <c r="DP307" s="409">
        <v>-1.0435002802818154</v>
      </c>
      <c r="DQ307" s="409">
        <v>0</v>
      </c>
      <c r="DR307" s="409">
        <v>-18.195445797915553</v>
      </c>
      <c r="DS307" s="409"/>
      <c r="DT307" s="409"/>
      <c r="DU307" s="409"/>
      <c r="DV307" s="409">
        <v>2941.2779226561292</v>
      </c>
      <c r="DW307" s="409">
        <v>0</v>
      </c>
      <c r="DX307" s="409">
        <v>0</v>
      </c>
      <c r="DY307" s="409">
        <v>-478.4347800000005</v>
      </c>
      <c r="DZ307" s="409">
        <v>193.03700000000026</v>
      </c>
      <c r="EA307" s="409">
        <v>0</v>
      </c>
      <c r="EB307" s="409">
        <v>0</v>
      </c>
      <c r="EC307" s="409">
        <v>-467.52489586739512</v>
      </c>
      <c r="ED307" s="409">
        <v>0</v>
      </c>
      <c r="EE307" s="409">
        <v>0</v>
      </c>
      <c r="EF307" s="409">
        <v>0</v>
      </c>
      <c r="EG307" s="409">
        <v>0</v>
      </c>
      <c r="EH307" s="409">
        <v>0</v>
      </c>
      <c r="EI307" s="409">
        <v>0</v>
      </c>
      <c r="EJ307" s="409">
        <v>0</v>
      </c>
      <c r="EK307" s="409">
        <v>0</v>
      </c>
      <c r="EL307" s="409">
        <v>0</v>
      </c>
      <c r="EM307" s="409">
        <v>0</v>
      </c>
      <c r="EN307" s="409">
        <v>0</v>
      </c>
      <c r="EO307" s="409">
        <v>0</v>
      </c>
      <c r="EP307" s="409">
        <v>0</v>
      </c>
      <c r="EQ307" s="409">
        <v>0</v>
      </c>
      <c r="ER307" s="409">
        <v>0</v>
      </c>
      <c r="ES307" s="409">
        <v>0</v>
      </c>
      <c r="ET307" s="409">
        <v>0</v>
      </c>
      <c r="EU307" s="409">
        <v>0</v>
      </c>
      <c r="EV307" s="409">
        <v>210</v>
      </c>
      <c r="EW307" s="409">
        <v>0</v>
      </c>
      <c r="EX307" s="409">
        <v>0</v>
      </c>
      <c r="EY307" s="409">
        <v>0</v>
      </c>
      <c r="EZ307" s="409"/>
      <c r="FA307" s="409">
        <v>0</v>
      </c>
      <c r="FB307" s="409"/>
      <c r="FC307" s="409"/>
      <c r="FD307" s="409"/>
      <c r="FE307" s="409"/>
      <c r="FF307" s="409">
        <v>0</v>
      </c>
      <c r="FG307" s="409">
        <v>0</v>
      </c>
      <c r="FH307" s="409">
        <v>0</v>
      </c>
      <c r="FI307" s="409">
        <v>0</v>
      </c>
    </row>
    <row r="308" spans="1:165">
      <c r="A308" s="409">
        <v>306</v>
      </c>
      <c r="B308" s="409" t="s">
        <v>1035</v>
      </c>
      <c r="C308" s="409" t="s">
        <v>2241</v>
      </c>
      <c r="D308" s="409" t="s">
        <v>2247</v>
      </c>
      <c r="E308" s="409" t="s">
        <v>973</v>
      </c>
      <c r="F308" s="409" t="s">
        <v>2254</v>
      </c>
      <c r="G308" s="409" t="s">
        <v>2256</v>
      </c>
      <c r="H308" s="409" t="s">
        <v>1323</v>
      </c>
      <c r="I308" s="409" t="s">
        <v>1323</v>
      </c>
      <c r="J308" s="409" t="s">
        <v>2242</v>
      </c>
      <c r="K308" s="838">
        <v>44593</v>
      </c>
      <c r="L308" s="409">
        <v>0</v>
      </c>
      <c r="M308" s="409">
        <v>0</v>
      </c>
      <c r="N308" s="409">
        <v>4.907</v>
      </c>
      <c r="O308" s="409">
        <v>1.9628000000000001</v>
      </c>
      <c r="P308" s="409">
        <v>4.907</v>
      </c>
      <c r="Q308" s="409">
        <v>1.9628000000000001</v>
      </c>
      <c r="R308" s="409"/>
      <c r="S308" s="409">
        <v>358.62</v>
      </c>
      <c r="T308" s="409">
        <v>273.74</v>
      </c>
      <c r="U308" s="409"/>
      <c r="V308" s="409">
        <v>3102.9905200000003</v>
      </c>
      <c r="W308" s="409">
        <v>3102.9905200000003</v>
      </c>
      <c r="X308" s="409">
        <v>3008.6779799999999</v>
      </c>
      <c r="Y308" s="409">
        <v>0</v>
      </c>
      <c r="Z308" s="409">
        <v>296.25724061233177</v>
      </c>
      <c r="AA308" s="409">
        <v>0</v>
      </c>
      <c r="AB308" s="409">
        <v>0</v>
      </c>
      <c r="AC308" s="409">
        <v>0</v>
      </c>
      <c r="AD308" s="409">
        <v>422.43635634699535</v>
      </c>
      <c r="AE308" s="409">
        <v>971.97459535818075</v>
      </c>
      <c r="AF308" s="409">
        <v>1343.2385472975884</v>
      </c>
      <c r="AG308" s="409">
        <v>0</v>
      </c>
      <c r="AH308" s="409">
        <v>0</v>
      </c>
      <c r="AI308" s="409">
        <v>0</v>
      </c>
      <c r="AJ308" s="409">
        <v>0</v>
      </c>
      <c r="AK308" s="409">
        <v>0</v>
      </c>
      <c r="AL308" s="409">
        <v>45.81444516476212</v>
      </c>
      <c r="AM308" s="409"/>
      <c r="AN308" s="409">
        <v>5.2264033582855545</v>
      </c>
      <c r="AO308" s="409">
        <v>0</v>
      </c>
      <c r="AP308" s="409">
        <v>0</v>
      </c>
      <c r="AQ308" s="409">
        <v>0</v>
      </c>
      <c r="AR308" s="409">
        <v>0</v>
      </c>
      <c r="AS308" s="409">
        <v>0</v>
      </c>
      <c r="AT308" s="409">
        <v>0</v>
      </c>
      <c r="AU308" s="409">
        <v>0</v>
      </c>
      <c r="AV308" s="409">
        <v>0</v>
      </c>
      <c r="AW308" s="409">
        <v>0</v>
      </c>
      <c r="AX308" s="409">
        <v>0</v>
      </c>
      <c r="AY308" s="409">
        <v>0</v>
      </c>
      <c r="AZ308" s="409">
        <v>0</v>
      </c>
      <c r="BA308" s="409"/>
      <c r="BB308" s="409">
        <v>0</v>
      </c>
      <c r="BC308" s="409">
        <v>0</v>
      </c>
      <c r="BD308" s="409">
        <v>0</v>
      </c>
      <c r="BE308" s="409">
        <v>0</v>
      </c>
      <c r="BF308" s="409">
        <v>0</v>
      </c>
      <c r="BG308" s="409">
        <v>18.050037550424612</v>
      </c>
      <c r="BH308" s="409">
        <v>0</v>
      </c>
      <c r="BI308" s="409">
        <v>0</v>
      </c>
      <c r="BJ308" s="409">
        <v>0</v>
      </c>
      <c r="BK308" s="409">
        <v>0</v>
      </c>
      <c r="BL308" s="409">
        <v>0</v>
      </c>
      <c r="BM308" s="409"/>
      <c r="BN308" s="409"/>
      <c r="BO308" s="409"/>
      <c r="BP308" s="409"/>
      <c r="BQ308" s="409"/>
      <c r="BR308" s="409"/>
      <c r="BS308" s="409">
        <v>1973.69354</v>
      </c>
      <c r="BT308" s="409"/>
      <c r="BU308" s="409"/>
      <c r="BV308" s="409">
        <v>1361.288584848013</v>
      </c>
      <c r="BW308" s="409"/>
      <c r="BX308" s="409"/>
      <c r="BY308" s="409"/>
      <c r="BZ308" s="409"/>
      <c r="CA308" s="409"/>
      <c r="CB308" s="409"/>
      <c r="CC308" s="409"/>
      <c r="CD308" s="409"/>
      <c r="CE308" s="409"/>
      <c r="CF308" s="409"/>
      <c r="CG308" s="409"/>
      <c r="CH308" s="409"/>
      <c r="CI308" s="409">
        <v>1033.5079999999998</v>
      </c>
      <c r="CJ308" s="409">
        <v>-33.971152000000302</v>
      </c>
      <c r="CK308" s="409"/>
      <c r="CL308" s="409"/>
      <c r="CM308" s="409"/>
      <c r="CN308" s="409"/>
      <c r="CO308" s="409">
        <v>-158.10354000000012</v>
      </c>
      <c r="CP308" s="409">
        <v>63.790999999999997</v>
      </c>
      <c r="CQ308" s="409">
        <v>29</v>
      </c>
      <c r="CR308" s="409">
        <v>60.169046305135453</v>
      </c>
      <c r="CS308" s="409">
        <v>0</v>
      </c>
      <c r="CT308" s="409">
        <v>0</v>
      </c>
      <c r="CU308" s="409">
        <v>0</v>
      </c>
      <c r="CV308" s="409">
        <v>0</v>
      </c>
      <c r="CW308" s="409">
        <v>0</v>
      </c>
      <c r="CX308" s="409">
        <v>0</v>
      </c>
      <c r="CY308" s="409">
        <v>0</v>
      </c>
      <c r="CZ308" s="409">
        <v>14.480460183684386</v>
      </c>
      <c r="DA308" s="409">
        <v>0</v>
      </c>
      <c r="DB308" s="409">
        <v>0</v>
      </c>
      <c r="DC308" s="409">
        <v>72.359885064695163</v>
      </c>
      <c r="DD308" s="409">
        <v>0</v>
      </c>
      <c r="DE308" s="409">
        <v>0</v>
      </c>
      <c r="DF308" s="409">
        <v>0</v>
      </c>
      <c r="DG308" s="409">
        <v>0.97235047727739854</v>
      </c>
      <c r="DH308" s="409">
        <v>0</v>
      </c>
      <c r="DI308" s="409">
        <v>-18.883814280710112</v>
      </c>
      <c r="DJ308" s="409"/>
      <c r="DK308" s="409">
        <v>0</v>
      </c>
      <c r="DL308" s="409">
        <v>0</v>
      </c>
      <c r="DM308" s="409">
        <v>0</v>
      </c>
      <c r="DN308" s="409">
        <v>0</v>
      </c>
      <c r="DO308" s="409">
        <v>-2.402133718455481</v>
      </c>
      <c r="DP308" s="409">
        <v>-0.34483506467390779</v>
      </c>
      <c r="DQ308" s="409">
        <v>0</v>
      </c>
      <c r="DR308" s="409">
        <v>-6.0128663566820411</v>
      </c>
      <c r="DS308" s="409"/>
      <c r="DT308" s="409"/>
      <c r="DU308" s="409"/>
      <c r="DV308" s="409">
        <v>971.97459535818075</v>
      </c>
      <c r="DW308" s="409">
        <v>0</v>
      </c>
      <c r="DX308" s="409">
        <v>0</v>
      </c>
      <c r="DY308" s="409">
        <v>-158.10354000000029</v>
      </c>
      <c r="DZ308" s="409">
        <v>63.791000000000167</v>
      </c>
      <c r="EA308" s="409">
        <v>0</v>
      </c>
      <c r="EB308" s="409">
        <v>0</v>
      </c>
      <c r="EC308" s="409">
        <v>-154.49826008628918</v>
      </c>
      <c r="ED308" s="409">
        <v>0</v>
      </c>
      <c r="EE308" s="409">
        <v>0</v>
      </c>
      <c r="EF308" s="409">
        <v>0</v>
      </c>
      <c r="EG308" s="409">
        <v>0</v>
      </c>
      <c r="EH308" s="409">
        <v>0</v>
      </c>
      <c r="EI308" s="409">
        <v>0</v>
      </c>
      <c r="EJ308" s="409">
        <v>0</v>
      </c>
      <c r="EK308" s="409">
        <v>0</v>
      </c>
      <c r="EL308" s="409">
        <v>0</v>
      </c>
      <c r="EM308" s="409">
        <v>0</v>
      </c>
      <c r="EN308" s="409">
        <v>0</v>
      </c>
      <c r="EO308" s="409">
        <v>0</v>
      </c>
      <c r="EP308" s="409">
        <v>0</v>
      </c>
      <c r="EQ308" s="409">
        <v>0</v>
      </c>
      <c r="ER308" s="409">
        <v>0</v>
      </c>
      <c r="ES308" s="409">
        <v>0</v>
      </c>
      <c r="ET308" s="409">
        <v>0</v>
      </c>
      <c r="EU308" s="409">
        <v>0</v>
      </c>
      <c r="EV308" s="409">
        <v>210</v>
      </c>
      <c r="EW308" s="409">
        <v>0</v>
      </c>
      <c r="EX308" s="409">
        <v>0</v>
      </c>
      <c r="EY308" s="409">
        <v>0</v>
      </c>
      <c r="EZ308" s="409"/>
      <c r="FA308" s="409">
        <v>0</v>
      </c>
      <c r="FB308" s="409"/>
      <c r="FC308" s="409"/>
      <c r="FD308" s="409"/>
      <c r="FE308" s="409"/>
      <c r="FF308" s="409">
        <v>0</v>
      </c>
      <c r="FG308" s="409">
        <v>0</v>
      </c>
      <c r="FH308" s="409">
        <v>0</v>
      </c>
      <c r="FI308" s="409">
        <v>0</v>
      </c>
    </row>
    <row r="309" spans="1:165">
      <c r="A309" s="1653">
        <v>307</v>
      </c>
      <c r="B309" s="1653" t="s">
        <v>2260</v>
      </c>
      <c r="C309" s="1653" t="s">
        <v>2241</v>
      </c>
      <c r="D309" s="1653" t="s">
        <v>1989</v>
      </c>
      <c r="E309" s="1653" t="s">
        <v>968</v>
      </c>
      <c r="F309" s="1653" t="s">
        <v>968</v>
      </c>
      <c r="G309" s="1653" t="s">
        <v>1323</v>
      </c>
      <c r="H309" s="1653" t="s">
        <v>1323</v>
      </c>
      <c r="I309" s="1653" t="s">
        <v>1323</v>
      </c>
      <c r="J309" s="1653" t="s">
        <v>2242</v>
      </c>
      <c r="K309" s="1654">
        <v>44621</v>
      </c>
      <c r="L309" s="1653">
        <v>0</v>
      </c>
      <c r="M309" s="1653">
        <v>0</v>
      </c>
      <c r="N309" s="1653">
        <v>116.607</v>
      </c>
      <c r="O309" s="1653">
        <v>116.607</v>
      </c>
      <c r="P309" s="1653">
        <v>116.607</v>
      </c>
      <c r="Q309" s="1653">
        <v>116.607</v>
      </c>
      <c r="R309" s="1653"/>
      <c r="S309" s="1653">
        <v>358.62</v>
      </c>
      <c r="T309" s="1653">
        <v>273.74</v>
      </c>
      <c r="U309" s="1653"/>
      <c r="V309" s="1653">
        <v>73737.60252</v>
      </c>
      <c r="W309" s="1653">
        <v>73737.60252</v>
      </c>
      <c r="X309" s="1653">
        <v>71496.415979999991</v>
      </c>
      <c r="Y309" s="1653">
        <v>0</v>
      </c>
      <c r="Z309" s="1653">
        <v>7040.0790821443188</v>
      </c>
      <c r="AA309" s="1653">
        <v>0</v>
      </c>
      <c r="AB309" s="1653">
        <v>0</v>
      </c>
      <c r="AC309" s="1653">
        <v>0</v>
      </c>
      <c r="AD309" s="1653">
        <v>10038.523783279821</v>
      </c>
      <c r="AE309" s="1653">
        <v>23097.420346633662</v>
      </c>
      <c r="AF309" s="1653">
        <v>31919.913854642324</v>
      </c>
      <c r="AG309" s="1653">
        <v>0</v>
      </c>
      <c r="AH309" s="1653">
        <v>0</v>
      </c>
      <c r="AI309" s="1653">
        <v>0</v>
      </c>
      <c r="AJ309" s="1653">
        <v>0</v>
      </c>
      <c r="AK309" s="1653">
        <v>0</v>
      </c>
      <c r="AL309" s="1653">
        <v>1088.7069507494225</v>
      </c>
      <c r="AM309" s="1653"/>
      <c r="AN309" s="1653">
        <v>124.19710951693574</v>
      </c>
      <c r="AO309" s="1653">
        <v>0</v>
      </c>
      <c r="AP309" s="1653">
        <v>0</v>
      </c>
      <c r="AQ309" s="1653">
        <v>0</v>
      </c>
      <c r="AR309" s="1653">
        <v>0</v>
      </c>
      <c r="AS309" s="1653">
        <v>0</v>
      </c>
      <c r="AT309" s="1653">
        <v>0</v>
      </c>
      <c r="AU309" s="1653">
        <v>0</v>
      </c>
      <c r="AV309" s="1653">
        <v>0</v>
      </c>
      <c r="AW309" s="1653">
        <v>0</v>
      </c>
      <c r="AX309" s="1653">
        <v>0</v>
      </c>
      <c r="AY309" s="1653">
        <v>0</v>
      </c>
      <c r="AZ309" s="1653">
        <v>0</v>
      </c>
      <c r="BA309" s="1653"/>
      <c r="BB309" s="1653">
        <v>0</v>
      </c>
      <c r="BC309" s="1653">
        <v>0</v>
      </c>
      <c r="BD309" s="1653">
        <v>0</v>
      </c>
      <c r="BE309" s="1653">
        <v>0</v>
      </c>
      <c r="BF309" s="1653">
        <v>0</v>
      </c>
      <c r="BG309" s="1653">
        <v>428.93024834774053</v>
      </c>
      <c r="BH309" s="1653">
        <v>0</v>
      </c>
      <c r="BI309" s="1653">
        <v>713.35</v>
      </c>
      <c r="BJ309" s="1653">
        <v>3306.7</v>
      </c>
      <c r="BK309" s="1653">
        <v>21101.39</v>
      </c>
      <c r="BL309" s="1653">
        <v>742</v>
      </c>
      <c r="BM309" s="1653"/>
      <c r="BN309" s="1653"/>
      <c r="BO309" s="1653"/>
      <c r="BP309" s="1653"/>
      <c r="BQ309" s="1653"/>
      <c r="BR309" s="1653"/>
      <c r="BS309" s="1653"/>
      <c r="BT309" s="1653"/>
      <c r="BU309" s="1653"/>
      <c r="BV309" s="1653">
        <v>32348.844102990064</v>
      </c>
      <c r="BW309" s="1653"/>
      <c r="BX309" s="1653"/>
      <c r="BY309" s="1653"/>
      <c r="BZ309" s="1653"/>
      <c r="CA309" s="1653"/>
      <c r="CB309" s="1653"/>
      <c r="CC309" s="1653"/>
      <c r="CD309" s="1653"/>
      <c r="CE309" s="1653"/>
      <c r="CF309" s="1653"/>
      <c r="CG309" s="1653"/>
      <c r="CH309" s="1653"/>
      <c r="CI309" s="1653">
        <v>71498.255399999995</v>
      </c>
      <c r="CJ309" s="1653">
        <v>-2239.3771200000047</v>
      </c>
      <c r="CK309" s="1653"/>
      <c r="CL309" s="1653"/>
      <c r="CM309" s="1653"/>
      <c r="CN309" s="1653"/>
      <c r="CO309" s="1653">
        <v>-3757.077540000003</v>
      </c>
      <c r="CP309" s="1653">
        <v>1515.8910000000001</v>
      </c>
      <c r="CQ309" s="1653">
        <v>31</v>
      </c>
      <c r="CR309" s="1653">
        <v>1429.8210683723155</v>
      </c>
      <c r="CS309" s="1653">
        <v>0</v>
      </c>
      <c r="CT309" s="1653">
        <v>0</v>
      </c>
      <c r="CU309" s="1653">
        <v>0</v>
      </c>
      <c r="CV309" s="1653">
        <v>0</v>
      </c>
      <c r="CW309" s="1653">
        <v>0</v>
      </c>
      <c r="CX309" s="1653">
        <v>0</v>
      </c>
      <c r="CY309" s="1653">
        <v>0</v>
      </c>
      <c r="CZ309" s="1653">
        <v>344.104956315241</v>
      </c>
      <c r="DA309" s="1653">
        <v>0</v>
      </c>
      <c r="DB309" s="1653">
        <v>0</v>
      </c>
      <c r="DC309" s="1653">
        <v>1719.5168367106053</v>
      </c>
      <c r="DD309" s="1653">
        <v>0</v>
      </c>
      <c r="DE309" s="1653">
        <v>0</v>
      </c>
      <c r="DF309" s="1653">
        <v>0</v>
      </c>
      <c r="DG309" s="1653">
        <v>23.106352578741678</v>
      </c>
      <c r="DH309" s="1653">
        <v>0</v>
      </c>
      <c r="DI309" s="1653">
        <v>-448.74361765452795</v>
      </c>
      <c r="DJ309" s="1653"/>
      <c r="DK309" s="1653">
        <v>0</v>
      </c>
      <c r="DL309" s="1653">
        <v>0</v>
      </c>
      <c r="DM309" s="1653">
        <v>0</v>
      </c>
      <c r="DN309" s="1653">
        <v>0</v>
      </c>
      <c r="DO309" s="1653">
        <v>-57.082862544923046</v>
      </c>
      <c r="DP309" s="1653">
        <v>-8.1944533088303331</v>
      </c>
      <c r="DQ309" s="1653">
        <v>0</v>
      </c>
      <c r="DR309" s="1653">
        <v>-142.88614372399076</v>
      </c>
      <c r="DS309" s="1653"/>
      <c r="DT309" s="1653"/>
      <c r="DU309" s="1653"/>
      <c r="DV309" s="1653">
        <v>23097.420346633662</v>
      </c>
      <c r="DW309" s="1653">
        <v>0</v>
      </c>
      <c r="DX309" s="1653">
        <v>0</v>
      </c>
      <c r="DY309" s="1653">
        <v>-3757.0775399999984</v>
      </c>
      <c r="DZ309" s="1653">
        <v>1515.8909999999996</v>
      </c>
      <c r="EA309" s="1653">
        <v>0</v>
      </c>
      <c r="EB309" s="1653">
        <v>0</v>
      </c>
      <c r="EC309" s="1653">
        <v>-3671.4038340904663</v>
      </c>
      <c r="ED309" s="1653">
        <v>0</v>
      </c>
      <c r="EE309" s="1653">
        <v>0</v>
      </c>
      <c r="EF309" s="1653">
        <v>0</v>
      </c>
      <c r="EG309" s="1653">
        <v>0</v>
      </c>
      <c r="EH309" s="1653">
        <v>0</v>
      </c>
      <c r="EI309" s="1653">
        <v>0</v>
      </c>
      <c r="EJ309" s="1653">
        <v>0</v>
      </c>
      <c r="EK309" s="1653">
        <v>0</v>
      </c>
      <c r="EL309" s="1653">
        <v>0</v>
      </c>
      <c r="EM309" s="1653">
        <v>0</v>
      </c>
      <c r="EN309" s="1653">
        <v>0</v>
      </c>
      <c r="EO309" s="1653">
        <v>0</v>
      </c>
      <c r="EP309" s="1653">
        <v>0</v>
      </c>
      <c r="EQ309" s="1653">
        <v>0</v>
      </c>
      <c r="ER309" s="1653">
        <v>0</v>
      </c>
      <c r="ES309" s="1653">
        <v>0</v>
      </c>
      <c r="ET309" s="1653">
        <v>0</v>
      </c>
      <c r="EU309" s="1653">
        <v>0</v>
      </c>
      <c r="EV309" s="1653">
        <v>210</v>
      </c>
      <c r="EW309" s="1653">
        <v>0</v>
      </c>
      <c r="EX309" s="1653">
        <v>0</v>
      </c>
      <c r="EY309" s="1653">
        <v>0</v>
      </c>
      <c r="EZ309" s="1653"/>
      <c r="FA309" s="1653">
        <v>0</v>
      </c>
      <c r="FB309" s="1653"/>
      <c r="FC309" s="1653"/>
      <c r="FD309" s="1653"/>
      <c r="FE309" s="1653"/>
      <c r="FF309" s="1653">
        <v>0</v>
      </c>
      <c r="FG309" s="1653">
        <v>0</v>
      </c>
      <c r="FH309" s="1653">
        <v>0</v>
      </c>
      <c r="FI309" s="1653">
        <v>0</v>
      </c>
    </row>
    <row r="310" spans="1:165">
      <c r="A310" s="1653">
        <v>308</v>
      </c>
      <c r="B310" s="1653" t="s">
        <v>2260</v>
      </c>
      <c r="C310" s="1653" t="s">
        <v>2241</v>
      </c>
      <c r="D310" s="1653" t="s">
        <v>1989</v>
      </c>
      <c r="E310" s="1653" t="s">
        <v>968</v>
      </c>
      <c r="F310" s="1653" t="s">
        <v>968</v>
      </c>
      <c r="G310" s="1653" t="s">
        <v>1323</v>
      </c>
      <c r="H310" s="1653" t="s">
        <v>1323</v>
      </c>
      <c r="I310" s="1653" t="s">
        <v>1323</v>
      </c>
      <c r="J310" s="1653" t="s">
        <v>2242</v>
      </c>
      <c r="K310" s="1654">
        <v>44621</v>
      </c>
      <c r="L310" s="1653">
        <v>0</v>
      </c>
      <c r="M310" s="1653">
        <v>0</v>
      </c>
      <c r="N310" s="1653">
        <v>0.35</v>
      </c>
      <c r="O310" s="1653">
        <v>0.35</v>
      </c>
      <c r="P310" s="1653">
        <v>0.35</v>
      </c>
      <c r="Q310" s="1653">
        <v>0.35</v>
      </c>
      <c r="R310" s="1653"/>
      <c r="S310" s="1653">
        <v>358.62</v>
      </c>
      <c r="T310" s="1653">
        <v>273.74</v>
      </c>
      <c r="U310" s="1653"/>
      <c r="V310" s="1653">
        <v>221.32599999999999</v>
      </c>
      <c r="W310" s="1653">
        <v>221.32599999999999</v>
      </c>
      <c r="X310" s="1653">
        <v>214.59899999999999</v>
      </c>
      <c r="Y310" s="1653">
        <v>0</v>
      </c>
      <c r="Z310" s="1653">
        <v>21.131044266214818</v>
      </c>
      <c r="AA310" s="1653">
        <v>0</v>
      </c>
      <c r="AB310" s="1653">
        <v>0</v>
      </c>
      <c r="AC310" s="1653">
        <v>0</v>
      </c>
      <c r="AD310" s="1653">
        <v>30.130981194507513</v>
      </c>
      <c r="AE310" s="1653">
        <v>69.327717215276792</v>
      </c>
      <c r="AF310" s="1653">
        <v>95.808740891411432</v>
      </c>
      <c r="AG310" s="1653">
        <v>0</v>
      </c>
      <c r="AH310" s="1653">
        <v>0</v>
      </c>
      <c r="AI310" s="1653">
        <v>0</v>
      </c>
      <c r="AJ310" s="1653">
        <v>0</v>
      </c>
      <c r="AK310" s="1653">
        <v>0</v>
      </c>
      <c r="AL310" s="1653">
        <v>3.2677920944908787</v>
      </c>
      <c r="AM310" s="1653"/>
      <c r="AN310" s="1653">
        <v>0.37278197990624495</v>
      </c>
      <c r="AO310" s="1653">
        <v>0</v>
      </c>
      <c r="AP310" s="1653">
        <v>0</v>
      </c>
      <c r="AQ310" s="1653">
        <v>0</v>
      </c>
      <c r="AR310" s="1653">
        <v>0</v>
      </c>
      <c r="AS310" s="1653">
        <v>0</v>
      </c>
      <c r="AT310" s="1653">
        <v>0</v>
      </c>
      <c r="AU310" s="1653">
        <v>0</v>
      </c>
      <c r="AV310" s="1653">
        <v>0</v>
      </c>
      <c r="AW310" s="1653">
        <v>0</v>
      </c>
      <c r="AX310" s="1653">
        <v>0</v>
      </c>
      <c r="AY310" s="1653">
        <v>0</v>
      </c>
      <c r="AZ310" s="1653">
        <v>0</v>
      </c>
      <c r="BA310" s="1653"/>
      <c r="BB310" s="1653">
        <v>0</v>
      </c>
      <c r="BC310" s="1653">
        <v>0</v>
      </c>
      <c r="BD310" s="1653">
        <v>0</v>
      </c>
      <c r="BE310" s="1653">
        <v>0</v>
      </c>
      <c r="BF310" s="1653">
        <v>0</v>
      </c>
      <c r="BG310" s="1653">
        <v>1.287449183339844</v>
      </c>
      <c r="BH310" s="1653">
        <v>0</v>
      </c>
      <c r="BI310" s="1653">
        <v>2.04</v>
      </c>
      <c r="BJ310" s="1653">
        <v>9.4600000000000009</v>
      </c>
      <c r="BK310" s="1653">
        <v>115.44</v>
      </c>
      <c r="BL310" s="1653">
        <v>5</v>
      </c>
      <c r="BM310" s="1653"/>
      <c r="BN310" s="1653"/>
      <c r="BO310" s="1653"/>
      <c r="BP310" s="1653"/>
      <c r="BQ310" s="1653"/>
      <c r="BR310" s="1653"/>
      <c r="BS310" s="1653"/>
      <c r="BT310" s="1653"/>
      <c r="BU310" s="1653"/>
      <c r="BV310" s="1653">
        <v>97.096190074751277</v>
      </c>
      <c r="BW310" s="1653"/>
      <c r="BX310" s="1653"/>
      <c r="BY310" s="1653"/>
      <c r="BZ310" s="1653"/>
      <c r="CA310" s="1653"/>
      <c r="CB310" s="1653"/>
      <c r="CC310" s="1653"/>
      <c r="CD310" s="1653"/>
      <c r="CE310" s="1653"/>
      <c r="CF310" s="1653"/>
      <c r="CG310" s="1653"/>
      <c r="CH310" s="1653"/>
      <c r="CI310" s="1653">
        <v>214.59899999999999</v>
      </c>
      <c r="CJ310" s="1653">
        <v>-6.757000000000005</v>
      </c>
      <c r="CK310" s="1653"/>
      <c r="CL310" s="1653"/>
      <c r="CM310" s="1653"/>
      <c r="CN310" s="1653"/>
      <c r="CO310" s="1653">
        <v>-11.277000000000008</v>
      </c>
      <c r="CP310" s="1653">
        <v>4.55</v>
      </c>
      <c r="CQ310" s="1653">
        <v>31</v>
      </c>
      <c r="CR310" s="1653">
        <v>4.2916580816786905</v>
      </c>
      <c r="CS310" s="1653">
        <v>0</v>
      </c>
      <c r="CT310" s="1653">
        <v>0</v>
      </c>
      <c r="CU310" s="1653">
        <v>0</v>
      </c>
      <c r="CV310" s="1653">
        <v>0</v>
      </c>
      <c r="CW310" s="1653">
        <v>0</v>
      </c>
      <c r="CX310" s="1653">
        <v>0</v>
      </c>
      <c r="CY310" s="1653">
        <v>0</v>
      </c>
      <c r="CZ310" s="1653">
        <v>1.0328430944140088</v>
      </c>
      <c r="DA310" s="1653">
        <v>0</v>
      </c>
      <c r="DB310" s="1653">
        <v>0</v>
      </c>
      <c r="DC310" s="1653">
        <v>5.1611900902065173</v>
      </c>
      <c r="DD310" s="1653">
        <v>0</v>
      </c>
      <c r="DE310" s="1653">
        <v>0</v>
      </c>
      <c r="DF310" s="1653">
        <v>0</v>
      </c>
      <c r="DG310" s="1653">
        <v>6.9354527623209261E-2</v>
      </c>
      <c r="DH310" s="1653">
        <v>0</v>
      </c>
      <c r="DI310" s="1653">
        <v>-1.346919706184746</v>
      </c>
      <c r="DJ310" s="1653"/>
      <c r="DK310" s="1653">
        <v>0</v>
      </c>
      <c r="DL310" s="1653">
        <v>0</v>
      </c>
      <c r="DM310" s="1653">
        <v>0</v>
      </c>
      <c r="DN310" s="1653">
        <v>0</v>
      </c>
      <c r="DO310" s="1653">
        <v>-0.17133621386986331</v>
      </c>
      <c r="DP310" s="1653">
        <v>-2.4595938992432842E-2</v>
      </c>
      <c r="DQ310" s="1653">
        <v>0</v>
      </c>
      <c r="DR310" s="1653">
        <v>-0.42887777151797724</v>
      </c>
      <c r="DS310" s="1653"/>
      <c r="DT310" s="1653"/>
      <c r="DU310" s="1653"/>
      <c r="DV310" s="1653">
        <v>69.327717215276792</v>
      </c>
      <c r="DW310" s="1653">
        <v>0</v>
      </c>
      <c r="DX310" s="1653">
        <v>0</v>
      </c>
      <c r="DY310" s="1653">
        <v>-11.277000000000015</v>
      </c>
      <c r="DZ310" s="1653">
        <v>4.5499999999999972</v>
      </c>
      <c r="EA310" s="1653">
        <v>0</v>
      </c>
      <c r="EB310" s="1653">
        <v>0</v>
      </c>
      <c r="EC310" s="1653">
        <v>-11.019847367067698</v>
      </c>
      <c r="ED310" s="1653">
        <v>0</v>
      </c>
      <c r="EE310" s="1653">
        <v>0</v>
      </c>
      <c r="EF310" s="1653">
        <v>0</v>
      </c>
      <c r="EG310" s="1653">
        <v>0</v>
      </c>
      <c r="EH310" s="1653">
        <v>0</v>
      </c>
      <c r="EI310" s="1653">
        <v>0</v>
      </c>
      <c r="EJ310" s="1653">
        <v>0</v>
      </c>
      <c r="EK310" s="1653">
        <v>0</v>
      </c>
      <c r="EL310" s="1653">
        <v>0</v>
      </c>
      <c r="EM310" s="1653">
        <v>0</v>
      </c>
      <c r="EN310" s="1653">
        <v>0</v>
      </c>
      <c r="EO310" s="1653">
        <v>0</v>
      </c>
      <c r="EP310" s="1653">
        <v>0</v>
      </c>
      <c r="EQ310" s="1653">
        <v>0</v>
      </c>
      <c r="ER310" s="1653">
        <v>0</v>
      </c>
      <c r="ES310" s="1653">
        <v>0</v>
      </c>
      <c r="ET310" s="1653">
        <v>0</v>
      </c>
      <c r="EU310" s="1653">
        <v>0</v>
      </c>
      <c r="EV310" s="1653">
        <v>210</v>
      </c>
      <c r="EW310" s="1653">
        <v>0</v>
      </c>
      <c r="EX310" s="1653">
        <v>0</v>
      </c>
      <c r="EY310" s="1653">
        <v>0</v>
      </c>
      <c r="EZ310" s="1653"/>
      <c r="FA310" s="1653">
        <v>0</v>
      </c>
      <c r="FB310" s="1653"/>
      <c r="FC310" s="1653"/>
      <c r="FD310" s="1653"/>
      <c r="FE310" s="1653"/>
      <c r="FF310" s="1653">
        <v>0</v>
      </c>
      <c r="FG310" s="1653">
        <v>0</v>
      </c>
      <c r="FH310" s="1653">
        <v>0</v>
      </c>
      <c r="FI310" s="1653">
        <v>0</v>
      </c>
    </row>
    <row r="311" spans="1:165">
      <c r="A311" s="1653">
        <v>309</v>
      </c>
      <c r="B311" s="1653" t="s">
        <v>2260</v>
      </c>
      <c r="C311" s="1653" t="s">
        <v>2241</v>
      </c>
      <c r="D311" s="1653" t="s">
        <v>1989</v>
      </c>
      <c r="E311" s="1653" t="s">
        <v>968</v>
      </c>
      <c r="F311" s="1653" t="s">
        <v>2243</v>
      </c>
      <c r="G311" s="1653" t="s">
        <v>1323</v>
      </c>
      <c r="H311" s="1653" t="s">
        <v>1323</v>
      </c>
      <c r="I311" s="1653" t="s">
        <v>1323</v>
      </c>
      <c r="J311" s="1653" t="s">
        <v>2242</v>
      </c>
      <c r="K311" s="1654">
        <v>44621</v>
      </c>
      <c r="L311" s="1653">
        <v>0</v>
      </c>
      <c r="M311" s="1653">
        <v>0</v>
      </c>
      <c r="N311" s="1653">
        <v>0.33</v>
      </c>
      <c r="O311" s="1653">
        <v>0.33</v>
      </c>
      <c r="P311" s="1653">
        <v>0.33</v>
      </c>
      <c r="Q311" s="1653">
        <v>0.33</v>
      </c>
      <c r="R311" s="1653"/>
      <c r="S311" s="1653">
        <v>288.91000000000003</v>
      </c>
      <c r="T311" s="1653">
        <v>273.74</v>
      </c>
      <c r="U311" s="1653"/>
      <c r="V311" s="1653">
        <v>185.67450000000002</v>
      </c>
      <c r="W311" s="1653">
        <v>185.67450000000002</v>
      </c>
      <c r="X311" s="1653">
        <v>180.7278</v>
      </c>
      <c r="Y311" s="1653">
        <v>0</v>
      </c>
      <c r="Z311" s="1653">
        <v>0</v>
      </c>
      <c r="AA311" s="1653">
        <v>0</v>
      </c>
      <c r="AB311" s="1653">
        <v>0</v>
      </c>
      <c r="AC311" s="1653">
        <v>0</v>
      </c>
      <c r="AD311" s="1653">
        <v>28.409210840535657</v>
      </c>
      <c r="AE311" s="1653">
        <v>65.366133374403844</v>
      </c>
      <c r="AF311" s="1653">
        <v>90.333955697616503</v>
      </c>
      <c r="AG311" s="1653">
        <v>0</v>
      </c>
      <c r="AH311" s="1653">
        <v>0</v>
      </c>
      <c r="AI311" s="1653">
        <v>0</v>
      </c>
      <c r="AJ311" s="1653">
        <v>0</v>
      </c>
      <c r="AK311" s="1653">
        <v>0</v>
      </c>
      <c r="AL311" s="1653">
        <v>0</v>
      </c>
      <c r="AM311" s="1653"/>
      <c r="AN311" s="1653">
        <v>0.35148015248303099</v>
      </c>
      <c r="AO311" s="1653">
        <v>0</v>
      </c>
      <c r="AP311" s="1653">
        <v>0</v>
      </c>
      <c r="AQ311" s="1653">
        <v>0</v>
      </c>
      <c r="AR311" s="1653">
        <v>0</v>
      </c>
      <c r="AS311" s="1653">
        <v>0</v>
      </c>
      <c r="AT311" s="1653">
        <v>0</v>
      </c>
      <c r="AU311" s="1653">
        <v>0</v>
      </c>
      <c r="AV311" s="1653">
        <v>0</v>
      </c>
      <c r="AW311" s="1653">
        <v>0</v>
      </c>
      <c r="AX311" s="1653">
        <v>0</v>
      </c>
      <c r="AY311" s="1653">
        <v>0</v>
      </c>
      <c r="AZ311" s="1653">
        <v>0</v>
      </c>
      <c r="BA311" s="1653"/>
      <c r="BB311" s="1653">
        <v>0</v>
      </c>
      <c r="BC311" s="1653">
        <v>0</v>
      </c>
      <c r="BD311" s="1653">
        <v>0</v>
      </c>
      <c r="BE311" s="1653">
        <v>0</v>
      </c>
      <c r="BF311" s="1653">
        <v>0</v>
      </c>
      <c r="BG311" s="1653">
        <v>1.2138806585775672</v>
      </c>
      <c r="BH311" s="1653">
        <v>0</v>
      </c>
      <c r="BI311" s="1653">
        <v>0.48</v>
      </c>
      <c r="BJ311" s="1653">
        <v>2.38</v>
      </c>
      <c r="BK311" s="1653">
        <v>14.1</v>
      </c>
      <c r="BL311" s="1653">
        <v>0</v>
      </c>
      <c r="BM311" s="1653"/>
      <c r="BN311" s="1653"/>
      <c r="BO311" s="1653"/>
      <c r="BP311" s="1653"/>
      <c r="BQ311" s="1653"/>
      <c r="BR311" s="1653"/>
      <c r="BS311" s="1653"/>
      <c r="BT311" s="1653">
        <v>117.47340000000001</v>
      </c>
      <c r="BU311" s="1653"/>
      <c r="BV311" s="1653">
        <v>91.547836356194068</v>
      </c>
      <c r="BW311" s="1653"/>
      <c r="BX311" s="1653"/>
      <c r="BY311" s="1653"/>
      <c r="BZ311" s="1653"/>
      <c r="CA311" s="1653"/>
      <c r="CB311" s="1653"/>
      <c r="CC311" s="1653"/>
      <c r="CD311" s="1653"/>
      <c r="CE311" s="1653"/>
      <c r="CF311" s="1653"/>
      <c r="CG311" s="1653"/>
      <c r="CH311" s="1653"/>
      <c r="CI311" s="1653">
        <v>63.254400000000004</v>
      </c>
      <c r="CJ311" s="1653">
        <v>-1.7625000000000028</v>
      </c>
      <c r="CK311" s="1653"/>
      <c r="CL311" s="1653"/>
      <c r="CM311" s="1653"/>
      <c r="CN311" s="1653"/>
      <c r="CO311" s="1653">
        <v>-9.2367000000000026</v>
      </c>
      <c r="CP311" s="1653">
        <v>4.29</v>
      </c>
      <c r="CQ311" s="1653">
        <v>31</v>
      </c>
      <c r="CR311" s="1653">
        <v>5.4447165074347623</v>
      </c>
      <c r="CS311" s="1653">
        <v>0</v>
      </c>
      <c r="CT311" s="1653">
        <v>0</v>
      </c>
      <c r="CU311" s="1653">
        <v>0</v>
      </c>
      <c r="CV311" s="1653">
        <v>0</v>
      </c>
      <c r="CW311" s="1653">
        <v>0</v>
      </c>
      <c r="CX311" s="1653">
        <v>0</v>
      </c>
      <c r="CY311" s="1653">
        <v>0</v>
      </c>
      <c r="CZ311" s="1653">
        <v>0.97382348901892257</v>
      </c>
      <c r="DA311" s="1653">
        <v>0</v>
      </c>
      <c r="DB311" s="1653">
        <v>0</v>
      </c>
      <c r="DC311" s="1653">
        <v>4.8662649421947179</v>
      </c>
      <c r="DD311" s="1653">
        <v>0</v>
      </c>
      <c r="DE311" s="1653">
        <v>0</v>
      </c>
      <c r="DF311" s="1653">
        <v>0</v>
      </c>
      <c r="DG311" s="1653">
        <v>6.5391411759026186E-2</v>
      </c>
      <c r="DH311" s="1653">
        <v>0</v>
      </c>
      <c r="DI311" s="1653">
        <v>0</v>
      </c>
      <c r="DJ311" s="1653"/>
      <c r="DK311" s="1653">
        <v>0</v>
      </c>
      <c r="DL311" s="1653">
        <v>0</v>
      </c>
      <c r="DM311" s="1653">
        <v>0</v>
      </c>
      <c r="DN311" s="1653">
        <v>0</v>
      </c>
      <c r="DO311" s="1653">
        <v>0</v>
      </c>
      <c r="DP311" s="1653">
        <v>-2.3190456764293821E-2</v>
      </c>
      <c r="DQ311" s="1653">
        <v>0</v>
      </c>
      <c r="DR311" s="1653">
        <v>-0.437572878773614</v>
      </c>
      <c r="DS311" s="1653"/>
      <c r="DT311" s="1653"/>
      <c r="DU311" s="1653"/>
      <c r="DV311" s="1653">
        <v>65.366133374403844</v>
      </c>
      <c r="DW311" s="1653">
        <v>0</v>
      </c>
      <c r="DX311" s="1653">
        <v>0</v>
      </c>
      <c r="DY311" s="1653">
        <v>-9.236699999999999</v>
      </c>
      <c r="DZ311" s="1653">
        <v>4.289999999999992</v>
      </c>
      <c r="EA311" s="1653">
        <v>0</v>
      </c>
      <c r="EB311" s="1653">
        <v>0</v>
      </c>
      <c r="EC311" s="1653">
        <v>-10.390141803235267</v>
      </c>
      <c r="ED311" s="1653">
        <v>0</v>
      </c>
      <c r="EE311" s="1653">
        <v>0</v>
      </c>
      <c r="EF311" s="1653">
        <v>0</v>
      </c>
      <c r="EG311" s="1653">
        <v>0</v>
      </c>
      <c r="EH311" s="1653">
        <v>0</v>
      </c>
      <c r="EI311" s="1653">
        <v>0</v>
      </c>
      <c r="EJ311" s="1653">
        <v>0</v>
      </c>
      <c r="EK311" s="1653">
        <v>0</v>
      </c>
      <c r="EL311" s="1653">
        <v>0</v>
      </c>
      <c r="EM311" s="1653">
        <v>0</v>
      </c>
      <c r="EN311" s="1653">
        <v>0</v>
      </c>
      <c r="EO311" s="1653">
        <v>0</v>
      </c>
      <c r="EP311" s="1653">
        <v>0</v>
      </c>
      <c r="EQ311" s="1653">
        <v>0</v>
      </c>
      <c r="ER311" s="1653">
        <v>0</v>
      </c>
      <c r="ES311" s="1653">
        <v>0</v>
      </c>
      <c r="ET311" s="1653">
        <v>0</v>
      </c>
      <c r="EU311" s="1653">
        <v>0</v>
      </c>
      <c r="EV311" s="1653">
        <v>210</v>
      </c>
      <c r="EW311" s="1653">
        <v>0</v>
      </c>
      <c r="EX311" s="1653">
        <v>0</v>
      </c>
      <c r="EY311" s="1653">
        <v>0</v>
      </c>
      <c r="EZ311" s="1653"/>
      <c r="FA311" s="1653">
        <v>0</v>
      </c>
      <c r="FB311" s="1653"/>
      <c r="FC311" s="1653"/>
      <c r="FD311" s="1653"/>
      <c r="FE311" s="1653"/>
      <c r="FF311" s="1653">
        <v>0</v>
      </c>
      <c r="FG311" s="1653">
        <v>0</v>
      </c>
      <c r="FH311" s="1653">
        <v>0</v>
      </c>
      <c r="FI311" s="1653">
        <v>0</v>
      </c>
    </row>
    <row r="312" spans="1:165">
      <c r="A312" s="1653">
        <v>310</v>
      </c>
      <c r="B312" s="1653" t="s">
        <v>2260</v>
      </c>
      <c r="C312" s="1653" t="s">
        <v>2241</v>
      </c>
      <c r="D312" s="1653" t="s">
        <v>1989</v>
      </c>
      <c r="E312" s="1653" t="s">
        <v>968</v>
      </c>
      <c r="F312" s="1653" t="s">
        <v>2244</v>
      </c>
      <c r="G312" s="1653" t="s">
        <v>1323</v>
      </c>
      <c r="H312" s="1653" t="s">
        <v>1323</v>
      </c>
      <c r="I312" s="1653" t="s">
        <v>1323</v>
      </c>
      <c r="J312" s="1653" t="s">
        <v>2242</v>
      </c>
      <c r="K312" s="1654">
        <v>44621</v>
      </c>
      <c r="L312" s="1653">
        <v>0</v>
      </c>
      <c r="M312" s="1653">
        <v>0</v>
      </c>
      <c r="N312" s="1653">
        <v>0.70399999999999996</v>
      </c>
      <c r="O312" s="1653">
        <v>0.70399999999999996</v>
      </c>
      <c r="P312" s="1653">
        <v>0.70399999999999996</v>
      </c>
      <c r="Q312" s="1653">
        <v>0.70399999999999996</v>
      </c>
      <c r="R312" s="1653"/>
      <c r="S312" s="1653">
        <v>288.91000000000003</v>
      </c>
      <c r="T312" s="1653">
        <v>273.74</v>
      </c>
      <c r="U312" s="1653"/>
      <c r="V312" s="1653">
        <v>396.10559999999998</v>
      </c>
      <c r="W312" s="1653">
        <v>396.10559999999998</v>
      </c>
      <c r="X312" s="1653">
        <v>385.55264</v>
      </c>
      <c r="Y312" s="1653">
        <v>0</v>
      </c>
      <c r="Z312" s="1653">
        <v>0</v>
      </c>
      <c r="AA312" s="1653">
        <v>0</v>
      </c>
      <c r="AB312" s="1653">
        <v>0</v>
      </c>
      <c r="AC312" s="1653">
        <v>0</v>
      </c>
      <c r="AD312" s="1653">
        <v>60.606316459809392</v>
      </c>
      <c r="AE312" s="1653">
        <v>139.44775119872818</v>
      </c>
      <c r="AF312" s="1653">
        <v>192.71243882158186</v>
      </c>
      <c r="AG312" s="1653">
        <v>0</v>
      </c>
      <c r="AH312" s="1653">
        <v>0</v>
      </c>
      <c r="AI312" s="1653">
        <v>0</v>
      </c>
      <c r="AJ312" s="1653">
        <v>0</v>
      </c>
      <c r="AK312" s="1653">
        <v>0</v>
      </c>
      <c r="AL312" s="1653">
        <v>0</v>
      </c>
      <c r="AM312" s="1653"/>
      <c r="AN312" s="1653">
        <v>0.74982432529713272</v>
      </c>
      <c r="AO312" s="1653">
        <v>0</v>
      </c>
      <c r="AP312" s="1653">
        <v>0</v>
      </c>
      <c r="AQ312" s="1653">
        <v>0</v>
      </c>
      <c r="AR312" s="1653">
        <v>0</v>
      </c>
      <c r="AS312" s="1653">
        <v>0</v>
      </c>
      <c r="AT312" s="1653">
        <v>0</v>
      </c>
      <c r="AU312" s="1653">
        <v>0</v>
      </c>
      <c r="AV312" s="1653">
        <v>0</v>
      </c>
      <c r="AW312" s="1653">
        <v>0</v>
      </c>
      <c r="AX312" s="1653">
        <v>0</v>
      </c>
      <c r="AY312" s="1653">
        <v>0</v>
      </c>
      <c r="AZ312" s="1653">
        <v>0</v>
      </c>
      <c r="BA312" s="1653"/>
      <c r="BB312" s="1653">
        <v>0</v>
      </c>
      <c r="BC312" s="1653">
        <v>0</v>
      </c>
      <c r="BD312" s="1653">
        <v>0</v>
      </c>
      <c r="BE312" s="1653">
        <v>0</v>
      </c>
      <c r="BF312" s="1653">
        <v>0</v>
      </c>
      <c r="BG312" s="1653">
        <v>2.5896120716321431</v>
      </c>
      <c r="BH312" s="1653">
        <v>0</v>
      </c>
      <c r="BI312" s="1653">
        <v>1.96</v>
      </c>
      <c r="BJ312" s="1653">
        <v>8.99</v>
      </c>
      <c r="BK312" s="1653">
        <v>56.65</v>
      </c>
      <c r="BL312" s="1653">
        <v>1</v>
      </c>
      <c r="BM312" s="1653"/>
      <c r="BN312" s="1653"/>
      <c r="BO312" s="1653"/>
      <c r="BP312" s="1653"/>
      <c r="BQ312" s="1653"/>
      <c r="BR312" s="1653"/>
      <c r="BS312" s="1653"/>
      <c r="BT312" s="1653">
        <v>154.21823999999998</v>
      </c>
      <c r="BU312" s="1653"/>
      <c r="BV312" s="1653">
        <v>195.30205089321399</v>
      </c>
      <c r="BW312" s="1653"/>
      <c r="BX312" s="1653"/>
      <c r="BY312" s="1653"/>
      <c r="BZ312" s="1653"/>
      <c r="CA312" s="1653"/>
      <c r="CB312" s="1653"/>
      <c r="CC312" s="1653"/>
      <c r="CD312" s="1653"/>
      <c r="CE312" s="1653"/>
      <c r="CF312" s="1653"/>
      <c r="CG312" s="1653"/>
      <c r="CH312" s="1653"/>
      <c r="CI312" s="1653">
        <v>230.02</v>
      </c>
      <c r="CJ312" s="1653">
        <v>-7.673359999999974</v>
      </c>
      <c r="CK312" s="1653"/>
      <c r="CL312" s="1653"/>
      <c r="CM312" s="1653"/>
      <c r="CN312" s="1653"/>
      <c r="CO312" s="1653">
        <v>-19.704960000000007</v>
      </c>
      <c r="CP312" s="1653">
        <v>9.1519999999999992</v>
      </c>
      <c r="CQ312" s="1653">
        <v>31</v>
      </c>
      <c r="CR312" s="1653">
        <v>11.615395215860815</v>
      </c>
      <c r="CS312" s="1653">
        <v>0</v>
      </c>
      <c r="CT312" s="1653">
        <v>0</v>
      </c>
      <c r="CU312" s="1653">
        <v>0</v>
      </c>
      <c r="CV312" s="1653">
        <v>0</v>
      </c>
      <c r="CW312" s="1653">
        <v>0</v>
      </c>
      <c r="CX312" s="1653">
        <v>0</v>
      </c>
      <c r="CY312" s="1653">
        <v>0</v>
      </c>
      <c r="CZ312" s="1653">
        <v>2.0774901099070391</v>
      </c>
      <c r="DA312" s="1653">
        <v>0</v>
      </c>
      <c r="DB312" s="1653">
        <v>0</v>
      </c>
      <c r="DC312" s="1653">
        <v>10.381365210015389</v>
      </c>
      <c r="DD312" s="1653">
        <v>0</v>
      </c>
      <c r="DE312" s="1653">
        <v>0</v>
      </c>
      <c r="DF312" s="1653">
        <v>0</v>
      </c>
      <c r="DG312" s="1653">
        <v>0.13950167841925554</v>
      </c>
      <c r="DH312" s="1653">
        <v>0</v>
      </c>
      <c r="DI312" s="1653">
        <v>0</v>
      </c>
      <c r="DJ312" s="1653"/>
      <c r="DK312" s="1653">
        <v>0</v>
      </c>
      <c r="DL312" s="1653">
        <v>0</v>
      </c>
      <c r="DM312" s="1653">
        <v>0</v>
      </c>
      <c r="DN312" s="1653">
        <v>0</v>
      </c>
      <c r="DO312" s="1653">
        <v>0</v>
      </c>
      <c r="DP312" s="1653">
        <v>-4.9472974430493477E-2</v>
      </c>
      <c r="DQ312" s="1653">
        <v>0</v>
      </c>
      <c r="DR312" s="1653">
        <v>-0.93348880805037626</v>
      </c>
      <c r="DS312" s="1653"/>
      <c r="DT312" s="1653"/>
      <c r="DU312" s="1653"/>
      <c r="DV312" s="1653">
        <v>139.44775119872818</v>
      </c>
      <c r="DW312" s="1653">
        <v>0</v>
      </c>
      <c r="DX312" s="1653">
        <v>0</v>
      </c>
      <c r="DY312" s="1653">
        <v>-19.70496</v>
      </c>
      <c r="DZ312" s="1653">
        <v>9.1520000000000152</v>
      </c>
      <c r="EA312" s="1653">
        <v>0</v>
      </c>
      <c r="EB312" s="1653">
        <v>0</v>
      </c>
      <c r="EC312" s="1653">
        <v>-22.165635846901893</v>
      </c>
      <c r="ED312" s="1653">
        <v>0</v>
      </c>
      <c r="EE312" s="1653">
        <v>0</v>
      </c>
      <c r="EF312" s="1653">
        <v>0</v>
      </c>
      <c r="EG312" s="1653">
        <v>0</v>
      </c>
      <c r="EH312" s="1653">
        <v>0</v>
      </c>
      <c r="EI312" s="1653">
        <v>0</v>
      </c>
      <c r="EJ312" s="1653">
        <v>0</v>
      </c>
      <c r="EK312" s="1653">
        <v>0</v>
      </c>
      <c r="EL312" s="1653">
        <v>0</v>
      </c>
      <c r="EM312" s="1653">
        <v>0</v>
      </c>
      <c r="EN312" s="1653">
        <v>0</v>
      </c>
      <c r="EO312" s="1653">
        <v>0</v>
      </c>
      <c r="EP312" s="1653">
        <v>0</v>
      </c>
      <c r="EQ312" s="1653">
        <v>0</v>
      </c>
      <c r="ER312" s="1653">
        <v>0</v>
      </c>
      <c r="ES312" s="1653">
        <v>0</v>
      </c>
      <c r="ET312" s="1653">
        <v>0</v>
      </c>
      <c r="EU312" s="1653">
        <v>0</v>
      </c>
      <c r="EV312" s="1653">
        <v>210</v>
      </c>
      <c r="EW312" s="1653">
        <v>0</v>
      </c>
      <c r="EX312" s="1653">
        <v>0</v>
      </c>
      <c r="EY312" s="1653">
        <v>0</v>
      </c>
      <c r="EZ312" s="1653"/>
      <c r="FA312" s="1653">
        <v>0</v>
      </c>
      <c r="FB312" s="1653"/>
      <c r="FC312" s="1653"/>
      <c r="FD312" s="1653"/>
      <c r="FE312" s="1653"/>
      <c r="FF312" s="1653">
        <v>0</v>
      </c>
      <c r="FG312" s="1653">
        <v>0</v>
      </c>
      <c r="FH312" s="1653">
        <v>0</v>
      </c>
      <c r="FI312" s="1653">
        <v>0</v>
      </c>
    </row>
    <row r="313" spans="1:165">
      <c r="A313" s="1653">
        <v>311</v>
      </c>
      <c r="B313" s="1653" t="s">
        <v>2260</v>
      </c>
      <c r="C313" s="1653" t="s">
        <v>2241</v>
      </c>
      <c r="D313" s="1653" t="s">
        <v>1989</v>
      </c>
      <c r="E313" s="1653" t="s">
        <v>968</v>
      </c>
      <c r="F313" s="1653" t="s">
        <v>2245</v>
      </c>
      <c r="G313" s="1653" t="s">
        <v>1323</v>
      </c>
      <c r="H313" s="1653" t="s">
        <v>1323</v>
      </c>
      <c r="I313" s="1653" t="s">
        <v>1323</v>
      </c>
      <c r="J313" s="1653" t="s">
        <v>2242</v>
      </c>
      <c r="K313" s="1654">
        <v>44621</v>
      </c>
      <c r="L313" s="1653">
        <v>0</v>
      </c>
      <c r="M313" s="1653">
        <v>0</v>
      </c>
      <c r="N313" s="1653">
        <v>0.91900000000000004</v>
      </c>
      <c r="O313" s="1653">
        <v>0.91900000000000004</v>
      </c>
      <c r="P313" s="1653">
        <v>0.91900000000000004</v>
      </c>
      <c r="Q313" s="1653">
        <v>0.91900000000000004</v>
      </c>
      <c r="R313" s="1653"/>
      <c r="S313" s="1653">
        <v>288.91000000000003</v>
      </c>
      <c r="T313" s="1653">
        <v>273.74</v>
      </c>
      <c r="U313" s="1653"/>
      <c r="V313" s="1653">
        <v>517.07535000000007</v>
      </c>
      <c r="W313" s="1653">
        <v>517.07535000000007</v>
      </c>
      <c r="X313" s="1653">
        <v>503.29954000000009</v>
      </c>
      <c r="Y313" s="1653">
        <v>0</v>
      </c>
      <c r="Z313" s="1653">
        <v>0</v>
      </c>
      <c r="AA313" s="1653">
        <v>0</v>
      </c>
      <c r="AB313" s="1653">
        <v>0</v>
      </c>
      <c r="AC313" s="1653">
        <v>0</v>
      </c>
      <c r="AD313" s="1653">
        <v>79.115347765006874</v>
      </c>
      <c r="AE313" s="1653">
        <v>182.03477748811252</v>
      </c>
      <c r="AF313" s="1653">
        <v>251.56637965487747</v>
      </c>
      <c r="AG313" s="1653">
        <v>0</v>
      </c>
      <c r="AH313" s="1653">
        <v>0</v>
      </c>
      <c r="AI313" s="1653">
        <v>0</v>
      </c>
      <c r="AJ313" s="1653">
        <v>0</v>
      </c>
      <c r="AK313" s="1653">
        <v>0</v>
      </c>
      <c r="AL313" s="1653">
        <v>0</v>
      </c>
      <c r="AM313" s="1653"/>
      <c r="AN313" s="1653">
        <v>0.97881897009668328</v>
      </c>
      <c r="AO313" s="1653">
        <v>0</v>
      </c>
      <c r="AP313" s="1653">
        <v>0</v>
      </c>
      <c r="AQ313" s="1653">
        <v>0</v>
      </c>
      <c r="AR313" s="1653">
        <v>0</v>
      </c>
      <c r="AS313" s="1653">
        <v>0</v>
      </c>
      <c r="AT313" s="1653">
        <v>0</v>
      </c>
      <c r="AU313" s="1653">
        <v>0</v>
      </c>
      <c r="AV313" s="1653">
        <v>0</v>
      </c>
      <c r="AW313" s="1653">
        <v>0</v>
      </c>
      <c r="AX313" s="1653">
        <v>0</v>
      </c>
      <c r="AY313" s="1653">
        <v>0</v>
      </c>
      <c r="AZ313" s="1653">
        <v>0</v>
      </c>
      <c r="BA313" s="1653"/>
      <c r="BB313" s="1653">
        <v>0</v>
      </c>
      <c r="BC313" s="1653">
        <v>0</v>
      </c>
      <c r="BD313" s="1653">
        <v>0</v>
      </c>
      <c r="BE313" s="1653">
        <v>0</v>
      </c>
      <c r="BF313" s="1653">
        <v>0</v>
      </c>
      <c r="BG313" s="1653">
        <v>3.3804737128266193</v>
      </c>
      <c r="BH313" s="1653">
        <v>0</v>
      </c>
      <c r="BI313" s="1653">
        <v>3.89</v>
      </c>
      <c r="BJ313" s="1653">
        <v>17.989999999999998</v>
      </c>
      <c r="BK313" s="1653">
        <v>125.57</v>
      </c>
      <c r="BL313" s="1653">
        <v>7</v>
      </c>
      <c r="BM313" s="1653"/>
      <c r="BN313" s="1653"/>
      <c r="BO313" s="1653"/>
      <c r="BP313" s="1653"/>
      <c r="BQ313" s="1653"/>
      <c r="BR313" s="1653"/>
      <c r="BS313" s="1653"/>
      <c r="BT313" s="1653">
        <v>50.324440000000024</v>
      </c>
      <c r="BU313" s="1653"/>
      <c r="BV313" s="1653">
        <v>254.94685336770408</v>
      </c>
      <c r="BW313" s="1653"/>
      <c r="BX313" s="1653"/>
      <c r="BY313" s="1653"/>
      <c r="BZ313" s="1653"/>
      <c r="CA313" s="1653"/>
      <c r="CB313" s="1653"/>
      <c r="CC313" s="1653"/>
      <c r="CD313" s="1653"/>
      <c r="CE313" s="1653"/>
      <c r="CF313" s="1653"/>
      <c r="CG313" s="1653"/>
      <c r="CH313" s="1653"/>
      <c r="CI313" s="1653">
        <v>453.46800000000002</v>
      </c>
      <c r="CJ313" s="1653">
        <v>-11.934410000000014</v>
      </c>
      <c r="CK313" s="1653"/>
      <c r="CL313" s="1653"/>
      <c r="CM313" s="1653"/>
      <c r="CN313" s="1653"/>
      <c r="CO313" s="1653">
        <v>-25.72281000000001</v>
      </c>
      <c r="CP313" s="1653">
        <v>11.947000000000001</v>
      </c>
      <c r="CQ313" s="1653">
        <v>31</v>
      </c>
      <c r="CR313" s="1653">
        <v>15.162710516159279</v>
      </c>
      <c r="CS313" s="1653">
        <v>0</v>
      </c>
      <c r="CT313" s="1653">
        <v>0</v>
      </c>
      <c r="CU313" s="1653">
        <v>0</v>
      </c>
      <c r="CV313" s="1653">
        <v>0</v>
      </c>
      <c r="CW313" s="1653">
        <v>0</v>
      </c>
      <c r="CX313" s="1653">
        <v>0</v>
      </c>
      <c r="CY313" s="1653">
        <v>0</v>
      </c>
      <c r="CZ313" s="1653">
        <v>2.711950867904207</v>
      </c>
      <c r="DA313" s="1653">
        <v>0</v>
      </c>
      <c r="DB313" s="1653">
        <v>0</v>
      </c>
      <c r="DC313" s="1653">
        <v>13.551810551142268</v>
      </c>
      <c r="DD313" s="1653">
        <v>0</v>
      </c>
      <c r="DE313" s="1653">
        <v>0</v>
      </c>
      <c r="DF313" s="1653">
        <v>0</v>
      </c>
      <c r="DG313" s="1653">
        <v>0.18210517395922698</v>
      </c>
      <c r="DH313" s="1653">
        <v>0</v>
      </c>
      <c r="DI313" s="1653">
        <v>0</v>
      </c>
      <c r="DJ313" s="1653"/>
      <c r="DK313" s="1653">
        <v>0</v>
      </c>
      <c r="DL313" s="1653">
        <v>0</v>
      </c>
      <c r="DM313" s="1653">
        <v>0</v>
      </c>
      <c r="DN313" s="1653">
        <v>0</v>
      </c>
      <c r="DO313" s="1653">
        <v>0</v>
      </c>
      <c r="DP313" s="1653">
        <v>-6.458190838298794E-2</v>
      </c>
      <c r="DQ313" s="1653">
        <v>0</v>
      </c>
      <c r="DR313" s="1653">
        <v>-1.2185741684634885</v>
      </c>
      <c r="DS313" s="1653"/>
      <c r="DT313" s="1653"/>
      <c r="DU313" s="1653"/>
      <c r="DV313" s="1653">
        <v>182.03477748811252</v>
      </c>
      <c r="DW313" s="1653">
        <v>0</v>
      </c>
      <c r="DX313" s="1653">
        <v>0</v>
      </c>
      <c r="DY313" s="1653">
        <v>-25.72281000000001</v>
      </c>
      <c r="DZ313" s="1653">
        <v>11.947000000000003</v>
      </c>
      <c r="EA313" s="1653">
        <v>0</v>
      </c>
      <c r="EB313" s="1653">
        <v>0</v>
      </c>
      <c r="EC313" s="1653">
        <v>-28.934970658100639</v>
      </c>
      <c r="ED313" s="1653">
        <v>0</v>
      </c>
      <c r="EE313" s="1653">
        <v>0</v>
      </c>
      <c r="EF313" s="1653">
        <v>0</v>
      </c>
      <c r="EG313" s="1653">
        <v>0</v>
      </c>
      <c r="EH313" s="1653">
        <v>0</v>
      </c>
      <c r="EI313" s="1653">
        <v>0</v>
      </c>
      <c r="EJ313" s="1653">
        <v>0</v>
      </c>
      <c r="EK313" s="1653">
        <v>0</v>
      </c>
      <c r="EL313" s="1653">
        <v>0</v>
      </c>
      <c r="EM313" s="1653">
        <v>0</v>
      </c>
      <c r="EN313" s="1653">
        <v>0</v>
      </c>
      <c r="EO313" s="1653">
        <v>0</v>
      </c>
      <c r="EP313" s="1653">
        <v>0</v>
      </c>
      <c r="EQ313" s="1653">
        <v>0</v>
      </c>
      <c r="ER313" s="1653">
        <v>0</v>
      </c>
      <c r="ES313" s="1653">
        <v>0</v>
      </c>
      <c r="ET313" s="1653">
        <v>0</v>
      </c>
      <c r="EU313" s="1653">
        <v>0</v>
      </c>
      <c r="EV313" s="1653">
        <v>210</v>
      </c>
      <c r="EW313" s="1653">
        <v>0</v>
      </c>
      <c r="EX313" s="1653">
        <v>0</v>
      </c>
      <c r="EY313" s="1653">
        <v>0</v>
      </c>
      <c r="EZ313" s="1653"/>
      <c r="FA313" s="1653">
        <v>0</v>
      </c>
      <c r="FB313" s="1653"/>
      <c r="FC313" s="1653"/>
      <c r="FD313" s="1653"/>
      <c r="FE313" s="1653"/>
      <c r="FF313" s="1653">
        <v>0</v>
      </c>
      <c r="FG313" s="1653">
        <v>0</v>
      </c>
      <c r="FH313" s="1653">
        <v>0</v>
      </c>
      <c r="FI313" s="1653">
        <v>0</v>
      </c>
    </row>
    <row r="314" spans="1:165">
      <c r="A314" s="1653">
        <v>312</v>
      </c>
      <c r="B314" s="1653" t="s">
        <v>2260</v>
      </c>
      <c r="C314" s="1653" t="s">
        <v>2241</v>
      </c>
      <c r="D314" s="1653" t="s">
        <v>1989</v>
      </c>
      <c r="E314" s="1653" t="s">
        <v>968</v>
      </c>
      <c r="F314" s="1653" t="s">
        <v>2258</v>
      </c>
      <c r="G314" s="1653" t="s">
        <v>1323</v>
      </c>
      <c r="H314" s="1653" t="s">
        <v>1323</v>
      </c>
      <c r="I314" s="1653" t="s">
        <v>1323</v>
      </c>
      <c r="J314" s="1653" t="s">
        <v>2242</v>
      </c>
      <c r="K314" s="1654">
        <v>44621</v>
      </c>
      <c r="L314" s="1653">
        <v>0</v>
      </c>
      <c r="M314" s="1653">
        <v>0</v>
      </c>
      <c r="N314" s="1653">
        <v>0.105</v>
      </c>
      <c r="O314" s="1653">
        <v>0.105</v>
      </c>
      <c r="P314" s="1653">
        <v>0.105</v>
      </c>
      <c r="Q314" s="1653">
        <v>0.105</v>
      </c>
      <c r="R314" s="1653"/>
      <c r="S314" s="1653">
        <v>288.91000000000003</v>
      </c>
      <c r="T314" s="1653">
        <v>273.74</v>
      </c>
      <c r="U314" s="1653"/>
      <c r="V314" s="1653">
        <v>59.078249999999997</v>
      </c>
      <c r="W314" s="1653">
        <v>59.078249999999997</v>
      </c>
      <c r="X314" s="1653">
        <v>57.504300000000001</v>
      </c>
      <c r="Y314" s="1653">
        <v>0</v>
      </c>
      <c r="Z314" s="1653">
        <v>0</v>
      </c>
      <c r="AA314" s="1653">
        <v>0</v>
      </c>
      <c r="AB314" s="1653">
        <v>0</v>
      </c>
      <c r="AC314" s="1653">
        <v>0</v>
      </c>
      <c r="AD314" s="1653">
        <v>9.0392943583522545</v>
      </c>
      <c r="AE314" s="1653">
        <v>20.798315164583038</v>
      </c>
      <c r="AF314" s="1653">
        <v>28.742622267423432</v>
      </c>
      <c r="AG314" s="1653">
        <v>0</v>
      </c>
      <c r="AH314" s="1653">
        <v>0</v>
      </c>
      <c r="AI314" s="1653">
        <v>0</v>
      </c>
      <c r="AJ314" s="1653">
        <v>0</v>
      </c>
      <c r="AK314" s="1653">
        <v>0</v>
      </c>
      <c r="AL314" s="1653">
        <v>0</v>
      </c>
      <c r="AM314" s="1653"/>
      <c r="AN314" s="1653">
        <v>0.11183459397187349</v>
      </c>
      <c r="AO314" s="1653">
        <v>0</v>
      </c>
      <c r="AP314" s="1653">
        <v>0</v>
      </c>
      <c r="AQ314" s="1653">
        <v>0</v>
      </c>
      <c r="AR314" s="1653">
        <v>0</v>
      </c>
      <c r="AS314" s="1653">
        <v>0</v>
      </c>
      <c r="AT314" s="1653">
        <v>0</v>
      </c>
      <c r="AU314" s="1653">
        <v>0</v>
      </c>
      <c r="AV314" s="1653">
        <v>0</v>
      </c>
      <c r="AW314" s="1653">
        <v>0</v>
      </c>
      <c r="AX314" s="1653">
        <v>0</v>
      </c>
      <c r="AY314" s="1653">
        <v>0</v>
      </c>
      <c r="AZ314" s="1653">
        <v>0</v>
      </c>
      <c r="BA314" s="1653"/>
      <c r="BB314" s="1653">
        <v>0</v>
      </c>
      <c r="BC314" s="1653">
        <v>0</v>
      </c>
      <c r="BD314" s="1653">
        <v>0</v>
      </c>
      <c r="BE314" s="1653">
        <v>0</v>
      </c>
      <c r="BF314" s="1653">
        <v>0</v>
      </c>
      <c r="BG314" s="1653">
        <v>0.3862347550019532</v>
      </c>
      <c r="BH314" s="1653">
        <v>0</v>
      </c>
      <c r="BI314" s="1653">
        <v>0.51</v>
      </c>
      <c r="BJ314" s="1653">
        <v>2.42</v>
      </c>
      <c r="BK314" s="1653">
        <v>20.12</v>
      </c>
      <c r="BL314" s="1653">
        <v>3</v>
      </c>
      <c r="BM314" s="1653"/>
      <c r="BN314" s="1653"/>
      <c r="BO314" s="1653"/>
      <c r="BP314" s="1653"/>
      <c r="BQ314" s="1653"/>
      <c r="BR314" s="1653"/>
      <c r="BS314" s="1653"/>
      <c r="BT314" s="1653"/>
      <c r="BU314" s="1653"/>
      <c r="BV314" s="1653">
        <v>29.128857022425386</v>
      </c>
      <c r="BW314" s="1653"/>
      <c r="BX314" s="1653"/>
      <c r="BY314" s="1653"/>
      <c r="BZ314" s="1653"/>
      <c r="CA314" s="1653"/>
      <c r="CB314" s="1653"/>
      <c r="CC314" s="1653"/>
      <c r="CD314" s="1653"/>
      <c r="CE314" s="1653"/>
      <c r="CF314" s="1653"/>
      <c r="CG314" s="1653"/>
      <c r="CH314" s="1653"/>
      <c r="CI314" s="1653">
        <v>60.242600000000003</v>
      </c>
      <c r="CJ314" s="1653">
        <v>1.1343499999999977</v>
      </c>
      <c r="CK314" s="1653"/>
      <c r="CL314" s="1653"/>
      <c r="CM314" s="1653"/>
      <c r="CN314" s="1653"/>
      <c r="CO314" s="1653">
        <v>-2.9389500000000011</v>
      </c>
      <c r="CP314" s="1653">
        <v>1.365</v>
      </c>
      <c r="CQ314" s="1653">
        <v>31</v>
      </c>
      <c r="CR314" s="1653">
        <v>1.7324097978201465</v>
      </c>
      <c r="CS314" s="1653">
        <v>0</v>
      </c>
      <c r="CT314" s="1653">
        <v>0</v>
      </c>
      <c r="CU314" s="1653">
        <v>0</v>
      </c>
      <c r="CV314" s="1653">
        <v>0</v>
      </c>
      <c r="CW314" s="1653">
        <v>0</v>
      </c>
      <c r="CX314" s="1653">
        <v>0</v>
      </c>
      <c r="CY314" s="1653">
        <v>0</v>
      </c>
      <c r="CZ314" s="1653">
        <v>0.30985292832420264</v>
      </c>
      <c r="DA314" s="1653">
        <v>0</v>
      </c>
      <c r="DB314" s="1653">
        <v>0</v>
      </c>
      <c r="DC314" s="1653">
        <v>1.5483570270619502</v>
      </c>
      <c r="DD314" s="1653">
        <v>0</v>
      </c>
      <c r="DE314" s="1653">
        <v>0</v>
      </c>
      <c r="DF314" s="1653">
        <v>0</v>
      </c>
      <c r="DG314" s="1653">
        <v>2.0806358286962812E-2</v>
      </c>
      <c r="DH314" s="1653">
        <v>0</v>
      </c>
      <c r="DI314" s="1653">
        <v>0</v>
      </c>
      <c r="DJ314" s="1653"/>
      <c r="DK314" s="1653">
        <v>0</v>
      </c>
      <c r="DL314" s="1653">
        <v>0</v>
      </c>
      <c r="DM314" s="1653">
        <v>0</v>
      </c>
      <c r="DN314" s="1653">
        <v>0</v>
      </c>
      <c r="DO314" s="1653">
        <v>0</v>
      </c>
      <c r="DP314" s="1653">
        <v>-7.378781697729847E-3</v>
      </c>
      <c r="DQ314" s="1653">
        <v>0</v>
      </c>
      <c r="DR314" s="1653">
        <v>-0.13922773415524081</v>
      </c>
      <c r="DS314" s="1653"/>
      <c r="DT314" s="1653"/>
      <c r="DU314" s="1653"/>
      <c r="DV314" s="1653">
        <v>20.798315164583038</v>
      </c>
      <c r="DW314" s="1653">
        <v>0</v>
      </c>
      <c r="DX314" s="1653">
        <v>0</v>
      </c>
      <c r="DY314" s="1653">
        <v>-2.9389500000000019</v>
      </c>
      <c r="DZ314" s="1653">
        <v>1.365000000000002</v>
      </c>
      <c r="EA314" s="1653">
        <v>0</v>
      </c>
      <c r="EB314" s="1653">
        <v>0</v>
      </c>
      <c r="EC314" s="1653">
        <v>-3.3059542101203085</v>
      </c>
      <c r="ED314" s="1653">
        <v>0</v>
      </c>
      <c r="EE314" s="1653">
        <v>0</v>
      </c>
      <c r="EF314" s="1653">
        <v>0</v>
      </c>
      <c r="EG314" s="1653">
        <v>0</v>
      </c>
      <c r="EH314" s="1653">
        <v>0</v>
      </c>
      <c r="EI314" s="1653">
        <v>0</v>
      </c>
      <c r="EJ314" s="1653">
        <v>0</v>
      </c>
      <c r="EK314" s="1653">
        <v>0</v>
      </c>
      <c r="EL314" s="1653">
        <v>0</v>
      </c>
      <c r="EM314" s="1653">
        <v>0</v>
      </c>
      <c r="EN314" s="1653">
        <v>0</v>
      </c>
      <c r="EO314" s="1653">
        <v>0</v>
      </c>
      <c r="EP314" s="1653">
        <v>0</v>
      </c>
      <c r="EQ314" s="1653">
        <v>0</v>
      </c>
      <c r="ER314" s="1653">
        <v>0</v>
      </c>
      <c r="ES314" s="1653">
        <v>0</v>
      </c>
      <c r="ET314" s="1653">
        <v>0</v>
      </c>
      <c r="EU314" s="1653">
        <v>0</v>
      </c>
      <c r="EV314" s="1653">
        <v>210</v>
      </c>
      <c r="EW314" s="1653">
        <v>0</v>
      </c>
      <c r="EX314" s="1653">
        <v>0</v>
      </c>
      <c r="EY314" s="1653">
        <v>0</v>
      </c>
      <c r="EZ314" s="1653"/>
      <c r="FA314" s="1653">
        <v>0</v>
      </c>
      <c r="FB314" s="1653"/>
      <c r="FC314" s="1653"/>
      <c r="FD314" s="1653"/>
      <c r="FE314" s="1653"/>
      <c r="FF314" s="1653">
        <v>0</v>
      </c>
      <c r="FG314" s="1653">
        <v>0</v>
      </c>
      <c r="FH314" s="1653">
        <v>0</v>
      </c>
      <c r="FI314" s="1653">
        <v>0</v>
      </c>
    </row>
    <row r="315" spans="1:165">
      <c r="A315" s="1653">
        <v>313</v>
      </c>
      <c r="B315" s="1653" t="s">
        <v>2260</v>
      </c>
      <c r="C315" s="1653" t="s">
        <v>2241</v>
      </c>
      <c r="D315" s="1653" t="s">
        <v>1992</v>
      </c>
      <c r="E315" s="1653" t="s">
        <v>969</v>
      </c>
      <c r="F315" s="1653" t="s">
        <v>1323</v>
      </c>
      <c r="G315" s="1653" t="s">
        <v>1323</v>
      </c>
      <c r="H315" s="1653" t="s">
        <v>1323</v>
      </c>
      <c r="I315" s="1653" t="s">
        <v>1323</v>
      </c>
      <c r="J315" s="1653" t="s">
        <v>2242</v>
      </c>
      <c r="K315" s="1654">
        <v>44621</v>
      </c>
      <c r="L315" s="1653">
        <v>0</v>
      </c>
      <c r="M315" s="1653">
        <v>0</v>
      </c>
      <c r="N315" s="1653">
        <v>30.919</v>
      </c>
      <c r="O315" s="1653">
        <v>30.919</v>
      </c>
      <c r="P315" s="1653">
        <v>30.919</v>
      </c>
      <c r="Q315" s="1653">
        <v>30.919</v>
      </c>
      <c r="R315" s="1653"/>
      <c r="S315" s="1653">
        <v>358.62</v>
      </c>
      <c r="T315" s="1653">
        <v>273.74</v>
      </c>
      <c r="U315" s="1653"/>
      <c r="V315" s="1653">
        <v>19551.938840000003</v>
      </c>
      <c r="W315" s="1653">
        <v>19551.938840000003</v>
      </c>
      <c r="X315" s="1653">
        <v>18957.675660000001</v>
      </c>
      <c r="Y315" s="1653">
        <v>0</v>
      </c>
      <c r="Z315" s="1653">
        <v>1866.7164504774173</v>
      </c>
      <c r="AA315" s="1653">
        <v>0</v>
      </c>
      <c r="AB315" s="1653">
        <v>0</v>
      </c>
      <c r="AC315" s="1653">
        <v>0</v>
      </c>
      <c r="AD315" s="1653">
        <v>2661.7708787227939</v>
      </c>
      <c r="AE315" s="1653">
        <v>6124.4105387975524</v>
      </c>
      <c r="AF315" s="1653">
        <v>8463.7441703472869</v>
      </c>
      <c r="AG315" s="1653">
        <v>0</v>
      </c>
      <c r="AH315" s="1653">
        <v>0</v>
      </c>
      <c r="AI315" s="1653">
        <v>0</v>
      </c>
      <c r="AJ315" s="1653">
        <v>0</v>
      </c>
      <c r="AK315" s="1653">
        <v>0</v>
      </c>
      <c r="AL315" s="1653">
        <v>288.67675362732422</v>
      </c>
      <c r="AM315" s="1653"/>
      <c r="AN315" s="1653">
        <v>32.931560104917679</v>
      </c>
      <c r="AO315" s="1653">
        <v>0</v>
      </c>
      <c r="AP315" s="1653">
        <v>0</v>
      </c>
      <c r="AQ315" s="1653">
        <v>0</v>
      </c>
      <c r="AR315" s="1653">
        <v>0</v>
      </c>
      <c r="AS315" s="1653">
        <v>0</v>
      </c>
      <c r="AT315" s="1653">
        <v>0</v>
      </c>
      <c r="AU315" s="1653">
        <v>0</v>
      </c>
      <c r="AV315" s="1653">
        <v>0</v>
      </c>
      <c r="AW315" s="1653">
        <v>0</v>
      </c>
      <c r="AX315" s="1653">
        <v>0</v>
      </c>
      <c r="AY315" s="1653">
        <v>0</v>
      </c>
      <c r="AZ315" s="1653">
        <v>0</v>
      </c>
      <c r="BA315" s="1653"/>
      <c r="BB315" s="1653">
        <v>0</v>
      </c>
      <c r="BC315" s="1653">
        <v>0</v>
      </c>
      <c r="BD315" s="1653">
        <v>0</v>
      </c>
      <c r="BE315" s="1653">
        <v>0</v>
      </c>
      <c r="BF315" s="1653">
        <v>0</v>
      </c>
      <c r="BG315" s="1653">
        <v>113.73326085624183</v>
      </c>
      <c r="BH315" s="1653">
        <v>0</v>
      </c>
      <c r="BI315" s="1653">
        <v>193.62</v>
      </c>
      <c r="BJ315" s="1653">
        <v>894.01</v>
      </c>
      <c r="BK315" s="1653">
        <v>5363.89</v>
      </c>
      <c r="BL315" s="1653">
        <v>12</v>
      </c>
      <c r="BM315" s="1653"/>
      <c r="BN315" s="1653"/>
      <c r="BO315" s="1653"/>
      <c r="BP315" s="1653"/>
      <c r="BQ315" s="1653"/>
      <c r="BR315" s="1653"/>
      <c r="BS315" s="1653"/>
      <c r="BT315" s="1653"/>
      <c r="BU315" s="1653"/>
      <c r="BV315" s="1653">
        <v>8577.4774312035279</v>
      </c>
      <c r="BW315" s="1653"/>
      <c r="BX315" s="1653"/>
      <c r="BY315" s="1653"/>
      <c r="BZ315" s="1653"/>
      <c r="CA315" s="1653"/>
      <c r="CB315" s="1653"/>
      <c r="CC315" s="1653"/>
      <c r="CD315" s="1653"/>
      <c r="CE315" s="1653"/>
      <c r="CF315" s="1653"/>
      <c r="CG315" s="1653"/>
      <c r="CH315" s="1653"/>
      <c r="CI315" s="1653">
        <v>18958.288800000002</v>
      </c>
      <c r="CJ315" s="1653">
        <v>-593.68003999999564</v>
      </c>
      <c r="CK315" s="1653"/>
      <c r="CL315" s="1653"/>
      <c r="CM315" s="1653"/>
      <c r="CN315" s="1653"/>
      <c r="CO315" s="1653">
        <v>-996.21018000000083</v>
      </c>
      <c r="CP315" s="1653">
        <v>401.947</v>
      </c>
      <c r="CQ315" s="1653">
        <v>31</v>
      </c>
      <c r="CR315" s="1653">
        <v>379.12507493549856</v>
      </c>
      <c r="CS315" s="1653">
        <v>0</v>
      </c>
      <c r="CT315" s="1653">
        <v>0</v>
      </c>
      <c r="CU315" s="1653">
        <v>0</v>
      </c>
      <c r="CV315" s="1653">
        <v>0</v>
      </c>
      <c r="CW315" s="1653">
        <v>0</v>
      </c>
      <c r="CX315" s="1653">
        <v>0</v>
      </c>
      <c r="CY315" s="1653">
        <v>0</v>
      </c>
      <c r="CZ315" s="1653">
        <v>91.241358960533489</v>
      </c>
      <c r="DA315" s="1653">
        <v>0</v>
      </c>
      <c r="DB315" s="1653">
        <v>0</v>
      </c>
      <c r="DC315" s="1653">
        <v>455.93953256884379</v>
      </c>
      <c r="DD315" s="1653">
        <v>0</v>
      </c>
      <c r="DE315" s="1653">
        <v>0</v>
      </c>
      <c r="DF315" s="1653">
        <v>0</v>
      </c>
      <c r="DG315" s="1653">
        <v>6.1267789702343123</v>
      </c>
      <c r="DH315" s="1653">
        <v>0</v>
      </c>
      <c r="DI315" s="1653">
        <v>-118.98688684436047</v>
      </c>
      <c r="DJ315" s="1653"/>
      <c r="DK315" s="1653">
        <v>0</v>
      </c>
      <c r="DL315" s="1653">
        <v>0</v>
      </c>
      <c r="DM315" s="1653">
        <v>0</v>
      </c>
      <c r="DN315" s="1653">
        <v>0</v>
      </c>
      <c r="DO315" s="1653">
        <v>-15.135841133263682</v>
      </c>
      <c r="DP315" s="1653">
        <v>-2.1728052505915123</v>
      </c>
      <c r="DQ315" s="1653">
        <v>0</v>
      </c>
      <c r="DR315" s="1653">
        <v>-37.887062335898108</v>
      </c>
      <c r="DS315" s="1653"/>
      <c r="DT315" s="1653"/>
      <c r="DU315" s="1653"/>
      <c r="DV315" s="1653">
        <v>6124.4105387975524</v>
      </c>
      <c r="DW315" s="1653">
        <v>0</v>
      </c>
      <c r="DX315" s="1653">
        <v>0</v>
      </c>
      <c r="DY315" s="1653">
        <v>-996.21018000000186</v>
      </c>
      <c r="DZ315" s="1653">
        <v>401.94700000000012</v>
      </c>
      <c r="EA315" s="1653">
        <v>0</v>
      </c>
      <c r="EB315" s="1653">
        <v>0</v>
      </c>
      <c r="EC315" s="1653">
        <v>-973.49331640676064</v>
      </c>
      <c r="ED315" s="1653">
        <v>0</v>
      </c>
      <c r="EE315" s="1653">
        <v>0</v>
      </c>
      <c r="EF315" s="1653">
        <v>0</v>
      </c>
      <c r="EG315" s="1653">
        <v>0</v>
      </c>
      <c r="EH315" s="1653">
        <v>0</v>
      </c>
      <c r="EI315" s="1653">
        <v>0</v>
      </c>
      <c r="EJ315" s="1653">
        <v>0</v>
      </c>
      <c r="EK315" s="1653">
        <v>0</v>
      </c>
      <c r="EL315" s="1653">
        <v>0</v>
      </c>
      <c r="EM315" s="1653">
        <v>0</v>
      </c>
      <c r="EN315" s="1653">
        <v>0</v>
      </c>
      <c r="EO315" s="1653">
        <v>0</v>
      </c>
      <c r="EP315" s="1653">
        <v>0</v>
      </c>
      <c r="EQ315" s="1653">
        <v>0</v>
      </c>
      <c r="ER315" s="1653">
        <v>0</v>
      </c>
      <c r="ES315" s="1653">
        <v>0</v>
      </c>
      <c r="ET315" s="1653">
        <v>0</v>
      </c>
      <c r="EU315" s="1653">
        <v>0</v>
      </c>
      <c r="EV315" s="1653">
        <v>210</v>
      </c>
      <c r="EW315" s="1653">
        <v>0</v>
      </c>
      <c r="EX315" s="1653">
        <v>0</v>
      </c>
      <c r="EY315" s="1653">
        <v>0</v>
      </c>
      <c r="EZ315" s="1653"/>
      <c r="FA315" s="1653">
        <v>0</v>
      </c>
      <c r="FB315" s="1653"/>
      <c r="FC315" s="1653"/>
      <c r="FD315" s="1653"/>
      <c r="FE315" s="1653"/>
      <c r="FF315" s="1653">
        <v>0</v>
      </c>
      <c r="FG315" s="1653">
        <v>0</v>
      </c>
      <c r="FH315" s="1653">
        <v>0</v>
      </c>
      <c r="FI315" s="1653">
        <v>0</v>
      </c>
    </row>
    <row r="316" spans="1:165">
      <c r="A316" s="1653">
        <v>314</v>
      </c>
      <c r="B316" s="1653" t="s">
        <v>2260</v>
      </c>
      <c r="C316" s="1653" t="s">
        <v>2241</v>
      </c>
      <c r="D316" s="1653" t="s">
        <v>1992</v>
      </c>
      <c r="E316" s="1653" t="s">
        <v>969</v>
      </c>
      <c r="F316" s="1653" t="s">
        <v>1323</v>
      </c>
      <c r="G316" s="1653" t="s">
        <v>1323</v>
      </c>
      <c r="H316" s="1653" t="s">
        <v>1323</v>
      </c>
      <c r="I316" s="1653" t="s">
        <v>1323</v>
      </c>
      <c r="J316" s="1653" t="s">
        <v>2242</v>
      </c>
      <c r="K316" s="1654">
        <v>44621</v>
      </c>
      <c r="L316" s="1653">
        <v>0</v>
      </c>
      <c r="M316" s="1653">
        <v>0</v>
      </c>
      <c r="N316" s="1653">
        <v>0.1</v>
      </c>
      <c r="O316" s="1653">
        <v>0.1</v>
      </c>
      <c r="P316" s="1653">
        <v>0.1</v>
      </c>
      <c r="Q316" s="1653">
        <v>0.1</v>
      </c>
      <c r="R316" s="1653"/>
      <c r="S316" s="1653">
        <v>358.62</v>
      </c>
      <c r="T316" s="1653">
        <v>273.74</v>
      </c>
      <c r="U316" s="1653"/>
      <c r="V316" s="1653">
        <v>63.236000000000004</v>
      </c>
      <c r="W316" s="1653">
        <v>63.236000000000004</v>
      </c>
      <c r="X316" s="1653">
        <v>61.314000000000007</v>
      </c>
      <c r="Y316" s="1653">
        <v>0</v>
      </c>
      <c r="Z316" s="1653">
        <v>6.03744121891852</v>
      </c>
      <c r="AA316" s="1653">
        <v>0</v>
      </c>
      <c r="AB316" s="1653">
        <v>0</v>
      </c>
      <c r="AC316" s="1653">
        <v>0</v>
      </c>
      <c r="AD316" s="1653">
        <v>8.6088517698592906</v>
      </c>
      <c r="AE316" s="1653">
        <v>19.807919204364801</v>
      </c>
      <c r="AF316" s="1653">
        <v>27.373925968974699</v>
      </c>
      <c r="AG316" s="1653">
        <v>0</v>
      </c>
      <c r="AH316" s="1653">
        <v>0</v>
      </c>
      <c r="AI316" s="1653">
        <v>0</v>
      </c>
      <c r="AJ316" s="1653">
        <v>0</v>
      </c>
      <c r="AK316" s="1653">
        <v>0</v>
      </c>
      <c r="AL316" s="1653">
        <v>0.93365488414025111</v>
      </c>
      <c r="AM316" s="1653"/>
      <c r="AN316" s="1653">
        <v>0.10650913711607</v>
      </c>
      <c r="AO316" s="1653">
        <v>0</v>
      </c>
      <c r="AP316" s="1653">
        <v>0</v>
      </c>
      <c r="AQ316" s="1653">
        <v>0</v>
      </c>
      <c r="AR316" s="1653">
        <v>0</v>
      </c>
      <c r="AS316" s="1653">
        <v>0</v>
      </c>
      <c r="AT316" s="1653">
        <v>0</v>
      </c>
      <c r="AU316" s="1653">
        <v>0</v>
      </c>
      <c r="AV316" s="1653">
        <v>0</v>
      </c>
      <c r="AW316" s="1653">
        <v>0</v>
      </c>
      <c r="AX316" s="1653">
        <v>0</v>
      </c>
      <c r="AY316" s="1653">
        <v>0</v>
      </c>
      <c r="AZ316" s="1653">
        <v>0</v>
      </c>
      <c r="BA316" s="1653"/>
      <c r="BB316" s="1653">
        <v>0</v>
      </c>
      <c r="BC316" s="1653">
        <v>0</v>
      </c>
      <c r="BD316" s="1653">
        <v>0</v>
      </c>
      <c r="BE316" s="1653">
        <v>0</v>
      </c>
      <c r="BF316" s="1653">
        <v>0</v>
      </c>
      <c r="BG316" s="1653">
        <v>0.36784262381138405</v>
      </c>
      <c r="BH316" s="1653">
        <v>0</v>
      </c>
      <c r="BI316" s="1653">
        <v>0.62</v>
      </c>
      <c r="BJ316" s="1653">
        <v>2.89</v>
      </c>
      <c r="BK316" s="1653">
        <v>119.51</v>
      </c>
      <c r="BL316" s="1653">
        <v>1</v>
      </c>
      <c r="BM316" s="1653"/>
      <c r="BN316" s="1653"/>
      <c r="BO316" s="1653"/>
      <c r="BP316" s="1653"/>
      <c r="BQ316" s="1653"/>
      <c r="BR316" s="1653"/>
      <c r="BS316" s="1653"/>
      <c r="BT316" s="1653"/>
      <c r="BU316" s="1653"/>
      <c r="BV316" s="1653">
        <v>27.741768592786084</v>
      </c>
      <c r="BW316" s="1653"/>
      <c r="BX316" s="1653"/>
      <c r="BY316" s="1653"/>
      <c r="BZ316" s="1653"/>
      <c r="CA316" s="1653"/>
      <c r="CB316" s="1653"/>
      <c r="CC316" s="1653"/>
      <c r="CD316" s="1653"/>
      <c r="CE316" s="1653"/>
      <c r="CF316" s="1653"/>
      <c r="CG316" s="1653"/>
      <c r="CH316" s="1653"/>
      <c r="CI316" s="1653">
        <v>61.314000000000007</v>
      </c>
      <c r="CJ316" s="1653">
        <v>-1.9519999999999911</v>
      </c>
      <c r="CK316" s="1653"/>
      <c r="CL316" s="1653"/>
      <c r="CM316" s="1653"/>
      <c r="CN316" s="1653"/>
      <c r="CO316" s="1653">
        <v>-3.2220000000000031</v>
      </c>
      <c r="CP316" s="1653">
        <v>1.3</v>
      </c>
      <c r="CQ316" s="1653">
        <v>31</v>
      </c>
      <c r="CR316" s="1653">
        <v>1.2261880233367748</v>
      </c>
      <c r="CS316" s="1653">
        <v>0</v>
      </c>
      <c r="CT316" s="1653">
        <v>0</v>
      </c>
      <c r="CU316" s="1653">
        <v>0</v>
      </c>
      <c r="CV316" s="1653">
        <v>0</v>
      </c>
      <c r="CW316" s="1653">
        <v>0</v>
      </c>
      <c r="CX316" s="1653">
        <v>0</v>
      </c>
      <c r="CY316" s="1653">
        <v>0</v>
      </c>
      <c r="CZ316" s="1653">
        <v>0.29509802697543108</v>
      </c>
      <c r="DA316" s="1653">
        <v>0</v>
      </c>
      <c r="DB316" s="1653">
        <v>0</v>
      </c>
      <c r="DC316" s="1653">
        <v>1.4746257400590004</v>
      </c>
      <c r="DD316" s="1653">
        <v>0</v>
      </c>
      <c r="DE316" s="1653">
        <v>0</v>
      </c>
      <c r="DF316" s="1653">
        <v>0</v>
      </c>
      <c r="DG316" s="1653">
        <v>1.9815579320916987E-2</v>
      </c>
      <c r="DH316" s="1653">
        <v>0</v>
      </c>
      <c r="DI316" s="1653">
        <v>-0.38483420176707028</v>
      </c>
      <c r="DJ316" s="1653"/>
      <c r="DK316" s="1653">
        <v>0</v>
      </c>
      <c r="DL316" s="1653">
        <v>0</v>
      </c>
      <c r="DM316" s="1653">
        <v>0</v>
      </c>
      <c r="DN316" s="1653">
        <v>0</v>
      </c>
      <c r="DO316" s="1653">
        <v>-4.8953203962817993E-2</v>
      </c>
      <c r="DP316" s="1653">
        <v>-7.0274111406950918E-3</v>
      </c>
      <c r="DQ316" s="1653">
        <v>0</v>
      </c>
      <c r="DR316" s="1653">
        <v>-0.12253650614799351</v>
      </c>
      <c r="DS316" s="1653"/>
      <c r="DT316" s="1653"/>
      <c r="DU316" s="1653"/>
      <c r="DV316" s="1653">
        <v>19.807919204364801</v>
      </c>
      <c r="DW316" s="1653">
        <v>0</v>
      </c>
      <c r="DX316" s="1653">
        <v>0</v>
      </c>
      <c r="DY316" s="1653">
        <v>-3.2220000000000013</v>
      </c>
      <c r="DZ316" s="1653">
        <v>1.3000000000000007</v>
      </c>
      <c r="EA316" s="1653">
        <v>0</v>
      </c>
      <c r="EB316" s="1653">
        <v>0</v>
      </c>
      <c r="EC316" s="1653">
        <v>-3.1485278191622008</v>
      </c>
      <c r="ED316" s="1653">
        <v>0</v>
      </c>
      <c r="EE316" s="1653">
        <v>0</v>
      </c>
      <c r="EF316" s="1653">
        <v>0</v>
      </c>
      <c r="EG316" s="1653">
        <v>0</v>
      </c>
      <c r="EH316" s="1653">
        <v>0</v>
      </c>
      <c r="EI316" s="1653">
        <v>0</v>
      </c>
      <c r="EJ316" s="1653">
        <v>0</v>
      </c>
      <c r="EK316" s="1653">
        <v>0</v>
      </c>
      <c r="EL316" s="1653">
        <v>0</v>
      </c>
      <c r="EM316" s="1653">
        <v>0</v>
      </c>
      <c r="EN316" s="1653">
        <v>0</v>
      </c>
      <c r="EO316" s="1653">
        <v>0</v>
      </c>
      <c r="EP316" s="1653">
        <v>0</v>
      </c>
      <c r="EQ316" s="1653">
        <v>0</v>
      </c>
      <c r="ER316" s="1653">
        <v>0</v>
      </c>
      <c r="ES316" s="1653">
        <v>0</v>
      </c>
      <c r="ET316" s="1653">
        <v>0</v>
      </c>
      <c r="EU316" s="1653">
        <v>0</v>
      </c>
      <c r="EV316" s="1653">
        <v>210</v>
      </c>
      <c r="EW316" s="1653">
        <v>0</v>
      </c>
      <c r="EX316" s="1653">
        <v>0</v>
      </c>
      <c r="EY316" s="1653">
        <v>0</v>
      </c>
      <c r="EZ316" s="1653"/>
      <c r="FA316" s="1653">
        <v>0</v>
      </c>
      <c r="FB316" s="1653"/>
      <c r="FC316" s="1653"/>
      <c r="FD316" s="1653"/>
      <c r="FE316" s="1653"/>
      <c r="FF316" s="1653">
        <v>0</v>
      </c>
      <c r="FG316" s="1653">
        <v>0</v>
      </c>
      <c r="FH316" s="1653">
        <v>0</v>
      </c>
      <c r="FI316" s="1653">
        <v>0</v>
      </c>
    </row>
    <row r="317" spans="1:165">
      <c r="A317" s="1653">
        <v>315</v>
      </c>
      <c r="B317" s="1653" t="s">
        <v>2260</v>
      </c>
      <c r="C317" s="1653" t="s">
        <v>2246</v>
      </c>
      <c r="D317" s="1653" t="s">
        <v>595</v>
      </c>
      <c r="E317" s="1653" t="s">
        <v>969</v>
      </c>
      <c r="F317" s="1653" t="s">
        <v>1323</v>
      </c>
      <c r="G317" s="1653" t="s">
        <v>1323</v>
      </c>
      <c r="H317" s="1653" t="s">
        <v>1323</v>
      </c>
      <c r="I317" s="1653" t="s">
        <v>972</v>
      </c>
      <c r="J317" s="1653" t="s">
        <v>2242</v>
      </c>
      <c r="K317" s="1654">
        <v>44621</v>
      </c>
      <c r="L317" s="1653">
        <v>0</v>
      </c>
      <c r="M317" s="1653">
        <v>0</v>
      </c>
      <c r="N317" s="1653">
        <v>10.494</v>
      </c>
      <c r="O317" s="1653">
        <v>10.494</v>
      </c>
      <c r="P317" s="1653">
        <v>10.494</v>
      </c>
      <c r="Q317" s="1653">
        <v>10.494</v>
      </c>
      <c r="R317" s="1653"/>
      <c r="S317" s="1653">
        <v>1856.88</v>
      </c>
      <c r="T317" s="1653">
        <v>273.74</v>
      </c>
      <c r="U317" s="1653"/>
      <c r="V317" s="1653">
        <v>22358.726280000003</v>
      </c>
      <c r="W317" s="1653">
        <v>22358.726280000003</v>
      </c>
      <c r="X317" s="1653">
        <v>20487.12138</v>
      </c>
      <c r="Y317" s="1653">
        <v>0</v>
      </c>
      <c r="Z317" s="1653">
        <v>551.205100916579</v>
      </c>
      <c r="AA317" s="1653">
        <v>0</v>
      </c>
      <c r="AB317" s="1653">
        <v>0</v>
      </c>
      <c r="AC317" s="1653">
        <v>0</v>
      </c>
      <c r="AD317" s="1653">
        <v>5143.024088243581</v>
      </c>
      <c r="AE317" s="1653">
        <v>13667.191680959382</v>
      </c>
      <c r="AF317" s="1653">
        <v>2872.6197911842046</v>
      </c>
      <c r="AG317" s="1653">
        <v>0</v>
      </c>
      <c r="AH317" s="1653">
        <v>0</v>
      </c>
      <c r="AI317" s="1653">
        <v>0</v>
      </c>
      <c r="AJ317" s="1653">
        <v>0</v>
      </c>
      <c r="AK317" s="1653">
        <v>0</v>
      </c>
      <c r="AL317" s="1653">
        <v>97.977743541677953</v>
      </c>
      <c r="AM317" s="1653"/>
      <c r="AN317" s="1653">
        <v>9.1097145292962747</v>
      </c>
      <c r="AO317" s="1653">
        <v>0</v>
      </c>
      <c r="AP317" s="1653">
        <v>0</v>
      </c>
      <c r="AQ317" s="1653">
        <v>0</v>
      </c>
      <c r="AR317" s="1653">
        <v>0</v>
      </c>
      <c r="AS317" s="1653">
        <v>0</v>
      </c>
      <c r="AT317" s="1653">
        <v>0</v>
      </c>
      <c r="AU317" s="1653">
        <v>0</v>
      </c>
      <c r="AV317" s="1653">
        <v>0</v>
      </c>
      <c r="AW317" s="1653">
        <v>0</v>
      </c>
      <c r="AX317" s="1653">
        <v>0</v>
      </c>
      <c r="AY317" s="1653">
        <v>0</v>
      </c>
      <c r="AZ317" s="1653">
        <v>0</v>
      </c>
      <c r="BA317" s="1653"/>
      <c r="BB317" s="1653">
        <v>0</v>
      </c>
      <c r="BC317" s="1653">
        <v>0</v>
      </c>
      <c r="BD317" s="1653">
        <v>0</v>
      </c>
      <c r="BE317" s="1653">
        <v>0</v>
      </c>
      <c r="BF317" s="1653">
        <v>0</v>
      </c>
      <c r="BG317" s="1653">
        <v>17.559881711541035</v>
      </c>
      <c r="BH317" s="1653">
        <v>0</v>
      </c>
      <c r="BI317" s="1653">
        <v>0</v>
      </c>
      <c r="BJ317" s="1653">
        <v>0</v>
      </c>
      <c r="BK317" s="1653">
        <v>0</v>
      </c>
      <c r="BL317" s="1653">
        <v>0</v>
      </c>
      <c r="BM317" s="1653"/>
      <c r="BN317" s="1653"/>
      <c r="BO317" s="1653"/>
      <c r="BP317" s="1653"/>
      <c r="BQ317" s="1653"/>
      <c r="BR317" s="1653"/>
      <c r="BS317" s="1653"/>
      <c r="BT317" s="1653"/>
      <c r="BU317" s="1653"/>
      <c r="BV317" s="1653">
        <v>2890.1796728957456</v>
      </c>
      <c r="BW317" s="1653"/>
      <c r="BX317" s="1653"/>
      <c r="BY317" s="1653"/>
      <c r="BZ317" s="1653"/>
      <c r="CA317" s="1653"/>
      <c r="CB317" s="1653"/>
      <c r="CC317" s="1653"/>
      <c r="CD317" s="1653"/>
      <c r="CE317" s="1653"/>
      <c r="CF317" s="1653"/>
      <c r="CG317" s="1653"/>
      <c r="CH317" s="1653"/>
      <c r="CI317" s="1653">
        <v>20479.312300000001</v>
      </c>
      <c r="CJ317" s="1653">
        <v>-1879.4439799999964</v>
      </c>
      <c r="CK317" s="1653"/>
      <c r="CL317" s="1653"/>
      <c r="CM317" s="1653"/>
      <c r="CN317" s="1653"/>
      <c r="CO317" s="1653">
        <v>-2008.0269000000014</v>
      </c>
      <c r="CP317" s="1653">
        <v>136.422</v>
      </c>
      <c r="CQ317" s="1653">
        <v>31</v>
      </c>
      <c r="CR317" s="1653">
        <v>300.94877254394305</v>
      </c>
      <c r="CS317" s="1653">
        <v>0</v>
      </c>
      <c r="CT317" s="1653">
        <v>0</v>
      </c>
      <c r="CU317" s="1653">
        <v>0</v>
      </c>
      <c r="CV317" s="1653">
        <v>0</v>
      </c>
      <c r="CW317" s="1653">
        <v>0</v>
      </c>
      <c r="CX317" s="1653">
        <v>0</v>
      </c>
      <c r="CY317" s="1653">
        <v>0</v>
      </c>
      <c r="CZ317" s="1653">
        <v>176.29485344856221</v>
      </c>
      <c r="DA317" s="1653">
        <v>0</v>
      </c>
      <c r="DB317" s="1653">
        <v>0</v>
      </c>
      <c r="DC317" s="1653">
        <v>154.7472251617919</v>
      </c>
      <c r="DD317" s="1653">
        <v>0</v>
      </c>
      <c r="DE317" s="1653">
        <v>0</v>
      </c>
      <c r="DF317" s="1653">
        <v>0</v>
      </c>
      <c r="DG317" s="1653">
        <v>0.94594591925108062</v>
      </c>
      <c r="DH317" s="1653">
        <v>0</v>
      </c>
      <c r="DI317" s="1653">
        <v>-35.134515986089582</v>
      </c>
      <c r="DJ317" s="1653"/>
      <c r="DK317" s="1653">
        <v>0</v>
      </c>
      <c r="DL317" s="1653">
        <v>0</v>
      </c>
      <c r="DM317" s="1653">
        <v>0</v>
      </c>
      <c r="DN317" s="1653">
        <v>0</v>
      </c>
      <c r="DO317" s="1653">
        <v>-5.1371492238581311</v>
      </c>
      <c r="DP317" s="1653">
        <v>-0.60105368520602021</v>
      </c>
      <c r="DQ317" s="1653">
        <v>0</v>
      </c>
      <c r="DR317" s="1653">
        <v>9.8334669094916194</v>
      </c>
      <c r="DS317" s="1653"/>
      <c r="DT317" s="1653"/>
      <c r="DU317" s="1653"/>
      <c r="DV317" s="1653">
        <v>13667.191680959382</v>
      </c>
      <c r="DW317" s="1653">
        <v>0</v>
      </c>
      <c r="DX317" s="1653">
        <v>0</v>
      </c>
      <c r="DY317" s="1653">
        <v>-2008.0269000000008</v>
      </c>
      <c r="DZ317" s="1653">
        <v>136.42200000000003</v>
      </c>
      <c r="EA317" s="1653">
        <v>0</v>
      </c>
      <c r="EB317" s="1653">
        <v>0</v>
      </c>
      <c r="EC317" s="1653">
        <v>-2172.44086939927</v>
      </c>
      <c r="ED317" s="1653">
        <v>0</v>
      </c>
      <c r="EE317" s="1653">
        <v>0</v>
      </c>
      <c r="EF317" s="1653">
        <v>0</v>
      </c>
      <c r="EG317" s="1653">
        <v>0</v>
      </c>
      <c r="EH317" s="1653">
        <v>0</v>
      </c>
      <c r="EI317" s="1653">
        <v>0</v>
      </c>
      <c r="EJ317" s="1653">
        <v>0</v>
      </c>
      <c r="EK317" s="1653">
        <v>0</v>
      </c>
      <c r="EL317" s="1653">
        <v>0</v>
      </c>
      <c r="EM317" s="1653">
        <v>0</v>
      </c>
      <c r="EN317" s="1653">
        <v>0</v>
      </c>
      <c r="EO317" s="1653">
        <v>0</v>
      </c>
      <c r="EP317" s="1653">
        <v>0</v>
      </c>
      <c r="EQ317" s="1653">
        <v>0</v>
      </c>
      <c r="ER317" s="1653">
        <v>0</v>
      </c>
      <c r="ES317" s="1653">
        <v>0</v>
      </c>
      <c r="ET317" s="1653">
        <v>0</v>
      </c>
      <c r="EU317" s="1653">
        <v>0</v>
      </c>
      <c r="EV317" s="1653">
        <v>210</v>
      </c>
      <c r="EW317" s="1653">
        <v>0</v>
      </c>
      <c r="EX317" s="1653">
        <v>0</v>
      </c>
      <c r="EY317" s="1653">
        <v>0</v>
      </c>
      <c r="EZ317" s="1653"/>
      <c r="FA317" s="1653">
        <v>0</v>
      </c>
      <c r="FB317" s="1653"/>
      <c r="FC317" s="1653"/>
      <c r="FD317" s="1653"/>
      <c r="FE317" s="1653"/>
      <c r="FF317" s="1653">
        <v>0</v>
      </c>
      <c r="FG317" s="1653">
        <v>0</v>
      </c>
      <c r="FH317" s="1653">
        <v>0</v>
      </c>
      <c r="FI317" s="1653">
        <v>0</v>
      </c>
    </row>
    <row r="318" spans="1:165">
      <c r="A318" s="1653">
        <v>316</v>
      </c>
      <c r="B318" s="1653" t="s">
        <v>2260</v>
      </c>
      <c r="C318" s="1653" t="s">
        <v>2246</v>
      </c>
      <c r="D318" s="1653" t="s">
        <v>595</v>
      </c>
      <c r="E318" s="1653" t="s">
        <v>969</v>
      </c>
      <c r="F318" s="1653" t="s">
        <v>1323</v>
      </c>
      <c r="G318" s="1653" t="s">
        <v>1323</v>
      </c>
      <c r="H318" s="1653" t="s">
        <v>1323</v>
      </c>
      <c r="I318" s="1653" t="s">
        <v>2234</v>
      </c>
      <c r="J318" s="1653" t="s">
        <v>2242</v>
      </c>
      <c r="K318" s="1654">
        <v>44621</v>
      </c>
      <c r="L318" s="1653">
        <v>0</v>
      </c>
      <c r="M318" s="1653">
        <v>0</v>
      </c>
      <c r="N318" s="1653">
        <v>93.561999999999998</v>
      </c>
      <c r="O318" s="1653">
        <v>93.561999999999998</v>
      </c>
      <c r="P318" s="1653">
        <v>93.561999999999998</v>
      </c>
      <c r="Q318" s="1653">
        <v>93.561999999999998</v>
      </c>
      <c r="R318" s="1653"/>
      <c r="S318" s="1653">
        <v>64.400000000000006</v>
      </c>
      <c r="T318" s="1653">
        <v>273.74</v>
      </c>
      <c r="U318" s="1653"/>
      <c r="V318" s="1653">
        <v>31637.054680000001</v>
      </c>
      <c r="W318" s="1653">
        <v>31637.054680000001</v>
      </c>
      <c r="X318" s="1653">
        <v>32506.24566</v>
      </c>
      <c r="Y318" s="1653">
        <v>0</v>
      </c>
      <c r="Z318" s="1653">
        <v>4914.4131553227526</v>
      </c>
      <c r="AA318" s="1653">
        <v>0</v>
      </c>
      <c r="AB318" s="1653">
        <v>0</v>
      </c>
      <c r="AC318" s="1653">
        <v>0</v>
      </c>
      <c r="AD318" s="1653">
        <v>0</v>
      </c>
      <c r="AE318" s="1653">
        <v>0</v>
      </c>
      <c r="AF318" s="1653">
        <v>25611.592615092104</v>
      </c>
      <c r="AG318" s="1653">
        <v>0</v>
      </c>
      <c r="AH318" s="1653">
        <v>0</v>
      </c>
      <c r="AI318" s="1653">
        <v>0</v>
      </c>
      <c r="AJ318" s="1653">
        <v>0</v>
      </c>
      <c r="AK318" s="1653">
        <v>0</v>
      </c>
      <c r="AL318" s="1653">
        <v>873.54618269930165</v>
      </c>
      <c r="AM318" s="1653"/>
      <c r="AN318" s="1653">
        <v>81.220041051078539</v>
      </c>
      <c r="AO318" s="1653">
        <v>0</v>
      </c>
      <c r="AP318" s="1653">
        <v>0</v>
      </c>
      <c r="AQ318" s="1653">
        <v>0</v>
      </c>
      <c r="AR318" s="1653">
        <v>0</v>
      </c>
      <c r="AS318" s="1653">
        <v>0</v>
      </c>
      <c r="AT318" s="1653">
        <v>0</v>
      </c>
      <c r="AU318" s="1653">
        <v>0</v>
      </c>
      <c r="AV318" s="1653">
        <v>0</v>
      </c>
      <c r="AW318" s="1653">
        <v>0</v>
      </c>
      <c r="AX318" s="1653">
        <v>0</v>
      </c>
      <c r="AY318" s="1653">
        <v>0</v>
      </c>
      <c r="AZ318" s="1653">
        <v>0</v>
      </c>
      <c r="BA318" s="1653"/>
      <c r="BB318" s="1653">
        <v>0</v>
      </c>
      <c r="BC318" s="1653">
        <v>0</v>
      </c>
      <c r="BD318" s="1653">
        <v>0</v>
      </c>
      <c r="BE318" s="1653">
        <v>0</v>
      </c>
      <c r="BF318" s="1653">
        <v>0</v>
      </c>
      <c r="BG318" s="1653">
        <v>156.55971533211383</v>
      </c>
      <c r="BH318" s="1653">
        <v>0</v>
      </c>
      <c r="BI318" s="1653">
        <v>0</v>
      </c>
      <c r="BJ318" s="1653">
        <v>0</v>
      </c>
      <c r="BK318" s="1653">
        <v>0</v>
      </c>
      <c r="BL318" s="1653">
        <v>0</v>
      </c>
      <c r="BM318" s="1653"/>
      <c r="BN318" s="1653"/>
      <c r="BO318" s="1653"/>
      <c r="BP318" s="1653"/>
      <c r="BQ318" s="1653"/>
      <c r="BR318" s="1653"/>
      <c r="BS318" s="1653"/>
      <c r="BT318" s="1653"/>
      <c r="BU318" s="1653"/>
      <c r="BV318" s="1653">
        <v>25768.152330424218</v>
      </c>
      <c r="BW318" s="1653"/>
      <c r="BX318" s="1653"/>
      <c r="BY318" s="1653"/>
      <c r="BZ318" s="1653"/>
      <c r="CA318" s="1653"/>
      <c r="CB318" s="1653"/>
      <c r="CC318" s="1653"/>
      <c r="CD318" s="1653"/>
      <c r="CE318" s="1653"/>
      <c r="CF318" s="1653"/>
      <c r="CG318" s="1653"/>
      <c r="CH318" s="1653"/>
      <c r="CI318" s="1653">
        <v>32505.550800000001</v>
      </c>
      <c r="CJ318" s="1653">
        <v>868.46612000000096</v>
      </c>
      <c r="CK318" s="1653"/>
      <c r="CL318" s="1653"/>
      <c r="CM318" s="1653"/>
      <c r="CN318" s="1653"/>
      <c r="CO318" s="1653">
        <v>-347.11502000000075</v>
      </c>
      <c r="CP318" s="1653">
        <v>1216.306</v>
      </c>
      <c r="CQ318" s="1653">
        <v>31</v>
      </c>
      <c r="CR318" s="1653">
        <v>869.33364795282614</v>
      </c>
      <c r="CS318" s="1653">
        <v>0</v>
      </c>
      <c r="CT318" s="1653">
        <v>0</v>
      </c>
      <c r="CU318" s="1653">
        <v>0</v>
      </c>
      <c r="CV318" s="1653">
        <v>0</v>
      </c>
      <c r="CW318" s="1653">
        <v>0</v>
      </c>
      <c r="CX318" s="1653">
        <v>0</v>
      </c>
      <c r="CY318" s="1653">
        <v>0</v>
      </c>
      <c r="CZ318" s="1653">
        <v>0</v>
      </c>
      <c r="DA318" s="1653">
        <v>0</v>
      </c>
      <c r="DB318" s="1653">
        <v>0</v>
      </c>
      <c r="DC318" s="1653">
        <v>1379.6893349140046</v>
      </c>
      <c r="DD318" s="1653">
        <v>0</v>
      </c>
      <c r="DE318" s="1653">
        <v>0</v>
      </c>
      <c r="DF318" s="1653">
        <v>0</v>
      </c>
      <c r="DG318" s="1653">
        <v>8.4338281014836411</v>
      </c>
      <c r="DH318" s="1653">
        <v>0</v>
      </c>
      <c r="DI318" s="1653">
        <v>-313.25096099585608</v>
      </c>
      <c r="DJ318" s="1653"/>
      <c r="DK318" s="1653">
        <v>0</v>
      </c>
      <c r="DL318" s="1653">
        <v>0</v>
      </c>
      <c r="DM318" s="1653">
        <v>0</v>
      </c>
      <c r="DN318" s="1653">
        <v>0</v>
      </c>
      <c r="DO318" s="1653">
        <v>-45.801596691691771</v>
      </c>
      <c r="DP318" s="1653">
        <v>-5.3588512383500841</v>
      </c>
      <c r="DQ318" s="1653">
        <v>0</v>
      </c>
      <c r="DR318" s="1653">
        <v>-154.37810613676621</v>
      </c>
      <c r="DS318" s="1653"/>
      <c r="DT318" s="1653"/>
      <c r="DU318" s="1653"/>
      <c r="DV318" s="1653">
        <v>0</v>
      </c>
      <c r="DW318" s="1653">
        <v>0</v>
      </c>
      <c r="DX318" s="1653">
        <v>0</v>
      </c>
      <c r="DY318" s="1653">
        <v>-347.1150200000011</v>
      </c>
      <c r="DZ318" s="1653">
        <v>1216.3060000000005</v>
      </c>
      <c r="EA318" s="1653">
        <v>0</v>
      </c>
      <c r="EB318" s="1653">
        <v>0</v>
      </c>
      <c r="EC318" s="1653">
        <v>0</v>
      </c>
      <c r="ED318" s="1653">
        <v>0</v>
      </c>
      <c r="EE318" s="1653">
        <v>0</v>
      </c>
      <c r="EF318" s="1653">
        <v>0</v>
      </c>
      <c r="EG318" s="1653">
        <v>0</v>
      </c>
      <c r="EH318" s="1653">
        <v>0</v>
      </c>
      <c r="EI318" s="1653">
        <v>0</v>
      </c>
      <c r="EJ318" s="1653">
        <v>0</v>
      </c>
      <c r="EK318" s="1653">
        <v>0</v>
      </c>
      <c r="EL318" s="1653">
        <v>0</v>
      </c>
      <c r="EM318" s="1653">
        <v>0</v>
      </c>
      <c r="EN318" s="1653">
        <v>0</v>
      </c>
      <c r="EO318" s="1653">
        <v>0</v>
      </c>
      <c r="EP318" s="1653">
        <v>0</v>
      </c>
      <c r="EQ318" s="1653">
        <v>0</v>
      </c>
      <c r="ER318" s="1653">
        <v>0</v>
      </c>
      <c r="ES318" s="1653">
        <v>0</v>
      </c>
      <c r="ET318" s="1653">
        <v>0</v>
      </c>
      <c r="EU318" s="1653">
        <v>0</v>
      </c>
      <c r="EV318" s="1653">
        <v>210</v>
      </c>
      <c r="EW318" s="1653">
        <v>0</v>
      </c>
      <c r="EX318" s="1653">
        <v>0</v>
      </c>
      <c r="EY318" s="1653">
        <v>0</v>
      </c>
      <c r="EZ318" s="1653"/>
      <c r="FA318" s="1653">
        <v>0</v>
      </c>
      <c r="FB318" s="1653"/>
      <c r="FC318" s="1653"/>
      <c r="FD318" s="1653"/>
      <c r="FE318" s="1653"/>
      <c r="FF318" s="1653">
        <v>0</v>
      </c>
      <c r="FG318" s="1653">
        <v>0</v>
      </c>
      <c r="FH318" s="1653">
        <v>0</v>
      </c>
      <c r="FI318" s="1653">
        <v>0</v>
      </c>
    </row>
    <row r="319" spans="1:165">
      <c r="A319" s="1653">
        <v>317</v>
      </c>
      <c r="B319" s="1653" t="s">
        <v>2260</v>
      </c>
      <c r="C319" s="1653" t="s">
        <v>2246</v>
      </c>
      <c r="D319" s="1653" t="s">
        <v>595</v>
      </c>
      <c r="E319" s="1653" t="s">
        <v>969</v>
      </c>
      <c r="F319" s="1653" t="s">
        <v>1323</v>
      </c>
      <c r="G319" s="1653" t="s">
        <v>1323</v>
      </c>
      <c r="H319" s="1653" t="s">
        <v>1323</v>
      </c>
      <c r="I319" s="1653" t="s">
        <v>1323</v>
      </c>
      <c r="J319" s="1653" t="s">
        <v>2242</v>
      </c>
      <c r="K319" s="1654">
        <v>44621</v>
      </c>
      <c r="L319" s="1653">
        <v>843</v>
      </c>
      <c r="M319" s="1653">
        <v>843</v>
      </c>
      <c r="N319" s="1653">
        <v>0</v>
      </c>
      <c r="O319" s="1653">
        <v>0</v>
      </c>
      <c r="P319" s="1653">
        <v>0</v>
      </c>
      <c r="Q319" s="1653">
        <v>0</v>
      </c>
      <c r="R319" s="1653">
        <v>33.6</v>
      </c>
      <c r="S319" s="1653"/>
      <c r="T319" s="1653"/>
      <c r="U319" s="1653">
        <v>28324.800000000003</v>
      </c>
      <c r="V319" s="1653"/>
      <c r="W319" s="1653">
        <v>28324.800000000003</v>
      </c>
      <c r="X319" s="1653">
        <v>26773.68</v>
      </c>
      <c r="Y319" s="1653">
        <v>0</v>
      </c>
      <c r="Z319" s="1653">
        <v>0</v>
      </c>
      <c r="AA319" s="1653">
        <v>0</v>
      </c>
      <c r="AB319" s="1653">
        <v>0</v>
      </c>
      <c r="AC319" s="1653">
        <v>0</v>
      </c>
      <c r="AD319" s="1653">
        <v>15043.769038745078</v>
      </c>
      <c r="AE319" s="1653">
        <v>13281.591460987915</v>
      </c>
      <c r="AF319" s="1653"/>
      <c r="AG319" s="1653"/>
      <c r="AH319" s="1653"/>
      <c r="AI319" s="1653">
        <v>0</v>
      </c>
      <c r="AJ319" s="1653">
        <v>0</v>
      </c>
      <c r="AK319" s="1653">
        <v>0</v>
      </c>
      <c r="AL319" s="1653">
        <v>0</v>
      </c>
      <c r="AM319" s="1653"/>
      <c r="AN319" s="1653">
        <v>0</v>
      </c>
      <c r="AO319" s="1653">
        <v>0</v>
      </c>
      <c r="AP319" s="1653">
        <v>0</v>
      </c>
      <c r="AQ319" s="1653">
        <v>0</v>
      </c>
      <c r="AR319" s="1653">
        <v>0</v>
      </c>
      <c r="AS319" s="1653"/>
      <c r="AT319" s="1653"/>
      <c r="AU319" s="1653">
        <v>0</v>
      </c>
      <c r="AV319" s="1653">
        <v>0</v>
      </c>
      <c r="AW319" s="1653">
        <v>0</v>
      </c>
      <c r="AX319" s="1653"/>
      <c r="AY319" s="1653"/>
      <c r="AZ319" s="1653">
        <v>0</v>
      </c>
      <c r="BA319" s="1653"/>
      <c r="BB319" s="1653">
        <v>0</v>
      </c>
      <c r="BC319" s="1653">
        <v>0</v>
      </c>
      <c r="BD319" s="1653">
        <v>0</v>
      </c>
      <c r="BE319" s="1653">
        <v>0</v>
      </c>
      <c r="BF319" s="1653"/>
      <c r="BG319" s="1653">
        <v>0</v>
      </c>
      <c r="BH319" s="1653">
        <v>0</v>
      </c>
      <c r="BI319" s="1653">
        <v>658.38</v>
      </c>
      <c r="BJ319" s="1653">
        <v>3038.74</v>
      </c>
      <c r="BK319" s="1653">
        <v>17587.39</v>
      </c>
      <c r="BL319" s="1653">
        <v>3</v>
      </c>
      <c r="BM319" s="1653"/>
      <c r="BN319" s="1653"/>
      <c r="BO319" s="1653"/>
      <c r="BP319" s="1653"/>
      <c r="BQ319" s="1653"/>
      <c r="BR319" s="1653"/>
      <c r="BS319" s="1653"/>
      <c r="BT319" s="1653"/>
      <c r="BU319" s="1653"/>
      <c r="BV319" s="1653">
        <v>0</v>
      </c>
      <c r="BW319" s="1653"/>
      <c r="BX319" s="1653"/>
      <c r="BY319" s="1653"/>
      <c r="BZ319" s="1653"/>
      <c r="CA319" s="1653"/>
      <c r="CB319" s="1653"/>
      <c r="CC319" s="1653"/>
      <c r="CD319" s="1653"/>
      <c r="CE319" s="1653"/>
      <c r="CF319" s="1653"/>
      <c r="CG319" s="1653"/>
      <c r="CH319" s="1653"/>
      <c r="CI319" s="1653">
        <v>26773.68</v>
      </c>
      <c r="CJ319" s="1653">
        <v>-1551.1499999999978</v>
      </c>
      <c r="CK319" s="1653"/>
      <c r="CL319" s="1653"/>
      <c r="CM319" s="1653"/>
      <c r="CN319" s="1653"/>
      <c r="CO319" s="1653">
        <v>-1551.12</v>
      </c>
      <c r="CP319" s="1653">
        <v>0</v>
      </c>
      <c r="CQ319" s="1653">
        <v>31</v>
      </c>
      <c r="CR319" s="1653">
        <v>556.55876744722991</v>
      </c>
      <c r="CS319" s="1653">
        <v>0</v>
      </c>
      <c r="CT319" s="1653">
        <v>0</v>
      </c>
      <c r="CU319" s="1653">
        <v>0</v>
      </c>
      <c r="CV319" s="1653">
        <v>0</v>
      </c>
      <c r="CW319" s="1653"/>
      <c r="CX319" s="1653"/>
      <c r="CY319" s="1653"/>
      <c r="CZ319" s="1653">
        <v>515.67696602117758</v>
      </c>
      <c r="DA319" s="1653">
        <v>0</v>
      </c>
      <c r="DB319" s="1653">
        <v>0</v>
      </c>
      <c r="DC319" s="1653"/>
      <c r="DD319" s="1653"/>
      <c r="DE319" s="1653">
        <v>0</v>
      </c>
      <c r="DF319" s="1653">
        <v>0</v>
      </c>
      <c r="DG319" s="1653">
        <v>0</v>
      </c>
      <c r="DH319" s="1653">
        <v>0</v>
      </c>
      <c r="DI319" s="1653">
        <v>0</v>
      </c>
      <c r="DJ319" s="1653"/>
      <c r="DK319" s="1653">
        <v>0</v>
      </c>
      <c r="DL319" s="1653">
        <v>0</v>
      </c>
      <c r="DM319" s="1653"/>
      <c r="DN319" s="1653">
        <v>0</v>
      </c>
      <c r="DO319" s="1653">
        <v>0</v>
      </c>
      <c r="DP319" s="1653">
        <v>0</v>
      </c>
      <c r="DQ319" s="1653">
        <v>0</v>
      </c>
      <c r="DR319" s="1653">
        <v>40.881801426052682</v>
      </c>
      <c r="DS319" s="1653"/>
      <c r="DT319" s="1653"/>
      <c r="DU319" s="1653">
        <v>13281.591460987915</v>
      </c>
      <c r="DV319" s="1653"/>
      <c r="DW319" s="1653">
        <v>0</v>
      </c>
      <c r="DX319" s="1653">
        <v>0</v>
      </c>
      <c r="DY319" s="1653">
        <v>-1551.1200000000026</v>
      </c>
      <c r="DZ319" s="1653"/>
      <c r="EA319" s="1653">
        <v>0</v>
      </c>
      <c r="EB319" s="1653"/>
      <c r="EC319" s="1653">
        <v>-2111.1485646837755</v>
      </c>
      <c r="ED319" s="1653"/>
      <c r="EE319" s="1653">
        <v>0</v>
      </c>
      <c r="EF319" s="1653">
        <v>0</v>
      </c>
      <c r="EG319" s="1653"/>
      <c r="EH319" s="1653">
        <v>0</v>
      </c>
      <c r="EI319" s="1653">
        <v>0</v>
      </c>
      <c r="EJ319" s="1653">
        <v>0</v>
      </c>
      <c r="EK319" s="1653">
        <v>0</v>
      </c>
      <c r="EL319" s="1653">
        <v>0</v>
      </c>
      <c r="EM319" s="1653"/>
      <c r="EN319" s="1653"/>
      <c r="EO319" s="1653">
        <v>0</v>
      </c>
      <c r="EP319" s="1653">
        <v>0</v>
      </c>
      <c r="EQ319" s="1653"/>
      <c r="ER319" s="1653">
        <v>0</v>
      </c>
      <c r="ES319" s="1653"/>
      <c r="ET319" s="1653">
        <v>0</v>
      </c>
      <c r="EU319" s="1653"/>
      <c r="EV319" s="1653">
        <v>210</v>
      </c>
      <c r="EW319" s="1653"/>
      <c r="EX319" s="1653"/>
      <c r="EY319" s="1653"/>
      <c r="EZ319" s="1653"/>
      <c r="FA319" s="1653">
        <v>0</v>
      </c>
      <c r="FB319" s="1653"/>
      <c r="FC319" s="1653"/>
      <c r="FD319" s="1653"/>
      <c r="FE319" s="1653"/>
      <c r="FF319" s="1653">
        <v>0</v>
      </c>
      <c r="FG319" s="1653">
        <v>0</v>
      </c>
      <c r="FH319" s="1653">
        <v>0</v>
      </c>
      <c r="FI319" s="1653">
        <v>0</v>
      </c>
    </row>
    <row r="320" spans="1:165">
      <c r="A320" s="1653">
        <v>318</v>
      </c>
      <c r="B320" s="1653" t="s">
        <v>2260</v>
      </c>
      <c r="C320" s="1653" t="s">
        <v>2241</v>
      </c>
      <c r="D320" s="1653" t="s">
        <v>1992</v>
      </c>
      <c r="E320" s="1653" t="s">
        <v>997</v>
      </c>
      <c r="F320" s="1653" t="s">
        <v>1323</v>
      </c>
      <c r="G320" s="1653" t="s">
        <v>1323</v>
      </c>
      <c r="H320" s="1653" t="s">
        <v>1323</v>
      </c>
      <c r="I320" s="1653" t="s">
        <v>1323</v>
      </c>
      <c r="J320" s="1653" t="s">
        <v>2242</v>
      </c>
      <c r="K320" s="1654">
        <v>44621</v>
      </c>
      <c r="L320" s="1653">
        <v>0</v>
      </c>
      <c r="M320" s="1653">
        <v>0</v>
      </c>
      <c r="N320" s="1653">
        <v>66.584999999999994</v>
      </c>
      <c r="O320" s="1653">
        <v>66.584999999999994</v>
      </c>
      <c r="P320" s="1653">
        <v>66.584999999999994</v>
      </c>
      <c r="Q320" s="1653">
        <v>66.584999999999994</v>
      </c>
      <c r="R320" s="1653"/>
      <c r="S320" s="1653">
        <v>358.62</v>
      </c>
      <c r="T320" s="1653">
        <v>273.74</v>
      </c>
      <c r="U320" s="1653"/>
      <c r="V320" s="1653">
        <v>42105.690599999994</v>
      </c>
      <c r="W320" s="1653">
        <v>42105.690599999994</v>
      </c>
      <c r="X320" s="1653">
        <v>40825.926899999991</v>
      </c>
      <c r="Y320" s="1653">
        <v>0</v>
      </c>
      <c r="Z320" s="1653">
        <v>4020.0302356168963</v>
      </c>
      <c r="AA320" s="1653">
        <v>0</v>
      </c>
      <c r="AB320" s="1653">
        <v>0</v>
      </c>
      <c r="AC320" s="1653">
        <v>0</v>
      </c>
      <c r="AD320" s="1653">
        <v>5732.2039509608076</v>
      </c>
      <c r="AE320" s="1653">
        <v>13189.1030022263</v>
      </c>
      <c r="AF320" s="1653">
        <v>18226.928606441801</v>
      </c>
      <c r="AG320" s="1653">
        <v>0</v>
      </c>
      <c r="AH320" s="1653">
        <v>0</v>
      </c>
      <c r="AI320" s="1653">
        <v>0</v>
      </c>
      <c r="AJ320" s="1653">
        <v>0</v>
      </c>
      <c r="AK320" s="1653">
        <v>0</v>
      </c>
      <c r="AL320" s="1653">
        <v>621.67410460478618</v>
      </c>
      <c r="AM320" s="1653"/>
      <c r="AN320" s="1653">
        <v>70.9191089487352</v>
      </c>
      <c r="AO320" s="1653">
        <v>0</v>
      </c>
      <c r="AP320" s="1653">
        <v>0</v>
      </c>
      <c r="AQ320" s="1653">
        <v>0</v>
      </c>
      <c r="AR320" s="1653">
        <v>0</v>
      </c>
      <c r="AS320" s="1653">
        <v>0</v>
      </c>
      <c r="AT320" s="1653">
        <v>0</v>
      </c>
      <c r="AU320" s="1653">
        <v>0</v>
      </c>
      <c r="AV320" s="1653">
        <v>0</v>
      </c>
      <c r="AW320" s="1653">
        <v>0</v>
      </c>
      <c r="AX320" s="1653">
        <v>0</v>
      </c>
      <c r="AY320" s="1653">
        <v>0</v>
      </c>
      <c r="AZ320" s="1653">
        <v>0</v>
      </c>
      <c r="BA320" s="1653"/>
      <c r="BB320" s="1653">
        <v>0</v>
      </c>
      <c r="BC320" s="1653">
        <v>0</v>
      </c>
      <c r="BD320" s="1653">
        <v>0</v>
      </c>
      <c r="BE320" s="1653">
        <v>0</v>
      </c>
      <c r="BF320" s="1653">
        <v>0</v>
      </c>
      <c r="BG320" s="1653">
        <v>244.92801106481002</v>
      </c>
      <c r="BH320" s="1653">
        <v>0</v>
      </c>
      <c r="BI320" s="1653">
        <v>335.24</v>
      </c>
      <c r="BJ320" s="1653">
        <v>1548.37</v>
      </c>
      <c r="BK320" s="1653">
        <v>11450.23</v>
      </c>
      <c r="BL320" s="1653">
        <v>71</v>
      </c>
      <c r="BM320" s="1653"/>
      <c r="BN320" s="1653"/>
      <c r="BO320" s="1653"/>
      <c r="BP320" s="1653"/>
      <c r="BQ320" s="1653"/>
      <c r="BR320" s="1653"/>
      <c r="BS320" s="1653"/>
      <c r="BT320" s="1653"/>
      <c r="BU320" s="1653"/>
      <c r="BV320" s="1653">
        <v>18471.856617506612</v>
      </c>
      <c r="BW320" s="1653"/>
      <c r="BX320" s="1653"/>
      <c r="BY320" s="1653"/>
      <c r="BZ320" s="1653"/>
      <c r="CA320" s="1653"/>
      <c r="CB320" s="1653"/>
      <c r="CC320" s="1653"/>
      <c r="CD320" s="1653"/>
      <c r="CE320" s="1653"/>
      <c r="CF320" s="1653"/>
      <c r="CG320" s="1653"/>
      <c r="CH320" s="1653"/>
      <c r="CI320" s="1653">
        <v>40828.992599999998</v>
      </c>
      <c r="CJ320" s="1653">
        <v>-1276.7279999999955</v>
      </c>
      <c r="CK320" s="1653"/>
      <c r="CL320" s="1653"/>
      <c r="CM320" s="1653"/>
      <c r="CN320" s="1653"/>
      <c r="CO320" s="1653">
        <v>-2145.3687000000018</v>
      </c>
      <c r="CP320" s="1653">
        <v>865.6049999999999</v>
      </c>
      <c r="CQ320" s="1653">
        <v>31</v>
      </c>
      <c r="CR320" s="1653">
        <v>816.45729533878693</v>
      </c>
      <c r="CS320" s="1653">
        <v>0</v>
      </c>
      <c r="CT320" s="1653">
        <v>0</v>
      </c>
      <c r="CU320" s="1653">
        <v>0</v>
      </c>
      <c r="CV320" s="1653">
        <v>0</v>
      </c>
      <c r="CW320" s="1653">
        <v>0</v>
      </c>
      <c r="CX320" s="1653">
        <v>0</v>
      </c>
      <c r="CY320" s="1653">
        <v>0</v>
      </c>
      <c r="CZ320" s="1653">
        <v>196.4910212615905</v>
      </c>
      <c r="DA320" s="1653">
        <v>0</v>
      </c>
      <c r="DB320" s="1653">
        <v>0</v>
      </c>
      <c r="DC320" s="1653">
        <v>981.87954901828562</v>
      </c>
      <c r="DD320" s="1653">
        <v>0</v>
      </c>
      <c r="DE320" s="1653">
        <v>0</v>
      </c>
      <c r="DF320" s="1653">
        <v>0</v>
      </c>
      <c r="DG320" s="1653">
        <v>13.194203490832564</v>
      </c>
      <c r="DH320" s="1653">
        <v>0</v>
      </c>
      <c r="DI320" s="1653">
        <v>-256.24185324660402</v>
      </c>
      <c r="DJ320" s="1653"/>
      <c r="DK320" s="1653">
        <v>0</v>
      </c>
      <c r="DL320" s="1653">
        <v>0</v>
      </c>
      <c r="DM320" s="1653">
        <v>0</v>
      </c>
      <c r="DN320" s="1653">
        <v>0</v>
      </c>
      <c r="DO320" s="1653">
        <v>-32.595490858642393</v>
      </c>
      <c r="DP320" s="1653">
        <v>-4.679201708031826</v>
      </c>
      <c r="DQ320" s="1653">
        <v>0</v>
      </c>
      <c r="DR320" s="1653">
        <v>-81.59093261864146</v>
      </c>
      <c r="DS320" s="1653"/>
      <c r="DT320" s="1653"/>
      <c r="DU320" s="1653"/>
      <c r="DV320" s="1653">
        <v>13189.1030022263</v>
      </c>
      <c r="DW320" s="1653">
        <v>0</v>
      </c>
      <c r="DX320" s="1653">
        <v>0</v>
      </c>
      <c r="DY320" s="1653">
        <v>-2145.3686999999991</v>
      </c>
      <c r="DZ320" s="1653">
        <v>865.60499999999956</v>
      </c>
      <c r="EA320" s="1653">
        <v>0</v>
      </c>
      <c r="EB320" s="1653">
        <v>0</v>
      </c>
      <c r="EC320" s="1653">
        <v>-2096.4472483891514</v>
      </c>
      <c r="ED320" s="1653">
        <v>0</v>
      </c>
      <c r="EE320" s="1653">
        <v>0</v>
      </c>
      <c r="EF320" s="1653">
        <v>0</v>
      </c>
      <c r="EG320" s="1653">
        <v>0</v>
      </c>
      <c r="EH320" s="1653">
        <v>0</v>
      </c>
      <c r="EI320" s="1653">
        <v>0</v>
      </c>
      <c r="EJ320" s="1653">
        <v>0</v>
      </c>
      <c r="EK320" s="1653">
        <v>0</v>
      </c>
      <c r="EL320" s="1653">
        <v>0</v>
      </c>
      <c r="EM320" s="1653">
        <v>0</v>
      </c>
      <c r="EN320" s="1653">
        <v>0</v>
      </c>
      <c r="EO320" s="1653">
        <v>0</v>
      </c>
      <c r="EP320" s="1653">
        <v>0</v>
      </c>
      <c r="EQ320" s="1653">
        <v>0</v>
      </c>
      <c r="ER320" s="1653">
        <v>0</v>
      </c>
      <c r="ES320" s="1653">
        <v>0</v>
      </c>
      <c r="ET320" s="1653">
        <v>0</v>
      </c>
      <c r="EU320" s="1653">
        <v>0</v>
      </c>
      <c r="EV320" s="1653">
        <v>210</v>
      </c>
      <c r="EW320" s="1653">
        <v>0</v>
      </c>
      <c r="EX320" s="1653">
        <v>0</v>
      </c>
      <c r="EY320" s="1653">
        <v>0</v>
      </c>
      <c r="EZ320" s="1653"/>
      <c r="FA320" s="1653">
        <v>0</v>
      </c>
      <c r="FB320" s="1653"/>
      <c r="FC320" s="1653"/>
      <c r="FD320" s="1653"/>
      <c r="FE320" s="1653"/>
      <c r="FF320" s="1653">
        <v>0</v>
      </c>
      <c r="FG320" s="1653">
        <v>0</v>
      </c>
      <c r="FH320" s="1653">
        <v>0</v>
      </c>
      <c r="FI320" s="1653">
        <v>0</v>
      </c>
    </row>
    <row r="321" spans="1:165">
      <c r="A321" s="1653">
        <v>319</v>
      </c>
      <c r="B321" s="1653" t="s">
        <v>2260</v>
      </c>
      <c r="C321" s="1653" t="s">
        <v>2241</v>
      </c>
      <c r="D321" s="1653" t="s">
        <v>1992</v>
      </c>
      <c r="E321" s="1653" t="s">
        <v>997</v>
      </c>
      <c r="F321" s="1653" t="s">
        <v>1323</v>
      </c>
      <c r="G321" s="1653" t="s">
        <v>1323</v>
      </c>
      <c r="H321" s="1653" t="s">
        <v>1323</v>
      </c>
      <c r="I321" s="1653" t="s">
        <v>1323</v>
      </c>
      <c r="J321" s="1653" t="s">
        <v>2242</v>
      </c>
      <c r="K321" s="1654">
        <v>44621</v>
      </c>
      <c r="L321" s="1653">
        <v>0</v>
      </c>
      <c r="M321" s="1653">
        <v>0</v>
      </c>
      <c r="N321" s="1653">
        <v>0.61299999999999999</v>
      </c>
      <c r="O321" s="1653">
        <v>0.61299999999999999</v>
      </c>
      <c r="P321" s="1653">
        <v>0.61299999999999999</v>
      </c>
      <c r="Q321" s="1653">
        <v>0.61299999999999999</v>
      </c>
      <c r="R321" s="1653"/>
      <c r="S321" s="1653">
        <v>358.62</v>
      </c>
      <c r="T321" s="1653">
        <v>273.74</v>
      </c>
      <c r="U321" s="1653"/>
      <c r="V321" s="1653">
        <v>387.63667999999996</v>
      </c>
      <c r="W321" s="1653">
        <v>387.63667999999996</v>
      </c>
      <c r="X321" s="1653">
        <v>375.85482000000002</v>
      </c>
      <c r="Y321" s="1653">
        <v>0</v>
      </c>
      <c r="Z321" s="1653">
        <v>37.009514671970528</v>
      </c>
      <c r="AA321" s="1653">
        <v>0</v>
      </c>
      <c r="AB321" s="1653">
        <v>0</v>
      </c>
      <c r="AC321" s="1653">
        <v>0</v>
      </c>
      <c r="AD321" s="1653">
        <v>52.772261349237446</v>
      </c>
      <c r="AE321" s="1653">
        <v>121.42254472275621</v>
      </c>
      <c r="AF321" s="1653">
        <v>167.8021661898149</v>
      </c>
      <c r="AG321" s="1653">
        <v>0</v>
      </c>
      <c r="AH321" s="1653">
        <v>0</v>
      </c>
      <c r="AI321" s="1653">
        <v>0</v>
      </c>
      <c r="AJ321" s="1653">
        <v>0</v>
      </c>
      <c r="AK321" s="1653">
        <v>0</v>
      </c>
      <c r="AL321" s="1653">
        <v>5.7233044397797395</v>
      </c>
      <c r="AM321" s="1653"/>
      <c r="AN321" s="1653">
        <v>0.65290101052150906</v>
      </c>
      <c r="AO321" s="1653">
        <v>0</v>
      </c>
      <c r="AP321" s="1653">
        <v>0</v>
      </c>
      <c r="AQ321" s="1653">
        <v>0</v>
      </c>
      <c r="AR321" s="1653">
        <v>0</v>
      </c>
      <c r="AS321" s="1653">
        <v>0</v>
      </c>
      <c r="AT321" s="1653">
        <v>0</v>
      </c>
      <c r="AU321" s="1653">
        <v>0</v>
      </c>
      <c r="AV321" s="1653">
        <v>0</v>
      </c>
      <c r="AW321" s="1653">
        <v>0</v>
      </c>
      <c r="AX321" s="1653">
        <v>0</v>
      </c>
      <c r="AY321" s="1653">
        <v>0</v>
      </c>
      <c r="AZ321" s="1653">
        <v>0</v>
      </c>
      <c r="BA321" s="1653"/>
      <c r="BB321" s="1653">
        <v>0</v>
      </c>
      <c r="BC321" s="1653">
        <v>0</v>
      </c>
      <c r="BD321" s="1653">
        <v>0</v>
      </c>
      <c r="BE321" s="1653">
        <v>0</v>
      </c>
      <c r="BF321" s="1653">
        <v>0</v>
      </c>
      <c r="BG321" s="1653">
        <v>2.2548752839637838</v>
      </c>
      <c r="BH321" s="1653">
        <v>0</v>
      </c>
      <c r="BI321" s="1653">
        <v>3.84</v>
      </c>
      <c r="BJ321" s="1653">
        <v>17.72</v>
      </c>
      <c r="BK321" s="1653">
        <v>241.32</v>
      </c>
      <c r="BL321" s="1653">
        <v>1</v>
      </c>
      <c r="BM321" s="1653"/>
      <c r="BN321" s="1653"/>
      <c r="BO321" s="1653"/>
      <c r="BP321" s="1653"/>
      <c r="BQ321" s="1653"/>
      <c r="BR321" s="1653"/>
      <c r="BS321" s="1653"/>
      <c r="BT321" s="1653"/>
      <c r="BU321" s="1653"/>
      <c r="BV321" s="1653">
        <v>170.05704147377867</v>
      </c>
      <c r="BW321" s="1653"/>
      <c r="BX321" s="1653"/>
      <c r="BY321" s="1653"/>
      <c r="BZ321" s="1653"/>
      <c r="CA321" s="1653"/>
      <c r="CB321" s="1653"/>
      <c r="CC321" s="1653"/>
      <c r="CD321" s="1653"/>
      <c r="CE321" s="1653"/>
      <c r="CF321" s="1653"/>
      <c r="CG321" s="1653"/>
      <c r="CH321" s="1653"/>
      <c r="CI321" s="1653">
        <v>374.0154</v>
      </c>
      <c r="CJ321" s="1653">
        <v>-13.651279999999929</v>
      </c>
      <c r="CK321" s="1653"/>
      <c r="CL321" s="1653"/>
      <c r="CM321" s="1653"/>
      <c r="CN321" s="1653"/>
      <c r="CO321" s="1653">
        <v>-19.750860000000017</v>
      </c>
      <c r="CP321" s="1653">
        <v>7.9689999999999994</v>
      </c>
      <c r="CQ321" s="1653">
        <v>31</v>
      </c>
      <c r="CR321" s="1653">
        <v>7.5165325830544703</v>
      </c>
      <c r="CS321" s="1653">
        <v>0</v>
      </c>
      <c r="CT321" s="1653">
        <v>0</v>
      </c>
      <c r="CU321" s="1653">
        <v>0</v>
      </c>
      <c r="CV321" s="1653">
        <v>0</v>
      </c>
      <c r="CW321" s="1653">
        <v>0</v>
      </c>
      <c r="CX321" s="1653">
        <v>0</v>
      </c>
      <c r="CY321" s="1653">
        <v>0</v>
      </c>
      <c r="CZ321" s="1653">
        <v>1.8089509053593886</v>
      </c>
      <c r="DA321" s="1653">
        <v>0</v>
      </c>
      <c r="DB321" s="1653">
        <v>0</v>
      </c>
      <c r="DC321" s="1653">
        <v>9.0394557865616889</v>
      </c>
      <c r="DD321" s="1653">
        <v>0</v>
      </c>
      <c r="DE321" s="1653">
        <v>0</v>
      </c>
      <c r="DF321" s="1653">
        <v>0</v>
      </c>
      <c r="DG321" s="1653">
        <v>0.12146950123722133</v>
      </c>
      <c r="DH321" s="1653">
        <v>0</v>
      </c>
      <c r="DI321" s="1653">
        <v>-2.3590336568321391</v>
      </c>
      <c r="DJ321" s="1653"/>
      <c r="DK321" s="1653">
        <v>0</v>
      </c>
      <c r="DL321" s="1653">
        <v>0</v>
      </c>
      <c r="DM321" s="1653">
        <v>0</v>
      </c>
      <c r="DN321" s="1653">
        <v>0</v>
      </c>
      <c r="DO321" s="1653">
        <v>-0.30008314029207472</v>
      </c>
      <c r="DP321" s="1653">
        <v>-4.3078030292460934E-2</v>
      </c>
      <c r="DQ321" s="1653">
        <v>0</v>
      </c>
      <c r="DR321" s="1653">
        <v>-0.7511487826872002</v>
      </c>
      <c r="DS321" s="1653"/>
      <c r="DT321" s="1653"/>
      <c r="DU321" s="1653"/>
      <c r="DV321" s="1653">
        <v>121.42254472275621</v>
      </c>
      <c r="DW321" s="1653">
        <v>0</v>
      </c>
      <c r="DX321" s="1653">
        <v>0</v>
      </c>
      <c r="DY321" s="1653">
        <v>-19.750860000000017</v>
      </c>
      <c r="DZ321" s="1653">
        <v>7.9690000000000225</v>
      </c>
      <c r="EA321" s="1653">
        <v>0</v>
      </c>
      <c r="EB321" s="1653">
        <v>0</v>
      </c>
      <c r="EC321" s="1653">
        <v>-19.300475531464286</v>
      </c>
      <c r="ED321" s="1653">
        <v>0</v>
      </c>
      <c r="EE321" s="1653">
        <v>0</v>
      </c>
      <c r="EF321" s="1653">
        <v>0</v>
      </c>
      <c r="EG321" s="1653">
        <v>0</v>
      </c>
      <c r="EH321" s="1653">
        <v>0</v>
      </c>
      <c r="EI321" s="1653">
        <v>0</v>
      </c>
      <c r="EJ321" s="1653">
        <v>0</v>
      </c>
      <c r="EK321" s="1653">
        <v>0</v>
      </c>
      <c r="EL321" s="1653">
        <v>0</v>
      </c>
      <c r="EM321" s="1653">
        <v>0</v>
      </c>
      <c r="EN321" s="1653">
        <v>0</v>
      </c>
      <c r="EO321" s="1653">
        <v>0</v>
      </c>
      <c r="EP321" s="1653">
        <v>0</v>
      </c>
      <c r="EQ321" s="1653">
        <v>0</v>
      </c>
      <c r="ER321" s="1653">
        <v>0</v>
      </c>
      <c r="ES321" s="1653">
        <v>0</v>
      </c>
      <c r="ET321" s="1653">
        <v>0</v>
      </c>
      <c r="EU321" s="1653">
        <v>0</v>
      </c>
      <c r="EV321" s="1653">
        <v>210</v>
      </c>
      <c r="EW321" s="1653">
        <v>0</v>
      </c>
      <c r="EX321" s="1653">
        <v>0</v>
      </c>
      <c r="EY321" s="1653">
        <v>0</v>
      </c>
      <c r="EZ321" s="1653"/>
      <c r="FA321" s="1653">
        <v>0</v>
      </c>
      <c r="FB321" s="1653"/>
      <c r="FC321" s="1653"/>
      <c r="FD321" s="1653"/>
      <c r="FE321" s="1653"/>
      <c r="FF321" s="1653">
        <v>0</v>
      </c>
      <c r="FG321" s="1653">
        <v>0</v>
      </c>
      <c r="FH321" s="1653">
        <v>0</v>
      </c>
      <c r="FI321" s="1653">
        <v>0</v>
      </c>
    </row>
    <row r="322" spans="1:165">
      <c r="A322" s="1653">
        <v>320</v>
      </c>
      <c r="B322" s="1653" t="s">
        <v>2260</v>
      </c>
      <c r="C322" s="1653" t="s">
        <v>2246</v>
      </c>
      <c r="D322" s="1653" t="s">
        <v>595</v>
      </c>
      <c r="E322" s="1653" t="s">
        <v>997</v>
      </c>
      <c r="F322" s="1653" t="s">
        <v>1323</v>
      </c>
      <c r="G322" s="1653" t="s">
        <v>1323</v>
      </c>
      <c r="H322" s="1653" t="s">
        <v>1323</v>
      </c>
      <c r="I322" s="1653" t="s">
        <v>972</v>
      </c>
      <c r="J322" s="1653" t="s">
        <v>2242</v>
      </c>
      <c r="K322" s="1654">
        <v>44621</v>
      </c>
      <c r="L322" s="1653">
        <v>0</v>
      </c>
      <c r="M322" s="1653">
        <v>0</v>
      </c>
      <c r="N322" s="1653">
        <v>0.26100000000000001</v>
      </c>
      <c r="O322" s="1653">
        <v>0.26100000000000001</v>
      </c>
      <c r="P322" s="1653">
        <v>0.26100000000000001</v>
      </c>
      <c r="Q322" s="1653">
        <v>0.26100000000000001</v>
      </c>
      <c r="R322" s="1653"/>
      <c r="S322" s="1653">
        <v>1856.88</v>
      </c>
      <c r="T322" s="1653">
        <v>273.74</v>
      </c>
      <c r="U322" s="1653"/>
      <c r="V322" s="1653">
        <v>556.09181999999998</v>
      </c>
      <c r="W322" s="1653">
        <v>556.09181999999998</v>
      </c>
      <c r="X322" s="1653">
        <v>509.54246999999998</v>
      </c>
      <c r="Y322" s="1653">
        <v>0</v>
      </c>
      <c r="Z322" s="1653">
        <v>13.709217775798278</v>
      </c>
      <c r="AA322" s="1653">
        <v>0</v>
      </c>
      <c r="AB322" s="1653">
        <v>0</v>
      </c>
      <c r="AC322" s="1653">
        <v>0</v>
      </c>
      <c r="AD322" s="1653">
        <v>127.91397818101531</v>
      </c>
      <c r="AE322" s="1653">
        <v>339.92157697068791</v>
      </c>
      <c r="AF322" s="1653">
        <v>71.445946779023956</v>
      </c>
      <c r="AG322" s="1653">
        <v>0</v>
      </c>
      <c r="AH322" s="1653">
        <v>0</v>
      </c>
      <c r="AI322" s="1653">
        <v>0</v>
      </c>
      <c r="AJ322" s="1653">
        <v>0</v>
      </c>
      <c r="AK322" s="1653">
        <v>0</v>
      </c>
      <c r="AL322" s="1653">
        <v>2.4368392476060556</v>
      </c>
      <c r="AM322" s="1653"/>
      <c r="AN322" s="1653">
        <v>0.22657094455368096</v>
      </c>
      <c r="AO322" s="1653">
        <v>0</v>
      </c>
      <c r="AP322" s="1653">
        <v>0</v>
      </c>
      <c r="AQ322" s="1653">
        <v>0</v>
      </c>
      <c r="AR322" s="1653">
        <v>0</v>
      </c>
      <c r="AS322" s="1653">
        <v>0</v>
      </c>
      <c r="AT322" s="1653">
        <v>0</v>
      </c>
      <c r="AU322" s="1653">
        <v>0</v>
      </c>
      <c r="AV322" s="1653">
        <v>0</v>
      </c>
      <c r="AW322" s="1653">
        <v>0</v>
      </c>
      <c r="AX322" s="1653">
        <v>0</v>
      </c>
      <c r="AY322" s="1653">
        <v>0</v>
      </c>
      <c r="AZ322" s="1653">
        <v>0</v>
      </c>
      <c r="BA322" s="1653"/>
      <c r="BB322" s="1653">
        <v>0</v>
      </c>
      <c r="BC322" s="1653">
        <v>0</v>
      </c>
      <c r="BD322" s="1653">
        <v>0</v>
      </c>
      <c r="BE322" s="1653">
        <v>0</v>
      </c>
      <c r="BF322" s="1653">
        <v>0</v>
      </c>
      <c r="BG322" s="1653">
        <v>0.43673805285994005</v>
      </c>
      <c r="BH322" s="1653">
        <v>0</v>
      </c>
      <c r="BI322" s="1653">
        <v>0</v>
      </c>
      <c r="BJ322" s="1653">
        <v>0</v>
      </c>
      <c r="BK322" s="1653">
        <v>0</v>
      </c>
      <c r="BL322" s="1653">
        <v>0</v>
      </c>
      <c r="BM322" s="1653"/>
      <c r="BN322" s="1653"/>
      <c r="BO322" s="1653"/>
      <c r="BP322" s="1653"/>
      <c r="BQ322" s="1653"/>
      <c r="BR322" s="1653"/>
      <c r="BS322" s="1653"/>
      <c r="BT322" s="1653"/>
      <c r="BU322" s="1653"/>
      <c r="BV322" s="1653">
        <v>71.882684831883893</v>
      </c>
      <c r="BW322" s="1653"/>
      <c r="BX322" s="1653"/>
      <c r="BY322" s="1653"/>
      <c r="BZ322" s="1653"/>
      <c r="CA322" s="1653"/>
      <c r="CB322" s="1653"/>
      <c r="CC322" s="1653"/>
      <c r="CD322" s="1653"/>
      <c r="CE322" s="1653"/>
      <c r="CF322" s="1653"/>
      <c r="CG322" s="1653"/>
      <c r="CH322" s="1653"/>
      <c r="CI322" s="1653">
        <v>507.59019999999998</v>
      </c>
      <c r="CJ322" s="1653">
        <v>-48.531619999999975</v>
      </c>
      <c r="CK322" s="1653"/>
      <c r="CL322" s="1653"/>
      <c r="CM322" s="1653"/>
      <c r="CN322" s="1653"/>
      <c r="CO322" s="1653">
        <v>-49.94235000000004</v>
      </c>
      <c r="CP322" s="1653">
        <v>3.3930000000000002</v>
      </c>
      <c r="CQ322" s="1653">
        <v>31</v>
      </c>
      <c r="CR322" s="1653">
        <v>7.4850037768219408</v>
      </c>
      <c r="CS322" s="1653">
        <v>0</v>
      </c>
      <c r="CT322" s="1653">
        <v>0</v>
      </c>
      <c r="CU322" s="1653">
        <v>0</v>
      </c>
      <c r="CV322" s="1653">
        <v>0</v>
      </c>
      <c r="CW322" s="1653">
        <v>0</v>
      </c>
      <c r="CX322" s="1653">
        <v>0</v>
      </c>
      <c r="CY322" s="1653">
        <v>0</v>
      </c>
      <c r="CZ322" s="1653">
        <v>4.3846918953759229</v>
      </c>
      <c r="DA322" s="1653">
        <v>0</v>
      </c>
      <c r="DB322" s="1653">
        <v>0</v>
      </c>
      <c r="DC322" s="1653">
        <v>3.8487731815540087</v>
      </c>
      <c r="DD322" s="1653">
        <v>0</v>
      </c>
      <c r="DE322" s="1653">
        <v>0</v>
      </c>
      <c r="DF322" s="1653">
        <v>0</v>
      </c>
      <c r="DG322" s="1653">
        <v>2.3526956825284051E-2</v>
      </c>
      <c r="DH322" s="1653">
        <v>0</v>
      </c>
      <c r="DI322" s="1653">
        <v>-0.87384302195248509</v>
      </c>
      <c r="DJ322" s="1653"/>
      <c r="DK322" s="1653">
        <v>0</v>
      </c>
      <c r="DL322" s="1653">
        <v>0</v>
      </c>
      <c r="DM322" s="1653">
        <v>0</v>
      </c>
      <c r="DN322" s="1653">
        <v>0</v>
      </c>
      <c r="DO322" s="1653">
        <v>-0.12776786234295523</v>
      </c>
      <c r="DP322" s="1653">
        <v>-1.4949019614901027E-2</v>
      </c>
      <c r="DQ322" s="1653">
        <v>0</v>
      </c>
      <c r="DR322" s="1653">
        <v>0.24457164697706441</v>
      </c>
      <c r="DS322" s="1653"/>
      <c r="DT322" s="1653"/>
      <c r="DU322" s="1653"/>
      <c r="DV322" s="1653">
        <v>339.92157697068791</v>
      </c>
      <c r="DW322" s="1653">
        <v>0</v>
      </c>
      <c r="DX322" s="1653">
        <v>0</v>
      </c>
      <c r="DY322" s="1653">
        <v>-49.942350000000033</v>
      </c>
      <c r="DZ322" s="1653">
        <v>3.3930000000000007</v>
      </c>
      <c r="EA322" s="1653">
        <v>0</v>
      </c>
      <c r="EB322" s="1653">
        <v>0</v>
      </c>
      <c r="EC322" s="1653">
        <v>-54.031548209758853</v>
      </c>
      <c r="ED322" s="1653">
        <v>0</v>
      </c>
      <c r="EE322" s="1653">
        <v>0</v>
      </c>
      <c r="EF322" s="1653">
        <v>0</v>
      </c>
      <c r="EG322" s="1653">
        <v>0</v>
      </c>
      <c r="EH322" s="1653">
        <v>0</v>
      </c>
      <c r="EI322" s="1653">
        <v>0</v>
      </c>
      <c r="EJ322" s="1653">
        <v>0</v>
      </c>
      <c r="EK322" s="1653">
        <v>0</v>
      </c>
      <c r="EL322" s="1653">
        <v>0</v>
      </c>
      <c r="EM322" s="1653">
        <v>0</v>
      </c>
      <c r="EN322" s="1653">
        <v>0</v>
      </c>
      <c r="EO322" s="1653">
        <v>0</v>
      </c>
      <c r="EP322" s="1653">
        <v>0</v>
      </c>
      <c r="EQ322" s="1653">
        <v>0</v>
      </c>
      <c r="ER322" s="1653">
        <v>0</v>
      </c>
      <c r="ES322" s="1653">
        <v>0</v>
      </c>
      <c r="ET322" s="1653">
        <v>0</v>
      </c>
      <c r="EU322" s="1653">
        <v>0</v>
      </c>
      <c r="EV322" s="1653">
        <v>210</v>
      </c>
      <c r="EW322" s="1653">
        <v>0</v>
      </c>
      <c r="EX322" s="1653">
        <v>0</v>
      </c>
      <c r="EY322" s="1653">
        <v>0</v>
      </c>
      <c r="EZ322" s="1653"/>
      <c r="FA322" s="1653">
        <v>0</v>
      </c>
      <c r="FB322" s="1653"/>
      <c r="FC322" s="1653"/>
      <c r="FD322" s="1653"/>
      <c r="FE322" s="1653"/>
      <c r="FF322" s="1653">
        <v>0</v>
      </c>
      <c r="FG322" s="1653">
        <v>0</v>
      </c>
      <c r="FH322" s="1653">
        <v>0</v>
      </c>
      <c r="FI322" s="1653">
        <v>0</v>
      </c>
    </row>
    <row r="323" spans="1:165">
      <c r="A323" s="1653">
        <v>321</v>
      </c>
      <c r="B323" s="1653" t="s">
        <v>2260</v>
      </c>
      <c r="C323" s="1653" t="s">
        <v>2246</v>
      </c>
      <c r="D323" s="1653" t="s">
        <v>595</v>
      </c>
      <c r="E323" s="1653" t="s">
        <v>997</v>
      </c>
      <c r="F323" s="1653" t="s">
        <v>1323</v>
      </c>
      <c r="G323" s="1653" t="s">
        <v>1323</v>
      </c>
      <c r="H323" s="1653" t="s">
        <v>1323</v>
      </c>
      <c r="I323" s="1653" t="s">
        <v>2234</v>
      </c>
      <c r="J323" s="1653" t="s">
        <v>2242</v>
      </c>
      <c r="K323" s="1654">
        <v>44621</v>
      </c>
      <c r="L323" s="1653">
        <v>0</v>
      </c>
      <c r="M323" s="1653">
        <v>0</v>
      </c>
      <c r="N323" s="1653">
        <v>18.491</v>
      </c>
      <c r="O323" s="1653">
        <v>18.491</v>
      </c>
      <c r="P323" s="1653">
        <v>18.491</v>
      </c>
      <c r="Q323" s="1653">
        <v>18.491</v>
      </c>
      <c r="R323" s="1653"/>
      <c r="S323" s="1653">
        <v>64.400000000000006</v>
      </c>
      <c r="T323" s="1653">
        <v>273.74</v>
      </c>
      <c r="U323" s="1653"/>
      <c r="V323" s="1653">
        <v>6252.5467399999998</v>
      </c>
      <c r="W323" s="1653">
        <v>6252.5467399999998</v>
      </c>
      <c r="X323" s="1653">
        <v>6424.3281299999999</v>
      </c>
      <c r="Y323" s="1653">
        <v>0</v>
      </c>
      <c r="Z323" s="1653">
        <v>971.25343253749395</v>
      </c>
      <c r="AA323" s="1653">
        <v>0</v>
      </c>
      <c r="AB323" s="1653">
        <v>0</v>
      </c>
      <c r="AC323" s="1653">
        <v>0</v>
      </c>
      <c r="AD323" s="1653">
        <v>0</v>
      </c>
      <c r="AE323" s="1653">
        <v>0</v>
      </c>
      <c r="AF323" s="1653">
        <v>5061.7126509231111</v>
      </c>
      <c r="AG323" s="1653">
        <v>0</v>
      </c>
      <c r="AH323" s="1653">
        <v>0</v>
      </c>
      <c r="AI323" s="1653">
        <v>0</v>
      </c>
      <c r="AJ323" s="1653">
        <v>0</v>
      </c>
      <c r="AK323" s="1653">
        <v>0</v>
      </c>
      <c r="AL323" s="1653">
        <v>172.64212462637383</v>
      </c>
      <c r="AM323" s="1653"/>
      <c r="AN323" s="1653">
        <v>16.051813546904654</v>
      </c>
      <c r="AO323" s="1653">
        <v>0</v>
      </c>
      <c r="AP323" s="1653">
        <v>0</v>
      </c>
      <c r="AQ323" s="1653">
        <v>0</v>
      </c>
      <c r="AR323" s="1653">
        <v>0</v>
      </c>
      <c r="AS323" s="1653">
        <v>0</v>
      </c>
      <c r="AT323" s="1653">
        <v>0</v>
      </c>
      <c r="AU323" s="1653">
        <v>0</v>
      </c>
      <c r="AV323" s="1653">
        <v>0</v>
      </c>
      <c r="AW323" s="1653">
        <v>0</v>
      </c>
      <c r="AX323" s="1653">
        <v>0</v>
      </c>
      <c r="AY323" s="1653">
        <v>0</v>
      </c>
      <c r="AZ323" s="1653">
        <v>0</v>
      </c>
      <c r="BA323" s="1653"/>
      <c r="BB323" s="1653">
        <v>0</v>
      </c>
      <c r="BC323" s="1653">
        <v>0</v>
      </c>
      <c r="BD323" s="1653">
        <v>0</v>
      </c>
      <c r="BE323" s="1653">
        <v>0</v>
      </c>
      <c r="BF323" s="1653">
        <v>0</v>
      </c>
      <c r="BG323" s="1653">
        <v>30.941468718134676</v>
      </c>
      <c r="BH323" s="1653">
        <v>0</v>
      </c>
      <c r="BI323" s="1653">
        <v>0</v>
      </c>
      <c r="BJ323" s="1653">
        <v>0</v>
      </c>
      <c r="BK323" s="1653">
        <v>0</v>
      </c>
      <c r="BL323" s="1653">
        <v>0</v>
      </c>
      <c r="BM323" s="1653"/>
      <c r="BN323" s="1653"/>
      <c r="BO323" s="1653"/>
      <c r="BP323" s="1653"/>
      <c r="BQ323" s="1653"/>
      <c r="BR323" s="1653"/>
      <c r="BS323" s="1653"/>
      <c r="BT323" s="1653"/>
      <c r="BU323" s="1653"/>
      <c r="BV323" s="1653">
        <v>5092.6541196412454</v>
      </c>
      <c r="BW323" s="1653"/>
      <c r="BX323" s="1653"/>
      <c r="BY323" s="1653"/>
      <c r="BZ323" s="1653"/>
      <c r="CA323" s="1653"/>
      <c r="CB323" s="1653"/>
      <c r="CC323" s="1653"/>
      <c r="CD323" s="1653"/>
      <c r="CE323" s="1653"/>
      <c r="CF323" s="1653"/>
      <c r="CG323" s="1653"/>
      <c r="CH323" s="1653"/>
      <c r="CI323" s="1653">
        <v>6423.9806999999992</v>
      </c>
      <c r="CJ323" s="1653">
        <v>171.40395999999873</v>
      </c>
      <c r="CK323" s="1653"/>
      <c r="CL323" s="1653"/>
      <c r="CM323" s="1653"/>
      <c r="CN323" s="1653"/>
      <c r="CO323" s="1653">
        <v>-68.60161000000015</v>
      </c>
      <c r="CP323" s="1653">
        <v>240.38299999999998</v>
      </c>
      <c r="CQ323" s="1653">
        <v>31</v>
      </c>
      <c r="CR323" s="1653">
        <v>171.80958598892448</v>
      </c>
      <c r="CS323" s="1653">
        <v>0</v>
      </c>
      <c r="CT323" s="1653">
        <v>0</v>
      </c>
      <c r="CU323" s="1653">
        <v>0</v>
      </c>
      <c r="CV323" s="1653">
        <v>0</v>
      </c>
      <c r="CW323" s="1653">
        <v>0</v>
      </c>
      <c r="CX323" s="1653">
        <v>0</v>
      </c>
      <c r="CY323" s="1653">
        <v>0</v>
      </c>
      <c r="CZ323" s="1653">
        <v>0</v>
      </c>
      <c r="DA323" s="1653">
        <v>0</v>
      </c>
      <c r="DB323" s="1653">
        <v>0</v>
      </c>
      <c r="DC323" s="1653">
        <v>272.67304559430977</v>
      </c>
      <c r="DD323" s="1653">
        <v>0</v>
      </c>
      <c r="DE323" s="1653">
        <v>0</v>
      </c>
      <c r="DF323" s="1653">
        <v>0</v>
      </c>
      <c r="DG323" s="1653">
        <v>1.6668082707139042</v>
      </c>
      <c r="DH323" s="1653">
        <v>0</v>
      </c>
      <c r="DI323" s="1653">
        <v>-61.90893225641139</v>
      </c>
      <c r="DJ323" s="1653"/>
      <c r="DK323" s="1653">
        <v>0</v>
      </c>
      <c r="DL323" s="1653">
        <v>0</v>
      </c>
      <c r="DM323" s="1653">
        <v>0</v>
      </c>
      <c r="DN323" s="1653">
        <v>0</v>
      </c>
      <c r="DO323" s="1653">
        <v>-9.0519369447646909</v>
      </c>
      <c r="DP323" s="1653">
        <v>-1.0590893551690996</v>
      </c>
      <c r="DQ323" s="1653">
        <v>0</v>
      </c>
      <c r="DR323" s="1653">
        <v>-30.510309319755283</v>
      </c>
      <c r="DS323" s="1653"/>
      <c r="DT323" s="1653"/>
      <c r="DU323" s="1653"/>
      <c r="DV323" s="1653">
        <v>0</v>
      </c>
      <c r="DW323" s="1653">
        <v>0</v>
      </c>
      <c r="DX323" s="1653">
        <v>0</v>
      </c>
      <c r="DY323" s="1653">
        <v>-68.601610000000164</v>
      </c>
      <c r="DZ323" s="1653">
        <v>240.38299999999981</v>
      </c>
      <c r="EA323" s="1653">
        <v>0</v>
      </c>
      <c r="EB323" s="1653">
        <v>0</v>
      </c>
      <c r="EC323" s="1653">
        <v>0</v>
      </c>
      <c r="ED323" s="1653">
        <v>0</v>
      </c>
      <c r="EE323" s="1653">
        <v>0</v>
      </c>
      <c r="EF323" s="1653">
        <v>0</v>
      </c>
      <c r="EG323" s="1653">
        <v>0</v>
      </c>
      <c r="EH323" s="1653">
        <v>0</v>
      </c>
      <c r="EI323" s="1653">
        <v>0</v>
      </c>
      <c r="EJ323" s="1653">
        <v>0</v>
      </c>
      <c r="EK323" s="1653">
        <v>0</v>
      </c>
      <c r="EL323" s="1653">
        <v>0</v>
      </c>
      <c r="EM323" s="1653">
        <v>0</v>
      </c>
      <c r="EN323" s="1653">
        <v>0</v>
      </c>
      <c r="EO323" s="1653">
        <v>0</v>
      </c>
      <c r="EP323" s="1653">
        <v>0</v>
      </c>
      <c r="EQ323" s="1653">
        <v>0</v>
      </c>
      <c r="ER323" s="1653">
        <v>0</v>
      </c>
      <c r="ES323" s="1653">
        <v>0</v>
      </c>
      <c r="ET323" s="1653">
        <v>0</v>
      </c>
      <c r="EU323" s="1653">
        <v>0</v>
      </c>
      <c r="EV323" s="1653">
        <v>210</v>
      </c>
      <c r="EW323" s="1653">
        <v>0</v>
      </c>
      <c r="EX323" s="1653">
        <v>0</v>
      </c>
      <c r="EY323" s="1653">
        <v>0</v>
      </c>
      <c r="EZ323" s="1653"/>
      <c r="FA323" s="1653">
        <v>0</v>
      </c>
      <c r="FB323" s="1653"/>
      <c r="FC323" s="1653"/>
      <c r="FD323" s="1653"/>
      <c r="FE323" s="1653"/>
      <c r="FF323" s="1653">
        <v>0</v>
      </c>
      <c r="FG323" s="1653">
        <v>0</v>
      </c>
      <c r="FH323" s="1653">
        <v>0</v>
      </c>
      <c r="FI323" s="1653">
        <v>0</v>
      </c>
    </row>
    <row r="324" spans="1:165">
      <c r="A324" s="1653">
        <v>322</v>
      </c>
      <c r="B324" s="1653" t="s">
        <v>2260</v>
      </c>
      <c r="C324" s="1653" t="s">
        <v>2246</v>
      </c>
      <c r="D324" s="1653" t="s">
        <v>595</v>
      </c>
      <c r="E324" s="1653" t="s">
        <v>997</v>
      </c>
      <c r="F324" s="1653" t="s">
        <v>1323</v>
      </c>
      <c r="G324" s="1653" t="s">
        <v>1323</v>
      </c>
      <c r="H324" s="1653" t="s">
        <v>1323</v>
      </c>
      <c r="I324" s="1653" t="s">
        <v>1323</v>
      </c>
      <c r="J324" s="1653" t="s">
        <v>2242</v>
      </c>
      <c r="K324" s="1654">
        <v>44621</v>
      </c>
      <c r="L324" s="1653">
        <v>215</v>
      </c>
      <c r="M324" s="1653">
        <v>215</v>
      </c>
      <c r="N324" s="1653">
        <v>0</v>
      </c>
      <c r="O324" s="1653">
        <v>0</v>
      </c>
      <c r="P324" s="1653">
        <v>0</v>
      </c>
      <c r="Q324" s="1653">
        <v>0</v>
      </c>
      <c r="R324" s="1653">
        <v>33.6</v>
      </c>
      <c r="S324" s="1653"/>
      <c r="T324" s="1653"/>
      <c r="U324" s="1653">
        <v>7224</v>
      </c>
      <c r="V324" s="1653"/>
      <c r="W324" s="1653">
        <v>7224</v>
      </c>
      <c r="X324" s="1653">
        <v>6828.4000000000005</v>
      </c>
      <c r="Y324" s="1653">
        <v>0</v>
      </c>
      <c r="Z324" s="1653">
        <v>0</v>
      </c>
      <c r="AA324" s="1653">
        <v>0</v>
      </c>
      <c r="AB324" s="1653">
        <v>0</v>
      </c>
      <c r="AC324" s="1653">
        <v>0</v>
      </c>
      <c r="AD324" s="1653">
        <v>3836.7856979005833</v>
      </c>
      <c r="AE324" s="1653">
        <v>3387.3572528023742</v>
      </c>
      <c r="AF324" s="1653"/>
      <c r="AG324" s="1653"/>
      <c r="AH324" s="1653"/>
      <c r="AI324" s="1653">
        <v>0</v>
      </c>
      <c r="AJ324" s="1653">
        <v>0</v>
      </c>
      <c r="AK324" s="1653">
        <v>0</v>
      </c>
      <c r="AL324" s="1653">
        <v>0</v>
      </c>
      <c r="AM324" s="1653"/>
      <c r="AN324" s="1653">
        <v>0</v>
      </c>
      <c r="AO324" s="1653">
        <v>0</v>
      </c>
      <c r="AP324" s="1653">
        <v>0</v>
      </c>
      <c r="AQ324" s="1653">
        <v>0</v>
      </c>
      <c r="AR324" s="1653">
        <v>0</v>
      </c>
      <c r="AS324" s="1653"/>
      <c r="AT324" s="1653"/>
      <c r="AU324" s="1653">
        <v>0</v>
      </c>
      <c r="AV324" s="1653">
        <v>0</v>
      </c>
      <c r="AW324" s="1653">
        <v>0</v>
      </c>
      <c r="AX324" s="1653"/>
      <c r="AY324" s="1653"/>
      <c r="AZ324" s="1653">
        <v>0</v>
      </c>
      <c r="BA324" s="1653"/>
      <c r="BB324" s="1653">
        <v>0</v>
      </c>
      <c r="BC324" s="1653">
        <v>0</v>
      </c>
      <c r="BD324" s="1653">
        <v>0</v>
      </c>
      <c r="BE324" s="1653">
        <v>0</v>
      </c>
      <c r="BF324" s="1653"/>
      <c r="BG324" s="1653">
        <v>0</v>
      </c>
      <c r="BH324" s="1653">
        <v>0</v>
      </c>
      <c r="BI324" s="1653">
        <v>132.96</v>
      </c>
      <c r="BJ324" s="1653">
        <v>613.66999999999996</v>
      </c>
      <c r="BK324" s="1653">
        <v>3284.59</v>
      </c>
      <c r="BL324" s="1653">
        <v>2</v>
      </c>
      <c r="BM324" s="1653"/>
      <c r="BN324" s="1653"/>
      <c r="BO324" s="1653"/>
      <c r="BP324" s="1653"/>
      <c r="BQ324" s="1653"/>
      <c r="BR324" s="1653"/>
      <c r="BS324" s="1653"/>
      <c r="BT324" s="1653"/>
      <c r="BU324" s="1653"/>
      <c r="BV324" s="1653">
        <v>0</v>
      </c>
      <c r="BW324" s="1653"/>
      <c r="BX324" s="1653"/>
      <c r="BY324" s="1653"/>
      <c r="BZ324" s="1653"/>
      <c r="CA324" s="1653"/>
      <c r="CB324" s="1653"/>
      <c r="CC324" s="1653"/>
      <c r="CD324" s="1653"/>
      <c r="CE324" s="1653"/>
      <c r="CF324" s="1653"/>
      <c r="CG324" s="1653"/>
      <c r="CH324" s="1653"/>
      <c r="CI324" s="1653">
        <v>6828.4000000000005</v>
      </c>
      <c r="CJ324" s="1653">
        <v>-395.63000000000011</v>
      </c>
      <c r="CK324" s="1653"/>
      <c r="CL324" s="1653"/>
      <c r="CM324" s="1653"/>
      <c r="CN324" s="1653"/>
      <c r="CO324" s="1653">
        <v>-395.59999999999997</v>
      </c>
      <c r="CP324" s="1653">
        <v>0</v>
      </c>
      <c r="CQ324" s="1653">
        <v>31</v>
      </c>
      <c r="CR324" s="1653">
        <v>141.94559312118008</v>
      </c>
      <c r="CS324" s="1653">
        <v>0</v>
      </c>
      <c r="CT324" s="1653">
        <v>0</v>
      </c>
      <c r="CU324" s="1653">
        <v>0</v>
      </c>
      <c r="CV324" s="1653">
        <v>0</v>
      </c>
      <c r="CW324" s="1653"/>
      <c r="CX324" s="1653"/>
      <c r="CY324" s="1653"/>
      <c r="CZ324" s="1653">
        <v>131.51903641109539</v>
      </c>
      <c r="DA324" s="1653">
        <v>0</v>
      </c>
      <c r="DB324" s="1653">
        <v>0</v>
      </c>
      <c r="DC324" s="1653"/>
      <c r="DD324" s="1653"/>
      <c r="DE324" s="1653">
        <v>0</v>
      </c>
      <c r="DF324" s="1653">
        <v>0</v>
      </c>
      <c r="DG324" s="1653">
        <v>0</v>
      </c>
      <c r="DH324" s="1653">
        <v>0</v>
      </c>
      <c r="DI324" s="1653">
        <v>0</v>
      </c>
      <c r="DJ324" s="1653"/>
      <c r="DK324" s="1653">
        <v>0</v>
      </c>
      <c r="DL324" s="1653">
        <v>0</v>
      </c>
      <c r="DM324" s="1653"/>
      <c r="DN324" s="1653">
        <v>0</v>
      </c>
      <c r="DO324" s="1653">
        <v>0</v>
      </c>
      <c r="DP324" s="1653">
        <v>0</v>
      </c>
      <c r="DQ324" s="1653">
        <v>0</v>
      </c>
      <c r="DR324" s="1653">
        <v>10.426556710084611</v>
      </c>
      <c r="DS324" s="1653"/>
      <c r="DT324" s="1653"/>
      <c r="DU324" s="1653">
        <v>3387.3572528023742</v>
      </c>
      <c r="DV324" s="1653"/>
      <c r="DW324" s="1653">
        <v>0</v>
      </c>
      <c r="DX324" s="1653">
        <v>0</v>
      </c>
      <c r="DY324" s="1653">
        <v>-395.59999999999945</v>
      </c>
      <c r="DZ324" s="1653"/>
      <c r="EA324" s="1653">
        <v>0</v>
      </c>
      <c r="EB324" s="1653"/>
      <c r="EC324" s="1653">
        <v>-538.43053547688214</v>
      </c>
      <c r="ED324" s="1653"/>
      <c r="EE324" s="1653">
        <v>0</v>
      </c>
      <c r="EF324" s="1653">
        <v>0</v>
      </c>
      <c r="EG324" s="1653"/>
      <c r="EH324" s="1653">
        <v>0</v>
      </c>
      <c r="EI324" s="1653">
        <v>0</v>
      </c>
      <c r="EJ324" s="1653">
        <v>0</v>
      </c>
      <c r="EK324" s="1653">
        <v>0</v>
      </c>
      <c r="EL324" s="1653">
        <v>0</v>
      </c>
      <c r="EM324" s="1653"/>
      <c r="EN324" s="1653"/>
      <c r="EO324" s="1653">
        <v>0</v>
      </c>
      <c r="EP324" s="1653">
        <v>0</v>
      </c>
      <c r="EQ324" s="1653"/>
      <c r="ER324" s="1653">
        <v>0</v>
      </c>
      <c r="ES324" s="1653"/>
      <c r="ET324" s="1653">
        <v>0</v>
      </c>
      <c r="EU324" s="1653"/>
      <c r="EV324" s="1653">
        <v>210</v>
      </c>
      <c r="EW324" s="1653"/>
      <c r="EX324" s="1653"/>
      <c r="EY324" s="1653"/>
      <c r="EZ324" s="1653"/>
      <c r="FA324" s="1653">
        <v>0</v>
      </c>
      <c r="FB324" s="1653"/>
      <c r="FC324" s="1653"/>
      <c r="FD324" s="1653"/>
      <c r="FE324" s="1653"/>
      <c r="FF324" s="1653">
        <v>0</v>
      </c>
      <c r="FG324" s="1653">
        <v>0</v>
      </c>
      <c r="FH324" s="1653">
        <v>0</v>
      </c>
      <c r="FI324" s="1653">
        <v>0</v>
      </c>
    </row>
    <row r="325" spans="1:165">
      <c r="A325" s="1653">
        <v>323</v>
      </c>
      <c r="B325" s="1653" t="s">
        <v>2260</v>
      </c>
      <c r="C325" s="1653" t="s">
        <v>2241</v>
      </c>
      <c r="D325" s="1653" t="s">
        <v>2247</v>
      </c>
      <c r="E325" s="1653" t="s">
        <v>973</v>
      </c>
      <c r="F325" s="1653" t="s">
        <v>1323</v>
      </c>
      <c r="G325" s="1653" t="s">
        <v>1323</v>
      </c>
      <c r="H325" s="1653" t="s">
        <v>1323</v>
      </c>
      <c r="I325" s="1653" t="s">
        <v>1323</v>
      </c>
      <c r="J325" s="1653" t="s">
        <v>2242</v>
      </c>
      <c r="K325" s="1654">
        <v>44621</v>
      </c>
      <c r="L325" s="1653">
        <v>0</v>
      </c>
      <c r="M325" s="1653">
        <v>0</v>
      </c>
      <c r="N325" s="1653">
        <v>443.97500000000002</v>
      </c>
      <c r="O325" s="1653">
        <v>443.97500000000002</v>
      </c>
      <c r="P325" s="1653">
        <v>443.97500000000002</v>
      </c>
      <c r="Q325" s="1653">
        <v>443.97500000000002</v>
      </c>
      <c r="R325" s="1653"/>
      <c r="S325" s="1653">
        <v>358.62</v>
      </c>
      <c r="T325" s="1653">
        <v>273.74</v>
      </c>
      <c r="U325" s="1653"/>
      <c r="V325" s="1653">
        <v>280752.03100000002</v>
      </c>
      <c r="W325" s="1653">
        <v>280752.03100000002</v>
      </c>
      <c r="X325" s="1653">
        <v>272218.83150000003</v>
      </c>
      <c r="Y325" s="1653">
        <v>0</v>
      </c>
      <c r="Z325" s="1653">
        <v>26804.729651693502</v>
      </c>
      <c r="AA325" s="1653">
        <v>0</v>
      </c>
      <c r="AB325" s="1653">
        <v>0</v>
      </c>
      <c r="AC325" s="1653">
        <v>0</v>
      </c>
      <c r="AD325" s="1653">
        <v>38221.149645232785</v>
      </c>
      <c r="AE325" s="1653">
        <v>87942.209287578618</v>
      </c>
      <c r="AF325" s="1653">
        <v>121533.38782075542</v>
      </c>
      <c r="AG325" s="1653">
        <v>0</v>
      </c>
      <c r="AH325" s="1653">
        <v>0</v>
      </c>
      <c r="AI325" s="1653">
        <v>0</v>
      </c>
      <c r="AJ325" s="1653">
        <v>0</v>
      </c>
      <c r="AK325" s="1653">
        <v>0</v>
      </c>
      <c r="AL325" s="1653">
        <v>4145.1942718616801</v>
      </c>
      <c r="AM325" s="1653"/>
      <c r="AN325" s="1653">
        <v>472.87394151107179</v>
      </c>
      <c r="AO325" s="1653">
        <v>0</v>
      </c>
      <c r="AP325" s="1653">
        <v>0</v>
      </c>
      <c r="AQ325" s="1653">
        <v>0</v>
      </c>
      <c r="AR325" s="1653">
        <v>0</v>
      </c>
      <c r="AS325" s="1653">
        <v>0</v>
      </c>
      <c r="AT325" s="1653">
        <v>0</v>
      </c>
      <c r="AU325" s="1653">
        <v>0</v>
      </c>
      <c r="AV325" s="1653">
        <v>0</v>
      </c>
      <c r="AW325" s="1653">
        <v>0</v>
      </c>
      <c r="AX325" s="1653">
        <v>0</v>
      </c>
      <c r="AY325" s="1653">
        <v>0</v>
      </c>
      <c r="AZ325" s="1653">
        <v>0</v>
      </c>
      <c r="BA325" s="1653"/>
      <c r="BB325" s="1653">
        <v>0</v>
      </c>
      <c r="BC325" s="1653">
        <v>0</v>
      </c>
      <c r="BD325" s="1653">
        <v>0</v>
      </c>
      <c r="BE325" s="1653">
        <v>0</v>
      </c>
      <c r="BF325" s="1653">
        <v>0</v>
      </c>
      <c r="BG325" s="1653">
        <v>1633.1292890665923</v>
      </c>
      <c r="BH325" s="1653">
        <v>0</v>
      </c>
      <c r="BI325" s="1653">
        <v>858.49</v>
      </c>
      <c r="BJ325" s="1653">
        <v>3973.44</v>
      </c>
      <c r="BK325" s="1653">
        <v>17484.939999999999</v>
      </c>
      <c r="BL325" s="1653">
        <v>1018</v>
      </c>
      <c r="BM325" s="1653"/>
      <c r="BN325" s="1653"/>
      <c r="BO325" s="1653"/>
      <c r="BP325" s="1653"/>
      <c r="BQ325" s="1653"/>
      <c r="BR325" s="1653">
        <v>38110.814000000006</v>
      </c>
      <c r="BS325" s="1653"/>
      <c r="BT325" s="1653"/>
      <c r="BU325" s="1653"/>
      <c r="BV325" s="1653">
        <v>123166.51710982202</v>
      </c>
      <c r="BW325" s="1653"/>
      <c r="BX325" s="1653"/>
      <c r="BY325" s="1653"/>
      <c r="BZ325" s="1653"/>
      <c r="CA325" s="1653"/>
      <c r="CB325" s="1653"/>
      <c r="CC325" s="1653"/>
      <c r="CD325" s="1653"/>
      <c r="CE325" s="1653"/>
      <c r="CF325" s="1653"/>
      <c r="CG325" s="1653"/>
      <c r="CH325" s="1653"/>
      <c r="CI325" s="1653">
        <v>234110.65400000001</v>
      </c>
      <c r="CJ325" s="1653">
        <v>-7340.7400000000489</v>
      </c>
      <c r="CK325" s="1653"/>
      <c r="CL325" s="1653"/>
      <c r="CM325" s="1653"/>
      <c r="CN325" s="1653"/>
      <c r="CO325" s="1653">
        <v>-14304.874500000013</v>
      </c>
      <c r="CP325" s="1653">
        <v>5771.6750000000002</v>
      </c>
      <c r="CQ325" s="1653">
        <v>31</v>
      </c>
      <c r="CR325" s="1653">
        <v>5443.9682766094629</v>
      </c>
      <c r="CS325" s="1653">
        <v>0</v>
      </c>
      <c r="CT325" s="1653">
        <v>0</v>
      </c>
      <c r="CU325" s="1653">
        <v>0</v>
      </c>
      <c r="CV325" s="1653">
        <v>0</v>
      </c>
      <c r="CW325" s="1653">
        <v>0</v>
      </c>
      <c r="CX325" s="1653">
        <v>0</v>
      </c>
      <c r="CY325" s="1653">
        <v>0</v>
      </c>
      <c r="CZ325" s="1653">
        <v>1310.1614652641656</v>
      </c>
      <c r="DA325" s="1653">
        <v>0</v>
      </c>
      <c r="DB325" s="1653">
        <v>0</v>
      </c>
      <c r="DC325" s="1653">
        <v>6546.9696294269525</v>
      </c>
      <c r="DD325" s="1653">
        <v>0</v>
      </c>
      <c r="DE325" s="1653">
        <v>0</v>
      </c>
      <c r="DF325" s="1653">
        <v>0</v>
      </c>
      <c r="DG325" s="1653">
        <v>87.976218290041061</v>
      </c>
      <c r="DH325" s="1653">
        <v>0</v>
      </c>
      <c r="DI325" s="1653">
        <v>-1708.5676472953528</v>
      </c>
      <c r="DJ325" s="1653"/>
      <c r="DK325" s="1653">
        <v>0</v>
      </c>
      <c r="DL325" s="1653">
        <v>0</v>
      </c>
      <c r="DM325" s="1653">
        <v>0</v>
      </c>
      <c r="DN325" s="1653">
        <v>0</v>
      </c>
      <c r="DO325" s="1653">
        <v>-217.33998729392169</v>
      </c>
      <c r="DP325" s="1653">
        <v>-31.19994861190105</v>
      </c>
      <c r="DQ325" s="1653">
        <v>0</v>
      </c>
      <c r="DR325" s="1653">
        <v>-544.03145317055419</v>
      </c>
      <c r="DS325" s="1653"/>
      <c r="DT325" s="1653"/>
      <c r="DU325" s="1653"/>
      <c r="DV325" s="1653">
        <v>87942.209287578618</v>
      </c>
      <c r="DW325" s="1653">
        <v>0</v>
      </c>
      <c r="DX325" s="1653">
        <v>0</v>
      </c>
      <c r="DY325" s="1653">
        <v>-14304.874500000005</v>
      </c>
      <c r="DZ325" s="1653">
        <v>5771.6750000000029</v>
      </c>
      <c r="EA325" s="1653">
        <v>0</v>
      </c>
      <c r="EB325" s="1653">
        <v>0</v>
      </c>
      <c r="EC325" s="1653">
        <v>-13978.676385125378</v>
      </c>
      <c r="ED325" s="1653">
        <v>0</v>
      </c>
      <c r="EE325" s="1653">
        <v>0</v>
      </c>
      <c r="EF325" s="1653">
        <v>0</v>
      </c>
      <c r="EG325" s="1653">
        <v>0</v>
      </c>
      <c r="EH325" s="1653">
        <v>0</v>
      </c>
      <c r="EI325" s="1653">
        <v>0</v>
      </c>
      <c r="EJ325" s="1653">
        <v>0</v>
      </c>
      <c r="EK325" s="1653">
        <v>0</v>
      </c>
      <c r="EL325" s="1653">
        <v>0</v>
      </c>
      <c r="EM325" s="1653">
        <v>0</v>
      </c>
      <c r="EN325" s="1653">
        <v>0</v>
      </c>
      <c r="EO325" s="1653">
        <v>0</v>
      </c>
      <c r="EP325" s="1653">
        <v>0</v>
      </c>
      <c r="EQ325" s="1653">
        <v>0</v>
      </c>
      <c r="ER325" s="1653">
        <v>0</v>
      </c>
      <c r="ES325" s="1653">
        <v>0</v>
      </c>
      <c r="ET325" s="1653">
        <v>0</v>
      </c>
      <c r="EU325" s="1653">
        <v>0</v>
      </c>
      <c r="EV325" s="1653">
        <v>210</v>
      </c>
      <c r="EW325" s="1653">
        <v>0</v>
      </c>
      <c r="EX325" s="1653">
        <v>0</v>
      </c>
      <c r="EY325" s="1653">
        <v>0</v>
      </c>
      <c r="EZ325" s="1653"/>
      <c r="FA325" s="1653">
        <v>0</v>
      </c>
      <c r="FB325" s="1653"/>
      <c r="FC325" s="1653"/>
      <c r="FD325" s="1653"/>
      <c r="FE325" s="1653"/>
      <c r="FF325" s="1653">
        <v>0</v>
      </c>
      <c r="FG325" s="1653">
        <v>0</v>
      </c>
      <c r="FH325" s="1653">
        <v>0</v>
      </c>
      <c r="FI325" s="1653">
        <v>0</v>
      </c>
    </row>
    <row r="326" spans="1:165">
      <c r="A326" s="1653">
        <v>324</v>
      </c>
      <c r="B326" s="1653" t="s">
        <v>2260</v>
      </c>
      <c r="C326" s="1653" t="s">
        <v>2241</v>
      </c>
      <c r="D326" s="1653" t="s">
        <v>2247</v>
      </c>
      <c r="E326" s="1653" t="s">
        <v>973</v>
      </c>
      <c r="F326" s="1653" t="s">
        <v>1323</v>
      </c>
      <c r="G326" s="1653" t="s">
        <v>1323</v>
      </c>
      <c r="H326" s="1653" t="s">
        <v>1323</v>
      </c>
      <c r="I326" s="1653" t="s">
        <v>1323</v>
      </c>
      <c r="J326" s="1653" t="s">
        <v>2242</v>
      </c>
      <c r="K326" s="1654">
        <v>44621</v>
      </c>
      <c r="L326" s="1653">
        <v>0</v>
      </c>
      <c r="M326" s="1653">
        <v>0</v>
      </c>
      <c r="N326" s="1653">
        <v>3.23</v>
      </c>
      <c r="O326" s="1653">
        <v>3.23</v>
      </c>
      <c r="P326" s="1653">
        <v>3.23</v>
      </c>
      <c r="Q326" s="1653">
        <v>3.23</v>
      </c>
      <c r="R326" s="1653"/>
      <c r="S326" s="1653">
        <v>358.62</v>
      </c>
      <c r="T326" s="1653">
        <v>273.74</v>
      </c>
      <c r="U326" s="1653"/>
      <c r="V326" s="1653">
        <v>2042.5228</v>
      </c>
      <c r="W326" s="1653">
        <v>2042.5228</v>
      </c>
      <c r="X326" s="1653">
        <v>1980.4422</v>
      </c>
      <c r="Y326" s="1653">
        <v>0</v>
      </c>
      <c r="Z326" s="1653">
        <v>195.00935137106819</v>
      </c>
      <c r="AA326" s="1653">
        <v>0</v>
      </c>
      <c r="AB326" s="1653">
        <v>0</v>
      </c>
      <c r="AC326" s="1653">
        <v>0</v>
      </c>
      <c r="AD326" s="1653">
        <v>278.06591216645506</v>
      </c>
      <c r="AE326" s="1653">
        <v>639.79579030098296</v>
      </c>
      <c r="AF326" s="1653">
        <v>884.17780879788268</v>
      </c>
      <c r="AG326" s="1653">
        <v>0</v>
      </c>
      <c r="AH326" s="1653">
        <v>0</v>
      </c>
      <c r="AI326" s="1653">
        <v>0</v>
      </c>
      <c r="AJ326" s="1653">
        <v>0</v>
      </c>
      <c r="AK326" s="1653">
        <v>0</v>
      </c>
      <c r="AL326" s="1653">
        <v>30.15705275773011</v>
      </c>
      <c r="AM326" s="1653"/>
      <c r="AN326" s="1653">
        <v>3.4402451288490608</v>
      </c>
      <c r="AO326" s="1653">
        <v>0</v>
      </c>
      <c r="AP326" s="1653">
        <v>0</v>
      </c>
      <c r="AQ326" s="1653">
        <v>0</v>
      </c>
      <c r="AR326" s="1653">
        <v>0</v>
      </c>
      <c r="AS326" s="1653">
        <v>0</v>
      </c>
      <c r="AT326" s="1653">
        <v>0</v>
      </c>
      <c r="AU326" s="1653">
        <v>0</v>
      </c>
      <c r="AV326" s="1653">
        <v>0</v>
      </c>
      <c r="AW326" s="1653">
        <v>0</v>
      </c>
      <c r="AX326" s="1653">
        <v>0</v>
      </c>
      <c r="AY326" s="1653">
        <v>0</v>
      </c>
      <c r="AZ326" s="1653">
        <v>0</v>
      </c>
      <c r="BA326" s="1653"/>
      <c r="BB326" s="1653">
        <v>0</v>
      </c>
      <c r="BC326" s="1653">
        <v>0</v>
      </c>
      <c r="BD326" s="1653">
        <v>0</v>
      </c>
      <c r="BE326" s="1653">
        <v>0</v>
      </c>
      <c r="BF326" s="1653">
        <v>0</v>
      </c>
      <c r="BG326" s="1653">
        <v>11.881316749107704</v>
      </c>
      <c r="BH326" s="1653">
        <v>0</v>
      </c>
      <c r="BI326" s="1653">
        <v>7.17</v>
      </c>
      <c r="BJ326" s="1653">
        <v>33.24</v>
      </c>
      <c r="BK326" s="1653">
        <v>192.76</v>
      </c>
      <c r="BL326" s="1653">
        <v>13</v>
      </c>
      <c r="BM326" s="1653"/>
      <c r="BN326" s="1653"/>
      <c r="BO326" s="1653"/>
      <c r="BP326" s="1653"/>
      <c r="BQ326" s="1653"/>
      <c r="BR326" s="1653">
        <v>277.26319999999998</v>
      </c>
      <c r="BS326" s="1653"/>
      <c r="BT326" s="1653"/>
      <c r="BU326" s="1653"/>
      <c r="BV326" s="1653">
        <v>896.05912554699034</v>
      </c>
      <c r="BW326" s="1653"/>
      <c r="BX326" s="1653"/>
      <c r="BY326" s="1653"/>
      <c r="BZ326" s="1653"/>
      <c r="CA326" s="1653"/>
      <c r="CB326" s="1653"/>
      <c r="CC326" s="1653"/>
      <c r="CD326" s="1653"/>
      <c r="CE326" s="1653"/>
      <c r="CF326" s="1653"/>
      <c r="CG326" s="1653"/>
      <c r="CH326" s="1653"/>
      <c r="CI326" s="1653">
        <v>1703.1790000000001</v>
      </c>
      <c r="CJ326" s="1653">
        <v>-53.454199999999901</v>
      </c>
      <c r="CK326" s="1653"/>
      <c r="CL326" s="1653"/>
      <c r="CM326" s="1653"/>
      <c r="CN326" s="1653"/>
      <c r="CO326" s="1653">
        <v>-104.07060000000008</v>
      </c>
      <c r="CP326" s="1653">
        <v>41.99</v>
      </c>
      <c r="CQ326" s="1653">
        <v>31</v>
      </c>
      <c r="CR326" s="1653">
        <v>39.605873153777793</v>
      </c>
      <c r="CS326" s="1653">
        <v>0</v>
      </c>
      <c r="CT326" s="1653">
        <v>0</v>
      </c>
      <c r="CU326" s="1653">
        <v>0</v>
      </c>
      <c r="CV326" s="1653">
        <v>0</v>
      </c>
      <c r="CW326" s="1653">
        <v>0</v>
      </c>
      <c r="CX326" s="1653">
        <v>0</v>
      </c>
      <c r="CY326" s="1653">
        <v>0</v>
      </c>
      <c r="CZ326" s="1653">
        <v>9.531666271306392</v>
      </c>
      <c r="DA326" s="1653">
        <v>0</v>
      </c>
      <c r="DB326" s="1653">
        <v>0</v>
      </c>
      <c r="DC326" s="1653">
        <v>47.630411403905782</v>
      </c>
      <c r="DD326" s="1653">
        <v>0</v>
      </c>
      <c r="DE326" s="1653">
        <v>0</v>
      </c>
      <c r="DF326" s="1653">
        <v>0</v>
      </c>
      <c r="DG326" s="1653">
        <v>0.64004321206561876</v>
      </c>
      <c r="DH326" s="1653">
        <v>0</v>
      </c>
      <c r="DI326" s="1653">
        <v>-12.430144717076359</v>
      </c>
      <c r="DJ326" s="1653"/>
      <c r="DK326" s="1653">
        <v>0</v>
      </c>
      <c r="DL326" s="1653">
        <v>0</v>
      </c>
      <c r="DM326" s="1653">
        <v>0</v>
      </c>
      <c r="DN326" s="1653">
        <v>0</v>
      </c>
      <c r="DO326" s="1653">
        <v>-1.5811884879990217</v>
      </c>
      <c r="DP326" s="1653">
        <v>-0.22698537984445144</v>
      </c>
      <c r="DQ326" s="1653">
        <v>0</v>
      </c>
      <c r="DR326" s="1653">
        <v>-3.95792914858019</v>
      </c>
      <c r="DS326" s="1653"/>
      <c r="DT326" s="1653"/>
      <c r="DU326" s="1653"/>
      <c r="DV326" s="1653">
        <v>639.79579030098296</v>
      </c>
      <c r="DW326" s="1653">
        <v>0</v>
      </c>
      <c r="DX326" s="1653">
        <v>0</v>
      </c>
      <c r="DY326" s="1653">
        <v>-104.07060000000001</v>
      </c>
      <c r="DZ326" s="1653">
        <v>41.990000000000009</v>
      </c>
      <c r="EA326" s="1653">
        <v>0</v>
      </c>
      <c r="EB326" s="1653">
        <v>0</v>
      </c>
      <c r="EC326" s="1653">
        <v>-101.69744855893896</v>
      </c>
      <c r="ED326" s="1653">
        <v>0</v>
      </c>
      <c r="EE326" s="1653">
        <v>0</v>
      </c>
      <c r="EF326" s="1653">
        <v>0</v>
      </c>
      <c r="EG326" s="1653">
        <v>0</v>
      </c>
      <c r="EH326" s="1653">
        <v>0</v>
      </c>
      <c r="EI326" s="1653">
        <v>0</v>
      </c>
      <c r="EJ326" s="1653">
        <v>0</v>
      </c>
      <c r="EK326" s="1653">
        <v>0</v>
      </c>
      <c r="EL326" s="1653">
        <v>0</v>
      </c>
      <c r="EM326" s="1653">
        <v>0</v>
      </c>
      <c r="EN326" s="1653">
        <v>0</v>
      </c>
      <c r="EO326" s="1653">
        <v>0</v>
      </c>
      <c r="EP326" s="1653">
        <v>0</v>
      </c>
      <c r="EQ326" s="1653">
        <v>0</v>
      </c>
      <c r="ER326" s="1653">
        <v>0</v>
      </c>
      <c r="ES326" s="1653">
        <v>0</v>
      </c>
      <c r="ET326" s="1653">
        <v>0</v>
      </c>
      <c r="EU326" s="1653">
        <v>0</v>
      </c>
      <c r="EV326" s="1653">
        <v>210</v>
      </c>
      <c r="EW326" s="1653">
        <v>0</v>
      </c>
      <c r="EX326" s="1653">
        <v>0</v>
      </c>
      <c r="EY326" s="1653">
        <v>0</v>
      </c>
      <c r="EZ326" s="1653"/>
      <c r="FA326" s="1653">
        <v>0</v>
      </c>
      <c r="FB326" s="1653"/>
      <c r="FC326" s="1653"/>
      <c r="FD326" s="1653"/>
      <c r="FE326" s="1653"/>
      <c r="FF326" s="1653">
        <v>0</v>
      </c>
      <c r="FG326" s="1653">
        <v>0</v>
      </c>
      <c r="FH326" s="1653">
        <v>0</v>
      </c>
      <c r="FI326" s="1653">
        <v>0</v>
      </c>
    </row>
    <row r="327" spans="1:165">
      <c r="A327" s="1653">
        <v>325</v>
      </c>
      <c r="B327" s="1653" t="s">
        <v>2260</v>
      </c>
      <c r="C327" s="1653" t="s">
        <v>2248</v>
      </c>
      <c r="D327" s="1653" t="s">
        <v>2247</v>
      </c>
      <c r="E327" s="1653" t="s">
        <v>973</v>
      </c>
      <c r="F327" s="1653" t="s">
        <v>1323</v>
      </c>
      <c r="G327" s="1653" t="s">
        <v>1323</v>
      </c>
      <c r="H327" s="1653" t="s">
        <v>1323</v>
      </c>
      <c r="I327" s="1653" t="s">
        <v>1323</v>
      </c>
      <c r="J327" s="1653" t="s">
        <v>2242</v>
      </c>
      <c r="K327" s="1654">
        <v>44621</v>
      </c>
      <c r="L327" s="1653">
        <v>0</v>
      </c>
      <c r="M327" s="1653">
        <v>0</v>
      </c>
      <c r="N327" s="1653">
        <v>0</v>
      </c>
      <c r="O327" s="1653">
        <v>0</v>
      </c>
      <c r="P327" s="1653">
        <v>0</v>
      </c>
      <c r="Q327" s="1653">
        <v>0</v>
      </c>
      <c r="R327" s="1653"/>
      <c r="S327" s="1653"/>
      <c r="T327" s="1653"/>
      <c r="U327" s="1653"/>
      <c r="V327" s="1653"/>
      <c r="W327" s="1653"/>
      <c r="X327" s="1653"/>
      <c r="Y327" s="1653"/>
      <c r="Z327" s="1653"/>
      <c r="AA327" s="1653">
        <v>0</v>
      </c>
      <c r="AB327" s="1653"/>
      <c r="AC327" s="1653"/>
      <c r="AD327" s="1653"/>
      <c r="AE327" s="1653"/>
      <c r="AF327" s="1653"/>
      <c r="AG327" s="1653"/>
      <c r="AH327" s="1653"/>
      <c r="AI327" s="1653"/>
      <c r="AJ327" s="1653"/>
      <c r="AK327" s="1653"/>
      <c r="AL327" s="1653"/>
      <c r="AM327" s="1653"/>
      <c r="AN327" s="1653"/>
      <c r="AO327" s="1653"/>
      <c r="AP327" s="1653"/>
      <c r="AQ327" s="1653"/>
      <c r="AR327" s="1653"/>
      <c r="AS327" s="1653"/>
      <c r="AT327" s="1653"/>
      <c r="AU327" s="1653"/>
      <c r="AV327" s="1653"/>
      <c r="AW327" s="1653"/>
      <c r="AX327" s="1653"/>
      <c r="AY327" s="1653"/>
      <c r="AZ327" s="1653">
        <v>0</v>
      </c>
      <c r="BA327" s="1653"/>
      <c r="BB327" s="1653"/>
      <c r="BC327" s="1653"/>
      <c r="BD327" s="1653"/>
      <c r="BE327" s="1653"/>
      <c r="BF327" s="1653"/>
      <c r="BG327" s="1653"/>
      <c r="BH327" s="1653"/>
      <c r="BI327" s="1653">
        <v>0.22</v>
      </c>
      <c r="BJ327" s="1653">
        <v>1.04</v>
      </c>
      <c r="BK327" s="1653">
        <v>0</v>
      </c>
      <c r="BL327" s="1653">
        <v>1</v>
      </c>
      <c r="BM327" s="1653"/>
      <c r="BN327" s="1653"/>
      <c r="BO327" s="1653"/>
      <c r="BP327" s="1653"/>
      <c r="BQ327" s="1653"/>
      <c r="BR327" s="1653"/>
      <c r="BS327" s="1653"/>
      <c r="BT327" s="1653"/>
      <c r="BU327" s="1653"/>
      <c r="BV327" s="1653"/>
      <c r="BW327" s="1653"/>
      <c r="BX327" s="1653"/>
      <c r="BY327" s="1653"/>
      <c r="BZ327" s="1653"/>
      <c r="CA327" s="1653"/>
      <c r="CB327" s="1653"/>
      <c r="CC327" s="1653"/>
      <c r="CD327" s="1653"/>
      <c r="CE327" s="1653"/>
      <c r="CF327" s="1653"/>
      <c r="CG327" s="1653"/>
      <c r="CH327" s="1653"/>
      <c r="CI327" s="1653"/>
      <c r="CJ327" s="1653">
        <v>-0.03</v>
      </c>
      <c r="CK327" s="1653"/>
      <c r="CL327" s="1653"/>
      <c r="CM327" s="1653"/>
      <c r="CN327" s="1653"/>
      <c r="CO327" s="1653">
        <v>0</v>
      </c>
      <c r="CP327" s="1653">
        <v>0</v>
      </c>
      <c r="CQ327" s="1653">
        <v>31</v>
      </c>
      <c r="CR327" s="1653"/>
      <c r="CS327" s="1653"/>
      <c r="CT327" s="1653"/>
      <c r="CU327" s="1653"/>
      <c r="CV327" s="1653"/>
      <c r="CW327" s="1653"/>
      <c r="CX327" s="1653"/>
      <c r="CY327" s="1653"/>
      <c r="CZ327" s="1653"/>
      <c r="DA327" s="1653"/>
      <c r="DB327" s="1653"/>
      <c r="DC327" s="1653"/>
      <c r="DD327" s="1653"/>
      <c r="DE327" s="1653"/>
      <c r="DF327" s="1653"/>
      <c r="DG327" s="1653"/>
      <c r="DH327" s="1653"/>
      <c r="DI327" s="1653"/>
      <c r="DJ327" s="1653"/>
      <c r="DK327" s="1653">
        <v>0</v>
      </c>
      <c r="DL327" s="1653"/>
      <c r="DM327" s="1653"/>
      <c r="DN327" s="1653"/>
      <c r="DO327" s="1653"/>
      <c r="DP327" s="1653"/>
      <c r="DQ327" s="1653"/>
      <c r="DR327" s="1653"/>
      <c r="DS327" s="1653"/>
      <c r="DT327" s="1653"/>
      <c r="DU327" s="1653"/>
      <c r="DV327" s="1653"/>
      <c r="DW327" s="1653"/>
      <c r="DX327" s="1653"/>
      <c r="DY327" s="1653"/>
      <c r="DZ327" s="1653"/>
      <c r="EA327" s="1653"/>
      <c r="EB327" s="1653"/>
      <c r="EC327" s="1653"/>
      <c r="ED327" s="1653"/>
      <c r="EE327" s="1653"/>
      <c r="EF327" s="1653"/>
      <c r="EG327" s="1653"/>
      <c r="EH327" s="1653"/>
      <c r="EI327" s="1653"/>
      <c r="EJ327" s="1653"/>
      <c r="EK327" s="1653"/>
      <c r="EL327" s="1653"/>
      <c r="EM327" s="1653"/>
      <c r="EN327" s="1653"/>
      <c r="EO327" s="1653"/>
      <c r="EP327" s="1653"/>
      <c r="EQ327" s="1653"/>
      <c r="ER327" s="1653"/>
      <c r="ES327" s="1653"/>
      <c r="ET327" s="1653"/>
      <c r="EU327" s="1653"/>
      <c r="EV327" s="1653">
        <v>210</v>
      </c>
      <c r="EW327" s="1653"/>
      <c r="EX327" s="1653"/>
      <c r="EY327" s="1653"/>
      <c r="EZ327" s="1653"/>
      <c r="FA327" s="1653">
        <v>0</v>
      </c>
      <c r="FB327" s="1653"/>
      <c r="FC327" s="1653"/>
      <c r="FD327" s="1653"/>
      <c r="FE327" s="1653"/>
      <c r="FF327" s="1653">
        <v>0</v>
      </c>
      <c r="FG327" s="1653">
        <v>0</v>
      </c>
      <c r="FH327" s="1653">
        <v>0</v>
      </c>
      <c r="FI327" s="1653">
        <v>0</v>
      </c>
    </row>
    <row r="328" spans="1:165">
      <c r="A328" s="1653">
        <v>326</v>
      </c>
      <c r="B328" s="1653" t="s">
        <v>2260</v>
      </c>
      <c r="C328" s="1653" t="s">
        <v>2241</v>
      </c>
      <c r="D328" s="1653" t="s">
        <v>1992</v>
      </c>
      <c r="E328" s="1653" t="s">
        <v>2249</v>
      </c>
      <c r="F328" s="1653" t="s">
        <v>1323</v>
      </c>
      <c r="G328" s="1653" t="s">
        <v>1323</v>
      </c>
      <c r="H328" s="1653" t="s">
        <v>1323</v>
      </c>
      <c r="I328" s="1653" t="s">
        <v>1323</v>
      </c>
      <c r="J328" s="1653" t="s">
        <v>2242</v>
      </c>
      <c r="K328" s="1654">
        <v>44621</v>
      </c>
      <c r="L328" s="1653">
        <v>0</v>
      </c>
      <c r="M328" s="1653">
        <v>0</v>
      </c>
      <c r="N328" s="1653">
        <v>12.324999999999999</v>
      </c>
      <c r="O328" s="1653">
        <v>12.324999999999999</v>
      </c>
      <c r="P328" s="1653">
        <v>12.324999999999999</v>
      </c>
      <c r="Q328" s="1653">
        <v>12.324999999999999</v>
      </c>
      <c r="R328" s="1653"/>
      <c r="S328" s="1653">
        <v>358.62</v>
      </c>
      <c r="T328" s="1653">
        <v>273.74</v>
      </c>
      <c r="U328" s="1653"/>
      <c r="V328" s="1653">
        <v>7793.8369999999995</v>
      </c>
      <c r="W328" s="1653">
        <v>7793.8369999999995</v>
      </c>
      <c r="X328" s="1653">
        <v>7556.950499999999</v>
      </c>
      <c r="Y328" s="1653">
        <v>0</v>
      </c>
      <c r="Z328" s="1653">
        <v>744.11463023170757</v>
      </c>
      <c r="AA328" s="1653">
        <v>0</v>
      </c>
      <c r="AB328" s="1653">
        <v>0</v>
      </c>
      <c r="AC328" s="1653">
        <v>0</v>
      </c>
      <c r="AD328" s="1653">
        <v>1061.0409806351574</v>
      </c>
      <c r="AE328" s="1653">
        <v>2441.3260419379612</v>
      </c>
      <c r="AF328" s="1653">
        <v>3373.8363756761314</v>
      </c>
      <c r="AG328" s="1653">
        <v>0</v>
      </c>
      <c r="AH328" s="1653">
        <v>0</v>
      </c>
      <c r="AI328" s="1653">
        <v>0</v>
      </c>
      <c r="AJ328" s="1653">
        <v>0</v>
      </c>
      <c r="AK328" s="1653">
        <v>0</v>
      </c>
      <c r="AL328" s="1653">
        <v>115.07296447028594</v>
      </c>
      <c r="AM328" s="1653"/>
      <c r="AN328" s="1653">
        <v>13.127251149555626</v>
      </c>
      <c r="AO328" s="1653">
        <v>0</v>
      </c>
      <c r="AP328" s="1653">
        <v>0</v>
      </c>
      <c r="AQ328" s="1653">
        <v>0</v>
      </c>
      <c r="AR328" s="1653">
        <v>0</v>
      </c>
      <c r="AS328" s="1653">
        <v>0</v>
      </c>
      <c r="AT328" s="1653">
        <v>0</v>
      </c>
      <c r="AU328" s="1653">
        <v>0</v>
      </c>
      <c r="AV328" s="1653">
        <v>0</v>
      </c>
      <c r="AW328" s="1653">
        <v>0</v>
      </c>
      <c r="AX328" s="1653">
        <v>0</v>
      </c>
      <c r="AY328" s="1653">
        <v>0</v>
      </c>
      <c r="AZ328" s="1653">
        <v>0</v>
      </c>
      <c r="BA328" s="1653"/>
      <c r="BB328" s="1653">
        <v>0</v>
      </c>
      <c r="BC328" s="1653">
        <v>0</v>
      </c>
      <c r="BD328" s="1653">
        <v>0</v>
      </c>
      <c r="BE328" s="1653">
        <v>0</v>
      </c>
      <c r="BF328" s="1653">
        <v>0</v>
      </c>
      <c r="BG328" s="1653">
        <v>45.336603384753076</v>
      </c>
      <c r="BH328" s="1653">
        <v>0</v>
      </c>
      <c r="BI328" s="1653">
        <v>4.8</v>
      </c>
      <c r="BJ328" s="1653">
        <v>22.17</v>
      </c>
      <c r="BK328" s="1653">
        <v>1886.58</v>
      </c>
      <c r="BL328" s="1653">
        <v>15</v>
      </c>
      <c r="BM328" s="1653"/>
      <c r="BN328" s="1653"/>
      <c r="BO328" s="1653"/>
      <c r="BP328" s="1653"/>
      <c r="BQ328" s="1653"/>
      <c r="BR328" s="1653"/>
      <c r="BS328" s="1653"/>
      <c r="BT328" s="1653"/>
      <c r="BU328" s="1653"/>
      <c r="BV328" s="1653">
        <v>3419.1729790608847</v>
      </c>
      <c r="BW328" s="1653"/>
      <c r="BX328" s="1653"/>
      <c r="BY328" s="1653"/>
      <c r="BZ328" s="1653"/>
      <c r="CA328" s="1653"/>
      <c r="CB328" s="1653"/>
      <c r="CC328" s="1653"/>
      <c r="CD328" s="1653"/>
      <c r="CE328" s="1653"/>
      <c r="CF328" s="1653"/>
      <c r="CG328" s="1653"/>
      <c r="CH328" s="1653"/>
      <c r="CI328" s="1653">
        <v>7560.0162</v>
      </c>
      <c r="CJ328" s="1653">
        <v>-233.85080000000016</v>
      </c>
      <c r="CK328" s="1653"/>
      <c r="CL328" s="1653"/>
      <c r="CM328" s="1653"/>
      <c r="CN328" s="1653"/>
      <c r="CO328" s="1653">
        <v>-397.11150000000032</v>
      </c>
      <c r="CP328" s="1653">
        <v>160.22499999999999</v>
      </c>
      <c r="CQ328" s="1653">
        <v>31</v>
      </c>
      <c r="CR328" s="1653">
        <v>151.12767387625718</v>
      </c>
      <c r="CS328" s="1653">
        <v>0</v>
      </c>
      <c r="CT328" s="1653">
        <v>0</v>
      </c>
      <c r="CU328" s="1653">
        <v>0</v>
      </c>
      <c r="CV328" s="1653">
        <v>0</v>
      </c>
      <c r="CW328" s="1653">
        <v>0</v>
      </c>
      <c r="CX328" s="1653">
        <v>0</v>
      </c>
      <c r="CY328" s="1653">
        <v>0</v>
      </c>
      <c r="CZ328" s="1653">
        <v>36.37083182472179</v>
      </c>
      <c r="DA328" s="1653">
        <v>0</v>
      </c>
      <c r="DB328" s="1653">
        <v>0</v>
      </c>
      <c r="DC328" s="1653">
        <v>181.74762246227192</v>
      </c>
      <c r="DD328" s="1653">
        <v>0</v>
      </c>
      <c r="DE328" s="1653">
        <v>0</v>
      </c>
      <c r="DF328" s="1653">
        <v>0</v>
      </c>
      <c r="DG328" s="1653">
        <v>2.4422701513030205</v>
      </c>
      <c r="DH328" s="1653">
        <v>0</v>
      </c>
      <c r="DI328" s="1653">
        <v>-47.430815367791411</v>
      </c>
      <c r="DJ328" s="1653"/>
      <c r="DK328" s="1653">
        <v>0</v>
      </c>
      <c r="DL328" s="1653">
        <v>0</v>
      </c>
      <c r="DM328" s="1653">
        <v>0</v>
      </c>
      <c r="DN328" s="1653">
        <v>0</v>
      </c>
      <c r="DO328" s="1653">
        <v>-6.0334823884173261</v>
      </c>
      <c r="DP328" s="1653">
        <v>-0.86612842309066984</v>
      </c>
      <c r="DQ328" s="1653">
        <v>0</v>
      </c>
      <c r="DR328" s="1653">
        <v>-15.102624382740199</v>
      </c>
      <c r="DS328" s="1653"/>
      <c r="DT328" s="1653"/>
      <c r="DU328" s="1653"/>
      <c r="DV328" s="1653">
        <v>2441.3260419379612</v>
      </c>
      <c r="DW328" s="1653">
        <v>0</v>
      </c>
      <c r="DX328" s="1653">
        <v>0</v>
      </c>
      <c r="DY328" s="1653">
        <v>-397.11150000000043</v>
      </c>
      <c r="DZ328" s="1653">
        <v>160.22499999999991</v>
      </c>
      <c r="EA328" s="1653">
        <v>0</v>
      </c>
      <c r="EB328" s="1653">
        <v>0</v>
      </c>
      <c r="EC328" s="1653">
        <v>-388.05605371174079</v>
      </c>
      <c r="ED328" s="1653">
        <v>0</v>
      </c>
      <c r="EE328" s="1653">
        <v>0</v>
      </c>
      <c r="EF328" s="1653">
        <v>0</v>
      </c>
      <c r="EG328" s="1653">
        <v>0</v>
      </c>
      <c r="EH328" s="1653">
        <v>0</v>
      </c>
      <c r="EI328" s="1653">
        <v>0</v>
      </c>
      <c r="EJ328" s="1653">
        <v>0</v>
      </c>
      <c r="EK328" s="1653">
        <v>0</v>
      </c>
      <c r="EL328" s="1653">
        <v>0</v>
      </c>
      <c r="EM328" s="1653">
        <v>0</v>
      </c>
      <c r="EN328" s="1653">
        <v>0</v>
      </c>
      <c r="EO328" s="1653">
        <v>0</v>
      </c>
      <c r="EP328" s="1653">
        <v>0</v>
      </c>
      <c r="EQ328" s="1653">
        <v>0</v>
      </c>
      <c r="ER328" s="1653">
        <v>0</v>
      </c>
      <c r="ES328" s="1653">
        <v>0</v>
      </c>
      <c r="ET328" s="1653">
        <v>0</v>
      </c>
      <c r="EU328" s="1653">
        <v>0</v>
      </c>
      <c r="EV328" s="1653">
        <v>210</v>
      </c>
      <c r="EW328" s="1653">
        <v>0</v>
      </c>
      <c r="EX328" s="1653">
        <v>0</v>
      </c>
      <c r="EY328" s="1653">
        <v>0</v>
      </c>
      <c r="EZ328" s="1653"/>
      <c r="FA328" s="1653">
        <v>0</v>
      </c>
      <c r="FB328" s="1653"/>
      <c r="FC328" s="1653"/>
      <c r="FD328" s="1653"/>
      <c r="FE328" s="1653"/>
      <c r="FF328" s="1653">
        <v>0</v>
      </c>
      <c r="FG328" s="1653">
        <v>0</v>
      </c>
      <c r="FH328" s="1653">
        <v>0</v>
      </c>
      <c r="FI328" s="1653">
        <v>0</v>
      </c>
    </row>
    <row r="329" spans="1:165">
      <c r="A329" s="1653">
        <v>327</v>
      </c>
      <c r="B329" s="1653" t="s">
        <v>2260</v>
      </c>
      <c r="C329" s="1653" t="s">
        <v>2241</v>
      </c>
      <c r="D329" s="1653" t="s">
        <v>2250</v>
      </c>
      <c r="E329" s="1653" t="s">
        <v>2251</v>
      </c>
      <c r="F329" s="1653" t="s">
        <v>2252</v>
      </c>
      <c r="G329" s="1653" t="s">
        <v>1323</v>
      </c>
      <c r="H329" s="1653" t="s">
        <v>1323</v>
      </c>
      <c r="I329" s="1653" t="s">
        <v>1323</v>
      </c>
      <c r="J329" s="1653" t="s">
        <v>2242</v>
      </c>
      <c r="K329" s="1654">
        <v>44621</v>
      </c>
      <c r="L329" s="1653">
        <v>0</v>
      </c>
      <c r="M329" s="1653">
        <v>0</v>
      </c>
      <c r="N329" s="1653">
        <v>20.052</v>
      </c>
      <c r="O329" s="1653">
        <v>20.052</v>
      </c>
      <c r="P329" s="1653">
        <v>20.052</v>
      </c>
      <c r="Q329" s="1653">
        <v>20.052</v>
      </c>
      <c r="R329" s="1653"/>
      <c r="S329" s="1653">
        <v>215.17</v>
      </c>
      <c r="T329" s="1653">
        <v>164.24</v>
      </c>
      <c r="U329" s="1653"/>
      <c r="V329" s="1653">
        <v>7607.9293199999993</v>
      </c>
      <c r="W329" s="1653">
        <v>7607.9293199999993</v>
      </c>
      <c r="X329" s="1653">
        <v>7376.9302800000005</v>
      </c>
      <c r="Y329" s="1653">
        <v>0</v>
      </c>
      <c r="Z329" s="1653">
        <v>726.37662793052459</v>
      </c>
      <c r="AA329" s="1653">
        <v>0</v>
      </c>
      <c r="AB329" s="1653">
        <v>0</v>
      </c>
      <c r="AC329" s="1653">
        <v>0</v>
      </c>
      <c r="AD329" s="1653">
        <v>1035.748174135312</v>
      </c>
      <c r="AE329" s="1653">
        <v>2383.1303753155416</v>
      </c>
      <c r="AF329" s="1653">
        <v>3293.4117811792798</v>
      </c>
      <c r="AG329" s="1653">
        <v>0</v>
      </c>
      <c r="AH329" s="1653">
        <v>0</v>
      </c>
      <c r="AI329" s="1653">
        <v>0</v>
      </c>
      <c r="AJ329" s="1653">
        <v>0</v>
      </c>
      <c r="AK329" s="1653">
        <v>0</v>
      </c>
      <c r="AL329" s="1653">
        <v>112.32988642068175</v>
      </c>
      <c r="AM329" s="1653"/>
      <c r="AN329" s="1653">
        <v>12.814327304708593</v>
      </c>
      <c r="AO329" s="1653">
        <v>0</v>
      </c>
      <c r="AP329" s="1653">
        <v>0</v>
      </c>
      <c r="AQ329" s="1653">
        <v>0</v>
      </c>
      <c r="AR329" s="1653">
        <v>0</v>
      </c>
      <c r="AS329" s="1653">
        <v>0</v>
      </c>
      <c r="AT329" s="1653">
        <v>0</v>
      </c>
      <c r="AU329" s="1653">
        <v>0</v>
      </c>
      <c r="AV329" s="1653">
        <v>0</v>
      </c>
      <c r="AW329" s="1653">
        <v>0</v>
      </c>
      <c r="AX329" s="1653">
        <v>0</v>
      </c>
      <c r="AY329" s="1653">
        <v>0</v>
      </c>
      <c r="AZ329" s="1653">
        <v>0</v>
      </c>
      <c r="BA329" s="1653"/>
      <c r="BB329" s="1653">
        <v>0</v>
      </c>
      <c r="BC329" s="1653">
        <v>0</v>
      </c>
      <c r="BD329" s="1653">
        <v>0</v>
      </c>
      <c r="BE329" s="1653">
        <v>0</v>
      </c>
      <c r="BF329" s="1653">
        <v>0</v>
      </c>
      <c r="BG329" s="1653">
        <v>44.255881755995354</v>
      </c>
      <c r="BH329" s="1653">
        <v>0</v>
      </c>
      <c r="BI329" s="1653">
        <v>0</v>
      </c>
      <c r="BJ329" s="1653">
        <v>0</v>
      </c>
      <c r="BK329" s="1653">
        <v>2244.3000000000002</v>
      </c>
      <c r="BL329" s="1653">
        <v>6</v>
      </c>
      <c r="BM329" s="1653"/>
      <c r="BN329" s="1653"/>
      <c r="BO329" s="1653"/>
      <c r="BP329" s="1653"/>
      <c r="BQ329" s="1653"/>
      <c r="BR329" s="1653"/>
      <c r="BS329" s="1653"/>
      <c r="BT329" s="1653"/>
      <c r="BU329" s="1653"/>
      <c r="BV329" s="1653">
        <v>3337.6676629352751</v>
      </c>
      <c r="BW329" s="1653"/>
      <c r="BX329" s="1653"/>
      <c r="BY329" s="1653"/>
      <c r="BZ329" s="1653"/>
      <c r="CA329" s="1653"/>
      <c r="CB329" s="1653"/>
      <c r="CC329" s="1653"/>
      <c r="CD329" s="1653"/>
      <c r="CE329" s="1653"/>
      <c r="CF329" s="1653"/>
      <c r="CG329" s="1653"/>
      <c r="CH329" s="1653"/>
      <c r="CI329" s="1653">
        <v>7376.1945000000005</v>
      </c>
      <c r="CJ329" s="1653">
        <v>-231.76481999999942</v>
      </c>
      <c r="CK329" s="1653"/>
      <c r="CL329" s="1653"/>
      <c r="CM329" s="1653"/>
      <c r="CN329" s="1653"/>
      <c r="CO329" s="1653">
        <v>-387.60515999999967</v>
      </c>
      <c r="CP329" s="1653">
        <v>156.60612000000003</v>
      </c>
      <c r="CQ329" s="1653">
        <v>31</v>
      </c>
      <c r="CR329" s="1653">
        <v>147.52513346369142</v>
      </c>
      <c r="CS329" s="1653">
        <v>0</v>
      </c>
      <c r="CT329" s="1653">
        <v>0</v>
      </c>
      <c r="CU329" s="1653">
        <v>0</v>
      </c>
      <c r="CV329" s="1653">
        <v>0</v>
      </c>
      <c r="CW329" s="1653">
        <v>0</v>
      </c>
      <c r="CX329" s="1653">
        <v>0</v>
      </c>
      <c r="CY329" s="1653">
        <v>0</v>
      </c>
      <c r="CZ329" s="1653">
        <v>35.503833821466515</v>
      </c>
      <c r="DA329" s="1653">
        <v>0</v>
      </c>
      <c r="DB329" s="1653">
        <v>0</v>
      </c>
      <c r="DC329" s="1653">
        <v>177.41517203797866</v>
      </c>
      <c r="DD329" s="1653">
        <v>0</v>
      </c>
      <c r="DE329" s="1653">
        <v>0</v>
      </c>
      <c r="DF329" s="1653">
        <v>0</v>
      </c>
      <c r="DG329" s="1653">
        <v>2.3840519792581176</v>
      </c>
      <c r="DH329" s="1653">
        <v>0</v>
      </c>
      <c r="DI329" s="1653">
        <v>-46.300172482999415</v>
      </c>
      <c r="DJ329" s="1653"/>
      <c r="DK329" s="1653">
        <v>0</v>
      </c>
      <c r="DL329" s="1653">
        <v>0</v>
      </c>
      <c r="DM329" s="1653">
        <v>0</v>
      </c>
      <c r="DN329" s="1653">
        <v>0</v>
      </c>
      <c r="DO329" s="1653">
        <v>-5.8896578751743789</v>
      </c>
      <c r="DP329" s="1653">
        <v>-0.84548188915927547</v>
      </c>
      <c r="DQ329" s="1653">
        <v>0</v>
      </c>
      <c r="DR329" s="1653">
        <v>-14.742612127677354</v>
      </c>
      <c r="DS329" s="1653"/>
      <c r="DT329" s="1653"/>
      <c r="DU329" s="1653"/>
      <c r="DV329" s="1653">
        <v>2383.1303753155416</v>
      </c>
      <c r="DW329" s="1653">
        <v>0</v>
      </c>
      <c r="DX329" s="1653">
        <v>0</v>
      </c>
      <c r="DY329" s="1653">
        <v>-387.60515999999961</v>
      </c>
      <c r="DZ329" s="1653">
        <v>156.60611999999992</v>
      </c>
      <c r="EA329" s="1653">
        <v>0</v>
      </c>
      <c r="EB329" s="1653">
        <v>0</v>
      </c>
      <c r="EC329" s="1653">
        <v>-378.80567897904029</v>
      </c>
      <c r="ED329" s="1653">
        <v>0</v>
      </c>
      <c r="EE329" s="1653">
        <v>0</v>
      </c>
      <c r="EF329" s="1653">
        <v>0</v>
      </c>
      <c r="EG329" s="1653">
        <v>0</v>
      </c>
      <c r="EH329" s="1653">
        <v>0</v>
      </c>
      <c r="EI329" s="1653">
        <v>0</v>
      </c>
      <c r="EJ329" s="1653">
        <v>0</v>
      </c>
      <c r="EK329" s="1653">
        <v>0</v>
      </c>
      <c r="EL329" s="1653">
        <v>0</v>
      </c>
      <c r="EM329" s="1653">
        <v>0</v>
      </c>
      <c r="EN329" s="1653">
        <v>0</v>
      </c>
      <c r="EO329" s="1653">
        <v>0</v>
      </c>
      <c r="EP329" s="1653">
        <v>0</v>
      </c>
      <c r="EQ329" s="1653">
        <v>0</v>
      </c>
      <c r="ER329" s="1653">
        <v>0</v>
      </c>
      <c r="ES329" s="1653">
        <v>0</v>
      </c>
      <c r="ET329" s="1653">
        <v>0</v>
      </c>
      <c r="EU329" s="1653">
        <v>0</v>
      </c>
      <c r="EV329" s="1653">
        <v>210</v>
      </c>
      <c r="EW329" s="1653">
        <v>0</v>
      </c>
      <c r="EX329" s="1653">
        <v>0</v>
      </c>
      <c r="EY329" s="1653">
        <v>0</v>
      </c>
      <c r="EZ329" s="1653"/>
      <c r="FA329" s="1653">
        <v>0</v>
      </c>
      <c r="FB329" s="1653"/>
      <c r="FC329" s="1653"/>
      <c r="FD329" s="1653"/>
      <c r="FE329" s="1653"/>
      <c r="FF329" s="1653">
        <v>0</v>
      </c>
      <c r="FG329" s="1653">
        <v>0</v>
      </c>
      <c r="FH329" s="1653">
        <v>0</v>
      </c>
      <c r="FI329" s="1653">
        <v>0</v>
      </c>
    </row>
    <row r="330" spans="1:165">
      <c r="A330" s="1653">
        <v>328</v>
      </c>
      <c r="B330" s="1653" t="s">
        <v>2260</v>
      </c>
      <c r="C330" s="1653" t="s">
        <v>2241</v>
      </c>
      <c r="D330" s="1653" t="s">
        <v>1992</v>
      </c>
      <c r="E330" s="1653" t="s">
        <v>1000</v>
      </c>
      <c r="F330" s="1653" t="s">
        <v>2253</v>
      </c>
      <c r="G330" s="1653" t="s">
        <v>1323</v>
      </c>
      <c r="H330" s="1653" t="s">
        <v>1323</v>
      </c>
      <c r="I330" s="1653" t="s">
        <v>1323</v>
      </c>
      <c r="J330" s="1653" t="s">
        <v>2242</v>
      </c>
      <c r="K330" s="1654">
        <v>44621</v>
      </c>
      <c r="L330" s="1653">
        <v>0</v>
      </c>
      <c r="M330" s="1653">
        <v>0</v>
      </c>
      <c r="N330" s="1653">
        <v>2.7570000000000001</v>
      </c>
      <c r="O330" s="1653">
        <v>2.59158</v>
      </c>
      <c r="P330" s="1653">
        <v>2.7570000000000001</v>
      </c>
      <c r="Q330" s="1653">
        <v>2.59158</v>
      </c>
      <c r="R330" s="1653"/>
      <c r="S330" s="1653">
        <v>358.62</v>
      </c>
      <c r="T330" s="1653">
        <v>273.74</v>
      </c>
      <c r="U330" s="1653"/>
      <c r="V330" s="1653">
        <v>1743.4165200000002</v>
      </c>
      <c r="W330" s="1653">
        <v>1743.4165200000002</v>
      </c>
      <c r="X330" s="1653">
        <v>1690.42698</v>
      </c>
      <c r="Y330" s="1653">
        <v>0</v>
      </c>
      <c r="Z330" s="1653">
        <v>166.4522544055836</v>
      </c>
      <c r="AA330" s="1653">
        <v>0</v>
      </c>
      <c r="AB330" s="1653">
        <v>0</v>
      </c>
      <c r="AC330" s="1653">
        <v>0</v>
      </c>
      <c r="AD330" s="1653">
        <v>237.34604329502062</v>
      </c>
      <c r="AE330" s="1653">
        <v>546.10433246433752</v>
      </c>
      <c r="AF330" s="1653">
        <v>754.69913896463243</v>
      </c>
      <c r="AG330" s="1653">
        <v>0</v>
      </c>
      <c r="AH330" s="1653">
        <v>0</v>
      </c>
      <c r="AI330" s="1653">
        <v>0</v>
      </c>
      <c r="AJ330" s="1653">
        <v>0</v>
      </c>
      <c r="AK330" s="1653">
        <v>0</v>
      </c>
      <c r="AL330" s="1653">
        <v>25.740865155746725</v>
      </c>
      <c r="AM330" s="1653"/>
      <c r="AN330" s="1653">
        <v>2.9364569102900497</v>
      </c>
      <c r="AO330" s="1653">
        <v>0</v>
      </c>
      <c r="AP330" s="1653">
        <v>0</v>
      </c>
      <c r="AQ330" s="1653">
        <v>0</v>
      </c>
      <c r="AR330" s="1653">
        <v>0</v>
      </c>
      <c r="AS330" s="1653">
        <v>0</v>
      </c>
      <c r="AT330" s="1653">
        <v>0</v>
      </c>
      <c r="AU330" s="1653">
        <v>0</v>
      </c>
      <c r="AV330" s="1653">
        <v>0</v>
      </c>
      <c r="AW330" s="1653">
        <v>0</v>
      </c>
      <c r="AX330" s="1653">
        <v>0</v>
      </c>
      <c r="AY330" s="1653">
        <v>0</v>
      </c>
      <c r="AZ330" s="1653">
        <v>0</v>
      </c>
      <c r="BA330" s="1653"/>
      <c r="BB330" s="1653">
        <v>0</v>
      </c>
      <c r="BC330" s="1653">
        <v>0</v>
      </c>
      <c r="BD330" s="1653">
        <v>0</v>
      </c>
      <c r="BE330" s="1653">
        <v>0</v>
      </c>
      <c r="BF330" s="1653">
        <v>0</v>
      </c>
      <c r="BG330" s="1653">
        <v>10.141421138479858</v>
      </c>
      <c r="BH330" s="1653">
        <v>0</v>
      </c>
      <c r="BI330" s="1653">
        <v>0</v>
      </c>
      <c r="BJ330" s="1653">
        <v>0</v>
      </c>
      <c r="BK330" s="1653">
        <v>388.43</v>
      </c>
      <c r="BL330" s="1653">
        <v>3</v>
      </c>
      <c r="BM330" s="1653"/>
      <c r="BN330" s="1653"/>
      <c r="BO330" s="1653"/>
      <c r="BP330" s="1653"/>
      <c r="BQ330" s="1653">
        <v>101.42561880000008</v>
      </c>
      <c r="BR330" s="1653"/>
      <c r="BS330" s="1653"/>
      <c r="BT330" s="1653"/>
      <c r="BU330" s="1653"/>
      <c r="BV330" s="1653">
        <v>764.84056010311224</v>
      </c>
      <c r="BW330" s="1653"/>
      <c r="BX330" s="1653"/>
      <c r="BY330" s="1653"/>
      <c r="BZ330" s="1653"/>
      <c r="CA330" s="1653"/>
      <c r="CB330" s="1653"/>
      <c r="CC330" s="1653"/>
      <c r="CD330" s="1653"/>
      <c r="CE330" s="1653"/>
      <c r="CF330" s="1653"/>
      <c r="CG330" s="1653"/>
      <c r="CH330" s="1653"/>
      <c r="CI330" s="1653">
        <v>1588.0326</v>
      </c>
      <c r="CJ330" s="1653">
        <v>-50.808928799999876</v>
      </c>
      <c r="CK330" s="1653"/>
      <c r="CL330" s="1653"/>
      <c r="CM330" s="1653"/>
      <c r="CN330" s="1653"/>
      <c r="CO330" s="1653">
        <v>-88.830540000000084</v>
      </c>
      <c r="CP330" s="1653">
        <v>35.841000000000001</v>
      </c>
      <c r="CQ330" s="1653">
        <v>31</v>
      </c>
      <c r="CR330" s="1653">
        <v>33.806003803395242</v>
      </c>
      <c r="CS330" s="1653">
        <v>0</v>
      </c>
      <c r="CT330" s="1653">
        <v>0</v>
      </c>
      <c r="CU330" s="1653">
        <v>0</v>
      </c>
      <c r="CV330" s="1653">
        <v>0</v>
      </c>
      <c r="CW330" s="1653">
        <v>0</v>
      </c>
      <c r="CX330" s="1653">
        <v>0</v>
      </c>
      <c r="CY330" s="1653">
        <v>0</v>
      </c>
      <c r="CZ330" s="1653">
        <v>8.1358526037126353</v>
      </c>
      <c r="DA330" s="1653">
        <v>0</v>
      </c>
      <c r="DB330" s="1653">
        <v>0</v>
      </c>
      <c r="DC330" s="1653">
        <v>40.655431653426717</v>
      </c>
      <c r="DD330" s="1653">
        <v>0</v>
      </c>
      <c r="DE330" s="1653">
        <v>0</v>
      </c>
      <c r="DF330" s="1653">
        <v>0</v>
      </c>
      <c r="DG330" s="1653">
        <v>0.54631552187768051</v>
      </c>
      <c r="DH330" s="1653">
        <v>0</v>
      </c>
      <c r="DI330" s="1653">
        <v>-10.609878942718126</v>
      </c>
      <c r="DJ330" s="1653"/>
      <c r="DK330" s="1653">
        <v>0</v>
      </c>
      <c r="DL330" s="1653">
        <v>0</v>
      </c>
      <c r="DM330" s="1653">
        <v>0</v>
      </c>
      <c r="DN330" s="1653">
        <v>0</v>
      </c>
      <c r="DO330" s="1653">
        <v>-1.3496398332548942</v>
      </c>
      <c r="DP330" s="1653">
        <v>-0.19374572514896338</v>
      </c>
      <c r="DQ330" s="1653">
        <v>0</v>
      </c>
      <c r="DR330" s="1653">
        <v>-3.3783314745001807</v>
      </c>
      <c r="DS330" s="1653"/>
      <c r="DT330" s="1653"/>
      <c r="DU330" s="1653"/>
      <c r="DV330" s="1653">
        <v>546.10433246433752</v>
      </c>
      <c r="DW330" s="1653">
        <v>0</v>
      </c>
      <c r="DX330" s="1653">
        <v>0</v>
      </c>
      <c r="DY330" s="1653">
        <v>-88.830540000000155</v>
      </c>
      <c r="DZ330" s="1653">
        <v>35.841000000000008</v>
      </c>
      <c r="EA330" s="1653">
        <v>0</v>
      </c>
      <c r="EB330" s="1653">
        <v>0</v>
      </c>
      <c r="EC330" s="1653">
        <v>-86.804911974301831</v>
      </c>
      <c r="ED330" s="1653">
        <v>0</v>
      </c>
      <c r="EE330" s="1653">
        <v>0</v>
      </c>
      <c r="EF330" s="1653">
        <v>0</v>
      </c>
      <c r="EG330" s="1653">
        <v>0</v>
      </c>
      <c r="EH330" s="1653">
        <v>0</v>
      </c>
      <c r="EI330" s="1653">
        <v>0</v>
      </c>
      <c r="EJ330" s="1653">
        <v>0</v>
      </c>
      <c r="EK330" s="1653">
        <v>0</v>
      </c>
      <c r="EL330" s="1653">
        <v>0</v>
      </c>
      <c r="EM330" s="1653">
        <v>0</v>
      </c>
      <c r="EN330" s="1653">
        <v>0</v>
      </c>
      <c r="EO330" s="1653">
        <v>0</v>
      </c>
      <c r="EP330" s="1653">
        <v>0</v>
      </c>
      <c r="EQ330" s="1653">
        <v>0</v>
      </c>
      <c r="ER330" s="1653">
        <v>0</v>
      </c>
      <c r="ES330" s="1653">
        <v>0</v>
      </c>
      <c r="ET330" s="1653">
        <v>0</v>
      </c>
      <c r="EU330" s="1653">
        <v>0</v>
      </c>
      <c r="EV330" s="1653">
        <v>210</v>
      </c>
      <c r="EW330" s="1653">
        <v>0</v>
      </c>
      <c r="EX330" s="1653">
        <v>0</v>
      </c>
      <c r="EY330" s="1653">
        <v>0</v>
      </c>
      <c r="EZ330" s="1653"/>
      <c r="FA330" s="1653">
        <v>0</v>
      </c>
      <c r="FB330" s="1653"/>
      <c r="FC330" s="1653"/>
      <c r="FD330" s="1653"/>
      <c r="FE330" s="1653"/>
      <c r="FF330" s="1653">
        <v>0</v>
      </c>
      <c r="FG330" s="1653">
        <v>0</v>
      </c>
      <c r="FH330" s="1653">
        <v>0</v>
      </c>
      <c r="FI330" s="1653">
        <v>0</v>
      </c>
    </row>
    <row r="331" spans="1:165">
      <c r="A331" s="1653">
        <v>329</v>
      </c>
      <c r="B331" s="1653" t="s">
        <v>2260</v>
      </c>
      <c r="C331" s="1653" t="s">
        <v>2246</v>
      </c>
      <c r="D331" s="1653" t="s">
        <v>595</v>
      </c>
      <c r="E331" s="1653" t="s">
        <v>1000</v>
      </c>
      <c r="F331" s="1653" t="s">
        <v>2253</v>
      </c>
      <c r="G331" s="1653" t="s">
        <v>1323</v>
      </c>
      <c r="H331" s="1653" t="s">
        <v>1323</v>
      </c>
      <c r="I331" s="1653" t="s">
        <v>972</v>
      </c>
      <c r="J331" s="1653" t="s">
        <v>2242</v>
      </c>
      <c r="K331" s="1654">
        <v>44621</v>
      </c>
      <c r="L331" s="1653">
        <v>0</v>
      </c>
      <c r="M331" s="1653">
        <v>0</v>
      </c>
      <c r="N331" s="1653">
        <v>7.1740000000000004</v>
      </c>
      <c r="O331" s="1653">
        <v>6.7435599999999996</v>
      </c>
      <c r="P331" s="1653">
        <v>7.1740000000000004</v>
      </c>
      <c r="Q331" s="1653">
        <v>6.7435599999999996</v>
      </c>
      <c r="R331" s="1653"/>
      <c r="S331" s="1653">
        <v>1856.88</v>
      </c>
      <c r="T331" s="1653">
        <v>273.74</v>
      </c>
      <c r="U331" s="1653"/>
      <c r="V331" s="1653">
        <v>15285.067880000002</v>
      </c>
      <c r="W331" s="1653">
        <v>15285.067880000002</v>
      </c>
      <c r="X331" s="1653">
        <v>14005.58498</v>
      </c>
      <c r="Y331" s="1653">
        <v>0</v>
      </c>
      <c r="Z331" s="1653">
        <v>376.81964874933658</v>
      </c>
      <c r="AA331" s="1653">
        <v>0</v>
      </c>
      <c r="AB331" s="1653">
        <v>0</v>
      </c>
      <c r="AC331" s="1653">
        <v>0</v>
      </c>
      <c r="AD331" s="1653">
        <v>3515.9190784314324</v>
      </c>
      <c r="AE331" s="1653">
        <v>9343.2850313705549</v>
      </c>
      <c r="AF331" s="1653">
        <v>1963.8054490142449</v>
      </c>
      <c r="AG331" s="1653">
        <v>0</v>
      </c>
      <c r="AH331" s="1653">
        <v>0</v>
      </c>
      <c r="AI331" s="1653">
        <v>0</v>
      </c>
      <c r="AJ331" s="1653">
        <v>0</v>
      </c>
      <c r="AK331" s="1653">
        <v>0</v>
      </c>
      <c r="AL331" s="1653">
        <v>66.980401388221622</v>
      </c>
      <c r="AM331" s="1653"/>
      <c r="AN331" s="1653">
        <v>6.227662667540641</v>
      </c>
      <c r="AO331" s="1653">
        <v>0</v>
      </c>
      <c r="AP331" s="1653">
        <v>0</v>
      </c>
      <c r="AQ331" s="1653">
        <v>0</v>
      </c>
      <c r="AR331" s="1653">
        <v>0</v>
      </c>
      <c r="AS331" s="1653">
        <v>0</v>
      </c>
      <c r="AT331" s="1653">
        <v>0</v>
      </c>
      <c r="AU331" s="1653">
        <v>0</v>
      </c>
      <c r="AV331" s="1653">
        <v>0</v>
      </c>
      <c r="AW331" s="1653">
        <v>0</v>
      </c>
      <c r="AX331" s="1653">
        <v>0</v>
      </c>
      <c r="AY331" s="1653">
        <v>0</v>
      </c>
      <c r="AZ331" s="1653">
        <v>0</v>
      </c>
      <c r="BA331" s="1653"/>
      <c r="BB331" s="1653">
        <v>0</v>
      </c>
      <c r="BC331" s="1653">
        <v>0</v>
      </c>
      <c r="BD331" s="1653">
        <v>0</v>
      </c>
      <c r="BE331" s="1653">
        <v>0</v>
      </c>
      <c r="BF331" s="1653">
        <v>0</v>
      </c>
      <c r="BG331" s="1653">
        <v>12.004439813092757</v>
      </c>
      <c r="BH331" s="1653">
        <v>0</v>
      </c>
      <c r="BI331" s="1653">
        <v>0</v>
      </c>
      <c r="BJ331" s="1653">
        <v>0</v>
      </c>
      <c r="BK331" s="1653">
        <v>0</v>
      </c>
      <c r="BL331" s="1653">
        <v>0</v>
      </c>
      <c r="BM331" s="1653"/>
      <c r="BN331" s="1653"/>
      <c r="BO331" s="1653"/>
      <c r="BP331" s="1653"/>
      <c r="BQ331" s="1653">
        <v>840.33509880000156</v>
      </c>
      <c r="BR331" s="1653"/>
      <c r="BS331" s="1653"/>
      <c r="BT331" s="1653"/>
      <c r="BU331" s="1653"/>
      <c r="BV331" s="1653">
        <v>1975.8098888273378</v>
      </c>
      <c r="BW331" s="1653"/>
      <c r="BX331" s="1653"/>
      <c r="BY331" s="1653"/>
      <c r="BZ331" s="1653"/>
      <c r="CA331" s="1653"/>
      <c r="CB331" s="1653"/>
      <c r="CC331" s="1653"/>
      <c r="CD331" s="1653"/>
      <c r="CE331" s="1653"/>
      <c r="CF331" s="1653"/>
      <c r="CG331" s="1653"/>
      <c r="CH331" s="1653"/>
      <c r="CI331" s="1653">
        <v>13158.299800000001</v>
      </c>
      <c r="CJ331" s="1653">
        <v>-1209.6940071999998</v>
      </c>
      <c r="CK331" s="1653"/>
      <c r="CL331" s="1653"/>
      <c r="CM331" s="1653"/>
      <c r="CN331" s="1653"/>
      <c r="CO331" s="1653">
        <v>-1372.7449000000011</v>
      </c>
      <c r="CP331" s="1653">
        <v>93.262</v>
      </c>
      <c r="CQ331" s="1653">
        <v>31</v>
      </c>
      <c r="CR331" s="1653">
        <v>205.73723024873834</v>
      </c>
      <c r="CS331" s="1653">
        <v>0</v>
      </c>
      <c r="CT331" s="1653">
        <v>0</v>
      </c>
      <c r="CU331" s="1653">
        <v>0</v>
      </c>
      <c r="CV331" s="1653">
        <v>0</v>
      </c>
      <c r="CW331" s="1653">
        <v>0</v>
      </c>
      <c r="CX331" s="1653">
        <v>0</v>
      </c>
      <c r="CY331" s="1653">
        <v>0</v>
      </c>
      <c r="CZ331" s="1653">
        <v>120.52022857251632</v>
      </c>
      <c r="DA331" s="1653">
        <v>0</v>
      </c>
      <c r="DB331" s="1653">
        <v>0</v>
      </c>
      <c r="DC331" s="1653">
        <v>105.78965059183292</v>
      </c>
      <c r="DD331" s="1653">
        <v>0</v>
      </c>
      <c r="DE331" s="1653">
        <v>0</v>
      </c>
      <c r="DF331" s="1653">
        <v>0</v>
      </c>
      <c r="DG331" s="1653">
        <v>0.64667581710570232</v>
      </c>
      <c r="DH331" s="1653">
        <v>0</v>
      </c>
      <c r="DI331" s="1653">
        <v>-24.018964902249536</v>
      </c>
      <c r="DJ331" s="1653"/>
      <c r="DK331" s="1653">
        <v>0</v>
      </c>
      <c r="DL331" s="1653">
        <v>0</v>
      </c>
      <c r="DM331" s="1653">
        <v>0</v>
      </c>
      <c r="DN331" s="1653">
        <v>0</v>
      </c>
      <c r="DO331" s="1653">
        <v>-3.5119028522925717</v>
      </c>
      <c r="DP331" s="1653">
        <v>-0.41089757362950152</v>
      </c>
      <c r="DQ331" s="1653">
        <v>0</v>
      </c>
      <c r="DR331" s="1653">
        <v>6.7224405954538682</v>
      </c>
      <c r="DS331" s="1653"/>
      <c r="DT331" s="1653"/>
      <c r="DU331" s="1653"/>
      <c r="DV331" s="1653">
        <v>9343.2850313705549</v>
      </c>
      <c r="DW331" s="1653">
        <v>0</v>
      </c>
      <c r="DX331" s="1653">
        <v>0</v>
      </c>
      <c r="DY331" s="1653">
        <v>-1372.7449000000015</v>
      </c>
      <c r="DZ331" s="1653">
        <v>93.261999999999944</v>
      </c>
      <c r="EA331" s="1653">
        <v>0</v>
      </c>
      <c r="EB331" s="1653">
        <v>0</v>
      </c>
      <c r="EC331" s="1653">
        <v>-1485.1430147770488</v>
      </c>
      <c r="ED331" s="1653">
        <v>0</v>
      </c>
      <c r="EE331" s="1653">
        <v>0</v>
      </c>
      <c r="EF331" s="1653">
        <v>0</v>
      </c>
      <c r="EG331" s="1653">
        <v>0</v>
      </c>
      <c r="EH331" s="1653">
        <v>0</v>
      </c>
      <c r="EI331" s="1653">
        <v>0</v>
      </c>
      <c r="EJ331" s="1653">
        <v>0</v>
      </c>
      <c r="EK331" s="1653">
        <v>0</v>
      </c>
      <c r="EL331" s="1653">
        <v>0</v>
      </c>
      <c r="EM331" s="1653">
        <v>0</v>
      </c>
      <c r="EN331" s="1653">
        <v>0</v>
      </c>
      <c r="EO331" s="1653">
        <v>0</v>
      </c>
      <c r="EP331" s="1653">
        <v>0</v>
      </c>
      <c r="EQ331" s="1653">
        <v>0</v>
      </c>
      <c r="ER331" s="1653">
        <v>0</v>
      </c>
      <c r="ES331" s="1653">
        <v>0</v>
      </c>
      <c r="ET331" s="1653">
        <v>0</v>
      </c>
      <c r="EU331" s="1653">
        <v>0</v>
      </c>
      <c r="EV331" s="1653">
        <v>210</v>
      </c>
      <c r="EW331" s="1653">
        <v>0</v>
      </c>
      <c r="EX331" s="1653">
        <v>0</v>
      </c>
      <c r="EY331" s="1653">
        <v>0</v>
      </c>
      <c r="EZ331" s="1653"/>
      <c r="FA331" s="1653">
        <v>0</v>
      </c>
      <c r="FB331" s="1653"/>
      <c r="FC331" s="1653"/>
      <c r="FD331" s="1653"/>
      <c r="FE331" s="1653"/>
      <c r="FF331" s="1653">
        <v>0</v>
      </c>
      <c r="FG331" s="1653">
        <v>0</v>
      </c>
      <c r="FH331" s="1653">
        <v>0</v>
      </c>
      <c r="FI331" s="1653">
        <v>0</v>
      </c>
    </row>
    <row r="332" spans="1:165">
      <c r="A332" s="1653">
        <v>330</v>
      </c>
      <c r="B332" s="1653" t="s">
        <v>2260</v>
      </c>
      <c r="C332" s="1653" t="s">
        <v>2246</v>
      </c>
      <c r="D332" s="1653" t="s">
        <v>595</v>
      </c>
      <c r="E332" s="1653" t="s">
        <v>1000</v>
      </c>
      <c r="F332" s="1653" t="s">
        <v>2253</v>
      </c>
      <c r="G332" s="1653" t="s">
        <v>1323</v>
      </c>
      <c r="H332" s="1653" t="s">
        <v>1323</v>
      </c>
      <c r="I332" s="1653" t="s">
        <v>2234</v>
      </c>
      <c r="J332" s="1653" t="s">
        <v>2242</v>
      </c>
      <c r="K332" s="1654">
        <v>44621</v>
      </c>
      <c r="L332" s="1653">
        <v>0</v>
      </c>
      <c r="M332" s="1653">
        <v>0</v>
      </c>
      <c r="N332" s="1653">
        <v>65.638999999999996</v>
      </c>
      <c r="O332" s="1653">
        <v>61.700659999999992</v>
      </c>
      <c r="P332" s="1653">
        <v>65.638999999999996</v>
      </c>
      <c r="Q332" s="1653">
        <v>61.700659999999992</v>
      </c>
      <c r="R332" s="1653"/>
      <c r="S332" s="1653">
        <v>64.400000000000006</v>
      </c>
      <c r="T332" s="1653">
        <v>273.74</v>
      </c>
      <c r="U332" s="1653"/>
      <c r="V332" s="1653">
        <v>22195.171460000001</v>
      </c>
      <c r="W332" s="1653">
        <v>22195.171460000001</v>
      </c>
      <c r="X332" s="1653">
        <v>22804.957770000001</v>
      </c>
      <c r="Y332" s="1653">
        <v>0</v>
      </c>
      <c r="Z332" s="1653">
        <v>3447.736956266755</v>
      </c>
      <c r="AA332" s="1653">
        <v>0</v>
      </c>
      <c r="AB332" s="1653">
        <v>0</v>
      </c>
      <c r="AC332" s="1653">
        <v>0</v>
      </c>
      <c r="AD332" s="1653">
        <v>0</v>
      </c>
      <c r="AE332" s="1653">
        <v>0</v>
      </c>
      <c r="AF332" s="1653">
        <v>17967.971266775301</v>
      </c>
      <c r="AG332" s="1653">
        <v>0</v>
      </c>
      <c r="AH332" s="1653">
        <v>0</v>
      </c>
      <c r="AI332" s="1653">
        <v>0</v>
      </c>
      <c r="AJ332" s="1653">
        <v>0</v>
      </c>
      <c r="AK332" s="1653">
        <v>0</v>
      </c>
      <c r="AL332" s="1653">
        <v>612.84172940081942</v>
      </c>
      <c r="AM332" s="1653"/>
      <c r="AN332" s="1653">
        <v>56.980422335475339</v>
      </c>
      <c r="AO332" s="1653">
        <v>0</v>
      </c>
      <c r="AP332" s="1653">
        <v>0</v>
      </c>
      <c r="AQ332" s="1653">
        <v>0</v>
      </c>
      <c r="AR332" s="1653">
        <v>0</v>
      </c>
      <c r="AS332" s="1653">
        <v>0</v>
      </c>
      <c r="AT332" s="1653">
        <v>0</v>
      </c>
      <c r="AU332" s="1653">
        <v>0</v>
      </c>
      <c r="AV332" s="1653">
        <v>0</v>
      </c>
      <c r="AW332" s="1653">
        <v>0</v>
      </c>
      <c r="AX332" s="1653">
        <v>0</v>
      </c>
      <c r="AY332" s="1653">
        <v>0</v>
      </c>
      <c r="AZ332" s="1653">
        <v>0</v>
      </c>
      <c r="BA332" s="1653"/>
      <c r="BB332" s="1653">
        <v>0</v>
      </c>
      <c r="BC332" s="1653">
        <v>0</v>
      </c>
      <c r="BD332" s="1653">
        <v>0</v>
      </c>
      <c r="BE332" s="1653">
        <v>0</v>
      </c>
      <c r="BF332" s="1653">
        <v>0</v>
      </c>
      <c r="BG332" s="1653">
        <v>109.83543697959234</v>
      </c>
      <c r="BH332" s="1653">
        <v>0</v>
      </c>
      <c r="BI332" s="1653">
        <v>0</v>
      </c>
      <c r="BJ332" s="1653">
        <v>0</v>
      </c>
      <c r="BK332" s="1653">
        <v>0</v>
      </c>
      <c r="BL332" s="1653">
        <v>0</v>
      </c>
      <c r="BM332" s="1653"/>
      <c r="BN332" s="1653"/>
      <c r="BO332" s="1653"/>
      <c r="BP332" s="1653"/>
      <c r="BQ332" s="1653">
        <v>1368.2974662000013</v>
      </c>
      <c r="BR332" s="1653"/>
      <c r="BS332" s="1653"/>
      <c r="BT332" s="1653"/>
      <c r="BU332" s="1653"/>
      <c r="BV332" s="1653">
        <v>18077.806703754894</v>
      </c>
      <c r="BW332" s="1653"/>
      <c r="BX332" s="1653"/>
      <c r="BY332" s="1653"/>
      <c r="BZ332" s="1653"/>
      <c r="CA332" s="1653"/>
      <c r="CB332" s="1653"/>
      <c r="CC332" s="1653"/>
      <c r="CD332" s="1653"/>
      <c r="CE332" s="1653"/>
      <c r="CF332" s="1653"/>
      <c r="CG332" s="1653"/>
      <c r="CH332" s="1653"/>
      <c r="CI332" s="1653">
        <v>21436.431</v>
      </c>
      <c r="CJ332" s="1653">
        <v>572.9398276000029</v>
      </c>
      <c r="CK332" s="1653"/>
      <c r="CL332" s="1653"/>
      <c r="CM332" s="1653"/>
      <c r="CN332" s="1653"/>
      <c r="CO332" s="1653">
        <v>-243.52069000000051</v>
      </c>
      <c r="CP332" s="1653">
        <v>853.3069999999999</v>
      </c>
      <c r="CQ332" s="1653">
        <v>31</v>
      </c>
      <c r="CR332" s="1653">
        <v>609.88639958503336</v>
      </c>
      <c r="CS332" s="1653">
        <v>0</v>
      </c>
      <c r="CT332" s="1653">
        <v>0</v>
      </c>
      <c r="CU332" s="1653">
        <v>0</v>
      </c>
      <c r="CV332" s="1653">
        <v>0</v>
      </c>
      <c r="CW332" s="1653">
        <v>0</v>
      </c>
      <c r="CX332" s="1653">
        <v>0</v>
      </c>
      <c r="CY332" s="1653">
        <v>0</v>
      </c>
      <c r="CZ332" s="1653">
        <v>0</v>
      </c>
      <c r="DA332" s="1653">
        <v>0</v>
      </c>
      <c r="DB332" s="1653">
        <v>0</v>
      </c>
      <c r="DC332" s="1653">
        <v>967.92958951732726</v>
      </c>
      <c r="DD332" s="1653">
        <v>0</v>
      </c>
      <c r="DE332" s="1653">
        <v>0</v>
      </c>
      <c r="DF332" s="1653">
        <v>0</v>
      </c>
      <c r="DG332" s="1653">
        <v>5.9168042875663645</v>
      </c>
      <c r="DH332" s="1653">
        <v>0</v>
      </c>
      <c r="DI332" s="1653">
        <v>-219.76314987716114</v>
      </c>
      <c r="DJ332" s="1653"/>
      <c r="DK332" s="1653">
        <v>0</v>
      </c>
      <c r="DL332" s="1653">
        <v>0</v>
      </c>
      <c r="DM332" s="1653">
        <v>0</v>
      </c>
      <c r="DN332" s="1653">
        <v>0</v>
      </c>
      <c r="DO332" s="1653">
        <v>-32.132393549154131</v>
      </c>
      <c r="DP332" s="1653">
        <v>-3.7595352433045548</v>
      </c>
      <c r="DQ332" s="1653">
        <v>0</v>
      </c>
      <c r="DR332" s="1653">
        <v>-108.30491555023616</v>
      </c>
      <c r="DS332" s="1653"/>
      <c r="DT332" s="1653"/>
      <c r="DU332" s="1653"/>
      <c r="DV332" s="1653">
        <v>0</v>
      </c>
      <c r="DW332" s="1653">
        <v>0</v>
      </c>
      <c r="DX332" s="1653">
        <v>0</v>
      </c>
      <c r="DY332" s="1653">
        <v>-243.52069000000074</v>
      </c>
      <c r="DZ332" s="1653">
        <v>853.3070000000007</v>
      </c>
      <c r="EA332" s="1653">
        <v>0</v>
      </c>
      <c r="EB332" s="1653">
        <v>0</v>
      </c>
      <c r="EC332" s="1653">
        <v>0</v>
      </c>
      <c r="ED332" s="1653">
        <v>0</v>
      </c>
      <c r="EE332" s="1653">
        <v>0</v>
      </c>
      <c r="EF332" s="1653">
        <v>0</v>
      </c>
      <c r="EG332" s="1653">
        <v>0</v>
      </c>
      <c r="EH332" s="1653">
        <v>0</v>
      </c>
      <c r="EI332" s="1653">
        <v>0</v>
      </c>
      <c r="EJ332" s="1653">
        <v>0</v>
      </c>
      <c r="EK332" s="1653">
        <v>0</v>
      </c>
      <c r="EL332" s="1653">
        <v>0</v>
      </c>
      <c r="EM332" s="1653">
        <v>0</v>
      </c>
      <c r="EN332" s="1653">
        <v>0</v>
      </c>
      <c r="EO332" s="1653">
        <v>0</v>
      </c>
      <c r="EP332" s="1653">
        <v>0</v>
      </c>
      <c r="EQ332" s="1653">
        <v>0</v>
      </c>
      <c r="ER332" s="1653">
        <v>0</v>
      </c>
      <c r="ES332" s="1653">
        <v>0</v>
      </c>
      <c r="ET332" s="1653">
        <v>0</v>
      </c>
      <c r="EU332" s="1653">
        <v>0</v>
      </c>
      <c r="EV332" s="1653">
        <v>210</v>
      </c>
      <c r="EW332" s="1653">
        <v>0</v>
      </c>
      <c r="EX332" s="1653">
        <v>0</v>
      </c>
      <c r="EY332" s="1653">
        <v>0</v>
      </c>
      <c r="EZ332" s="1653"/>
      <c r="FA332" s="1653">
        <v>0</v>
      </c>
      <c r="FB332" s="1653"/>
      <c r="FC332" s="1653"/>
      <c r="FD332" s="1653"/>
      <c r="FE332" s="1653"/>
      <c r="FF332" s="1653">
        <v>0</v>
      </c>
      <c r="FG332" s="1653">
        <v>0</v>
      </c>
      <c r="FH332" s="1653">
        <v>0</v>
      </c>
      <c r="FI332" s="1653">
        <v>0</v>
      </c>
    </row>
    <row r="333" spans="1:165">
      <c r="A333" s="1653">
        <v>331</v>
      </c>
      <c r="B333" s="1653" t="s">
        <v>2260</v>
      </c>
      <c r="C333" s="1653" t="s">
        <v>2246</v>
      </c>
      <c r="D333" s="1653" t="s">
        <v>595</v>
      </c>
      <c r="E333" s="1653" t="s">
        <v>1000</v>
      </c>
      <c r="F333" s="1653" t="s">
        <v>2253</v>
      </c>
      <c r="G333" s="1653" t="s">
        <v>1323</v>
      </c>
      <c r="H333" s="1653" t="s">
        <v>1323</v>
      </c>
      <c r="I333" s="1653" t="s">
        <v>1323</v>
      </c>
      <c r="J333" s="1653" t="s">
        <v>2242</v>
      </c>
      <c r="K333" s="1654">
        <v>44621</v>
      </c>
      <c r="L333" s="1653">
        <v>140</v>
      </c>
      <c r="M333" s="1653">
        <v>131.6</v>
      </c>
      <c r="N333" s="1653">
        <v>0</v>
      </c>
      <c r="O333" s="1653">
        <v>0</v>
      </c>
      <c r="P333" s="1653">
        <v>0</v>
      </c>
      <c r="Q333" s="1653">
        <v>0</v>
      </c>
      <c r="R333" s="1653">
        <v>33.6</v>
      </c>
      <c r="S333" s="1653"/>
      <c r="T333" s="1653"/>
      <c r="U333" s="1653">
        <v>4704</v>
      </c>
      <c r="V333" s="1653"/>
      <c r="W333" s="1653">
        <v>4704</v>
      </c>
      <c r="X333" s="1653">
        <v>4446.4000000000005</v>
      </c>
      <c r="Y333" s="1653">
        <v>0</v>
      </c>
      <c r="Z333" s="1653">
        <v>0</v>
      </c>
      <c r="AA333" s="1653">
        <v>0</v>
      </c>
      <c r="AB333" s="1653">
        <v>0</v>
      </c>
      <c r="AC333" s="1653">
        <v>0</v>
      </c>
      <c r="AD333" s="1653">
        <v>2498.3720823538683</v>
      </c>
      <c r="AE333" s="1653">
        <v>2205.721001824802</v>
      </c>
      <c r="AF333" s="1653"/>
      <c r="AG333" s="1653"/>
      <c r="AH333" s="1653"/>
      <c r="AI333" s="1653">
        <v>0</v>
      </c>
      <c r="AJ333" s="1653">
        <v>0</v>
      </c>
      <c r="AK333" s="1653">
        <v>0</v>
      </c>
      <c r="AL333" s="1653">
        <v>0</v>
      </c>
      <c r="AM333" s="1653"/>
      <c r="AN333" s="1653">
        <v>0</v>
      </c>
      <c r="AO333" s="1653">
        <v>0</v>
      </c>
      <c r="AP333" s="1653">
        <v>0</v>
      </c>
      <c r="AQ333" s="1653">
        <v>0</v>
      </c>
      <c r="AR333" s="1653">
        <v>0</v>
      </c>
      <c r="AS333" s="1653"/>
      <c r="AT333" s="1653"/>
      <c r="AU333" s="1653">
        <v>0</v>
      </c>
      <c r="AV333" s="1653">
        <v>0</v>
      </c>
      <c r="AW333" s="1653">
        <v>0</v>
      </c>
      <c r="AX333" s="1653"/>
      <c r="AY333" s="1653"/>
      <c r="AZ333" s="1653">
        <v>0</v>
      </c>
      <c r="BA333" s="1653"/>
      <c r="BB333" s="1653">
        <v>0</v>
      </c>
      <c r="BC333" s="1653">
        <v>0</v>
      </c>
      <c r="BD333" s="1653">
        <v>0</v>
      </c>
      <c r="BE333" s="1653">
        <v>0</v>
      </c>
      <c r="BF333" s="1653"/>
      <c r="BG333" s="1653">
        <v>0</v>
      </c>
      <c r="BH333" s="1653">
        <v>0</v>
      </c>
      <c r="BI333" s="1653">
        <v>0</v>
      </c>
      <c r="BJ333" s="1653">
        <v>0</v>
      </c>
      <c r="BK333" s="1653">
        <v>9914.2900000000009</v>
      </c>
      <c r="BL333" s="1653">
        <v>1</v>
      </c>
      <c r="BM333" s="1653"/>
      <c r="BN333" s="1653"/>
      <c r="BO333" s="1653"/>
      <c r="BP333" s="1653"/>
      <c r="BQ333" s="1653">
        <v>266.78400000000022</v>
      </c>
      <c r="BR333" s="1653"/>
      <c r="BS333" s="1653"/>
      <c r="BT333" s="1653"/>
      <c r="BU333" s="1653"/>
      <c r="BV333" s="1653">
        <v>0</v>
      </c>
      <c r="BW333" s="1653"/>
      <c r="BX333" s="1653"/>
      <c r="BY333" s="1653"/>
      <c r="BZ333" s="1653"/>
      <c r="CA333" s="1653"/>
      <c r="CB333" s="1653"/>
      <c r="CC333" s="1653"/>
      <c r="CD333" s="1653"/>
      <c r="CE333" s="1653"/>
      <c r="CF333" s="1653"/>
      <c r="CG333" s="1653"/>
      <c r="CH333" s="1653"/>
      <c r="CI333" s="1653">
        <v>4179.616</v>
      </c>
      <c r="CJ333" s="1653">
        <v>-242.17400000000089</v>
      </c>
      <c r="CK333" s="1653"/>
      <c r="CL333" s="1653"/>
      <c r="CM333" s="1653"/>
      <c r="CN333" s="1653"/>
      <c r="CO333" s="1653">
        <v>-257.59999999999997</v>
      </c>
      <c r="CP333" s="1653">
        <v>0</v>
      </c>
      <c r="CQ333" s="1653">
        <v>31</v>
      </c>
      <c r="CR333" s="1653">
        <v>92.429688544023975</v>
      </c>
      <c r="CS333" s="1653">
        <v>0</v>
      </c>
      <c r="CT333" s="1653">
        <v>0</v>
      </c>
      <c r="CU333" s="1653">
        <v>0</v>
      </c>
      <c r="CV333" s="1653">
        <v>0</v>
      </c>
      <c r="CW333" s="1653"/>
      <c r="CX333" s="1653"/>
      <c r="CY333" s="1653"/>
      <c r="CZ333" s="1653">
        <v>85.640302779317608</v>
      </c>
      <c r="DA333" s="1653">
        <v>0</v>
      </c>
      <c r="DB333" s="1653">
        <v>0</v>
      </c>
      <c r="DC333" s="1653"/>
      <c r="DD333" s="1653"/>
      <c r="DE333" s="1653">
        <v>0</v>
      </c>
      <c r="DF333" s="1653">
        <v>0</v>
      </c>
      <c r="DG333" s="1653">
        <v>0</v>
      </c>
      <c r="DH333" s="1653">
        <v>0</v>
      </c>
      <c r="DI333" s="1653">
        <v>0</v>
      </c>
      <c r="DJ333" s="1653"/>
      <c r="DK333" s="1653">
        <v>0</v>
      </c>
      <c r="DL333" s="1653">
        <v>0</v>
      </c>
      <c r="DM333" s="1653"/>
      <c r="DN333" s="1653">
        <v>0</v>
      </c>
      <c r="DO333" s="1653">
        <v>0</v>
      </c>
      <c r="DP333" s="1653">
        <v>0</v>
      </c>
      <c r="DQ333" s="1653">
        <v>0</v>
      </c>
      <c r="DR333" s="1653">
        <v>6.7893857647062585</v>
      </c>
      <c r="DS333" s="1653"/>
      <c r="DT333" s="1653"/>
      <c r="DU333" s="1653">
        <v>2205.721001824802</v>
      </c>
      <c r="DV333" s="1653"/>
      <c r="DW333" s="1653">
        <v>0</v>
      </c>
      <c r="DX333" s="1653">
        <v>0</v>
      </c>
      <c r="DY333" s="1653">
        <v>-257.59999999999945</v>
      </c>
      <c r="DZ333" s="1653"/>
      <c r="EA333" s="1653">
        <v>0</v>
      </c>
      <c r="EB333" s="1653"/>
      <c r="EC333" s="1653">
        <v>-350.60593007797002</v>
      </c>
      <c r="ED333" s="1653"/>
      <c r="EE333" s="1653">
        <v>0</v>
      </c>
      <c r="EF333" s="1653">
        <v>0</v>
      </c>
      <c r="EG333" s="1653"/>
      <c r="EH333" s="1653">
        <v>0</v>
      </c>
      <c r="EI333" s="1653">
        <v>0</v>
      </c>
      <c r="EJ333" s="1653">
        <v>0</v>
      </c>
      <c r="EK333" s="1653">
        <v>0</v>
      </c>
      <c r="EL333" s="1653">
        <v>0</v>
      </c>
      <c r="EM333" s="1653"/>
      <c r="EN333" s="1653"/>
      <c r="EO333" s="1653">
        <v>0</v>
      </c>
      <c r="EP333" s="1653">
        <v>0</v>
      </c>
      <c r="EQ333" s="1653"/>
      <c r="ER333" s="1653">
        <v>0</v>
      </c>
      <c r="ES333" s="1653"/>
      <c r="ET333" s="1653">
        <v>0</v>
      </c>
      <c r="EU333" s="1653"/>
      <c r="EV333" s="1653">
        <v>210</v>
      </c>
      <c r="EW333" s="1653"/>
      <c r="EX333" s="1653"/>
      <c r="EY333" s="1653"/>
      <c r="EZ333" s="1653"/>
      <c r="FA333" s="1653">
        <v>0</v>
      </c>
      <c r="FB333" s="1653"/>
      <c r="FC333" s="1653"/>
      <c r="FD333" s="1653"/>
      <c r="FE333" s="1653"/>
      <c r="FF333" s="1653">
        <v>0</v>
      </c>
      <c r="FG333" s="1653">
        <v>0</v>
      </c>
      <c r="FH333" s="1653">
        <v>0</v>
      </c>
      <c r="FI333" s="1653">
        <v>0</v>
      </c>
    </row>
    <row r="334" spans="1:165">
      <c r="A334" s="1653">
        <v>332</v>
      </c>
      <c r="B334" s="1653" t="s">
        <v>2260</v>
      </c>
      <c r="C334" s="1653" t="s">
        <v>2241</v>
      </c>
      <c r="D334" s="1653" t="s">
        <v>2247</v>
      </c>
      <c r="E334" s="1653" t="s">
        <v>973</v>
      </c>
      <c r="F334" s="1653" t="s">
        <v>2254</v>
      </c>
      <c r="G334" s="1653" t="s">
        <v>2255</v>
      </c>
      <c r="H334" s="1653" t="s">
        <v>1323</v>
      </c>
      <c r="I334" s="1653" t="s">
        <v>1323</v>
      </c>
      <c r="J334" s="1653" t="s">
        <v>2242</v>
      </c>
      <c r="K334" s="1654">
        <v>44621</v>
      </c>
      <c r="L334" s="1653">
        <v>0</v>
      </c>
      <c r="M334" s="1653">
        <v>0</v>
      </c>
      <c r="N334" s="1653">
        <v>0</v>
      </c>
      <c r="O334" s="1653">
        <v>0</v>
      </c>
      <c r="P334" s="1653">
        <v>0</v>
      </c>
      <c r="Q334" s="1653">
        <v>0</v>
      </c>
      <c r="R334" s="1653"/>
      <c r="S334" s="1653"/>
      <c r="T334" s="1653"/>
      <c r="U334" s="1653"/>
      <c r="V334" s="1653"/>
      <c r="W334" s="1653"/>
      <c r="X334" s="1653"/>
      <c r="Y334" s="1653"/>
      <c r="Z334" s="1653"/>
      <c r="AA334" s="1653">
        <v>0</v>
      </c>
      <c r="AB334" s="1653"/>
      <c r="AC334" s="1653"/>
      <c r="AD334" s="1653"/>
      <c r="AE334" s="1653"/>
      <c r="AF334" s="1653"/>
      <c r="AG334" s="1653"/>
      <c r="AH334" s="1653"/>
      <c r="AI334" s="1653"/>
      <c r="AJ334" s="1653"/>
      <c r="AK334" s="1653"/>
      <c r="AL334" s="1653"/>
      <c r="AM334" s="1653"/>
      <c r="AN334" s="1653"/>
      <c r="AO334" s="1653"/>
      <c r="AP334" s="1653"/>
      <c r="AQ334" s="1653"/>
      <c r="AR334" s="1653"/>
      <c r="AS334" s="1653"/>
      <c r="AT334" s="1653"/>
      <c r="AU334" s="1653"/>
      <c r="AV334" s="1653"/>
      <c r="AW334" s="1653"/>
      <c r="AX334" s="1653"/>
      <c r="AY334" s="1653"/>
      <c r="AZ334" s="1653">
        <v>0</v>
      </c>
      <c r="BA334" s="1653"/>
      <c r="BB334" s="1653"/>
      <c r="BC334" s="1653"/>
      <c r="BD334" s="1653"/>
      <c r="BE334" s="1653"/>
      <c r="BF334" s="1653"/>
      <c r="BG334" s="1653"/>
      <c r="BH334" s="1653"/>
      <c r="BI334" s="1653">
        <v>29.21</v>
      </c>
      <c r="BJ334" s="1653">
        <v>135.24</v>
      </c>
      <c r="BK334" s="1653">
        <v>596.12</v>
      </c>
      <c r="BL334" s="1653">
        <v>34</v>
      </c>
      <c r="BM334" s="1653"/>
      <c r="BN334" s="1653"/>
      <c r="BO334" s="1653"/>
      <c r="BP334" s="1653"/>
      <c r="BQ334" s="1653"/>
      <c r="BR334" s="1653"/>
      <c r="BS334" s="1653"/>
      <c r="BT334" s="1653"/>
      <c r="BU334" s="1653"/>
      <c r="BV334" s="1653"/>
      <c r="BW334" s="1653"/>
      <c r="BX334" s="1653"/>
      <c r="BY334" s="1653"/>
      <c r="BZ334" s="1653"/>
      <c r="CA334" s="1653"/>
      <c r="CB334" s="1653"/>
      <c r="CC334" s="1653"/>
      <c r="CD334" s="1653"/>
      <c r="CE334" s="1653"/>
      <c r="CF334" s="1653"/>
      <c r="CG334" s="1653"/>
      <c r="CH334" s="1653"/>
      <c r="CI334" s="1653"/>
      <c r="CJ334" s="1653">
        <v>-0.03</v>
      </c>
      <c r="CK334" s="1653"/>
      <c r="CL334" s="1653"/>
      <c r="CM334" s="1653"/>
      <c r="CN334" s="1653"/>
      <c r="CO334" s="1653">
        <v>0</v>
      </c>
      <c r="CP334" s="1653">
        <v>0</v>
      </c>
      <c r="CQ334" s="1653">
        <v>31</v>
      </c>
      <c r="CR334" s="1653"/>
      <c r="CS334" s="1653"/>
      <c r="CT334" s="1653"/>
      <c r="CU334" s="1653"/>
      <c r="CV334" s="1653"/>
      <c r="CW334" s="1653"/>
      <c r="CX334" s="1653"/>
      <c r="CY334" s="1653"/>
      <c r="CZ334" s="1653"/>
      <c r="DA334" s="1653"/>
      <c r="DB334" s="1653"/>
      <c r="DC334" s="1653"/>
      <c r="DD334" s="1653"/>
      <c r="DE334" s="1653"/>
      <c r="DF334" s="1653"/>
      <c r="DG334" s="1653"/>
      <c r="DH334" s="1653"/>
      <c r="DI334" s="1653"/>
      <c r="DJ334" s="1653"/>
      <c r="DK334" s="1653">
        <v>0</v>
      </c>
      <c r="DL334" s="1653"/>
      <c r="DM334" s="1653"/>
      <c r="DN334" s="1653"/>
      <c r="DO334" s="1653"/>
      <c r="DP334" s="1653"/>
      <c r="DQ334" s="1653"/>
      <c r="DR334" s="1653"/>
      <c r="DS334" s="1653"/>
      <c r="DT334" s="1653"/>
      <c r="DU334" s="1653"/>
      <c r="DV334" s="1653"/>
      <c r="DW334" s="1653"/>
      <c r="DX334" s="1653"/>
      <c r="DY334" s="1653"/>
      <c r="DZ334" s="1653"/>
      <c r="EA334" s="1653"/>
      <c r="EB334" s="1653"/>
      <c r="EC334" s="1653"/>
      <c r="ED334" s="1653"/>
      <c r="EE334" s="1653"/>
      <c r="EF334" s="1653"/>
      <c r="EG334" s="1653"/>
      <c r="EH334" s="1653"/>
      <c r="EI334" s="1653"/>
      <c r="EJ334" s="1653"/>
      <c r="EK334" s="1653"/>
      <c r="EL334" s="1653"/>
      <c r="EM334" s="1653"/>
      <c r="EN334" s="1653"/>
      <c r="EO334" s="1653"/>
      <c r="EP334" s="1653"/>
      <c r="EQ334" s="1653"/>
      <c r="ER334" s="1653"/>
      <c r="ES334" s="1653"/>
      <c r="ET334" s="1653"/>
      <c r="EU334" s="1653"/>
      <c r="EV334" s="1653">
        <v>210</v>
      </c>
      <c r="EW334" s="1653"/>
      <c r="EX334" s="1653"/>
      <c r="EY334" s="1653"/>
      <c r="EZ334" s="1653"/>
      <c r="FA334" s="1653">
        <v>0</v>
      </c>
      <c r="FB334" s="1653"/>
      <c r="FC334" s="1653"/>
      <c r="FD334" s="1653"/>
      <c r="FE334" s="1653"/>
      <c r="FF334" s="1653">
        <v>0</v>
      </c>
      <c r="FG334" s="1653">
        <v>0</v>
      </c>
      <c r="FH334" s="1653">
        <v>0</v>
      </c>
      <c r="FI334" s="1653">
        <v>0</v>
      </c>
    </row>
    <row r="335" spans="1:165">
      <c r="A335" s="1653">
        <v>333</v>
      </c>
      <c r="B335" s="1653" t="s">
        <v>2260</v>
      </c>
      <c r="C335" s="1653" t="s">
        <v>2241</v>
      </c>
      <c r="D335" s="1653" t="s">
        <v>2247</v>
      </c>
      <c r="E335" s="1653" t="s">
        <v>973</v>
      </c>
      <c r="F335" s="1653" t="s">
        <v>2254</v>
      </c>
      <c r="G335" s="1653" t="s">
        <v>2255</v>
      </c>
      <c r="H335" s="1653" t="s">
        <v>1323</v>
      </c>
      <c r="I335" s="1653" t="s">
        <v>1323</v>
      </c>
      <c r="J335" s="1653" t="s">
        <v>2242</v>
      </c>
      <c r="K335" s="1654">
        <v>44621</v>
      </c>
      <c r="L335" s="1653">
        <v>0</v>
      </c>
      <c r="M335" s="1653">
        <v>0</v>
      </c>
      <c r="N335" s="1653">
        <v>14.849</v>
      </c>
      <c r="O335" s="1653">
        <v>14.849</v>
      </c>
      <c r="P335" s="1653">
        <v>14.849</v>
      </c>
      <c r="Q335" s="1653">
        <v>14.849</v>
      </c>
      <c r="R335" s="1653"/>
      <c r="S335" s="1653">
        <v>358.62</v>
      </c>
      <c r="T335" s="1653">
        <v>273.74</v>
      </c>
      <c r="U335" s="1653"/>
      <c r="V335" s="1653">
        <v>9389.9136400000007</v>
      </c>
      <c r="W335" s="1653">
        <v>9389.9136400000007</v>
      </c>
      <c r="X335" s="1653">
        <v>9104.5158599999995</v>
      </c>
      <c r="Y335" s="1653">
        <v>0</v>
      </c>
      <c r="Z335" s="1653">
        <v>896.49964659721104</v>
      </c>
      <c r="AA335" s="1653">
        <v>0</v>
      </c>
      <c r="AB335" s="1653">
        <v>0</v>
      </c>
      <c r="AC335" s="1653">
        <v>0</v>
      </c>
      <c r="AD335" s="1653">
        <v>1278.328399306406</v>
      </c>
      <c r="AE335" s="1653">
        <v>2941.2779226561292</v>
      </c>
      <c r="AF335" s="1653">
        <v>4064.754267133053</v>
      </c>
      <c r="AG335" s="1653">
        <v>0</v>
      </c>
      <c r="AH335" s="1653">
        <v>0</v>
      </c>
      <c r="AI335" s="1653">
        <v>0</v>
      </c>
      <c r="AJ335" s="1653">
        <v>0</v>
      </c>
      <c r="AK335" s="1653">
        <v>0</v>
      </c>
      <c r="AL335" s="1653">
        <v>138.63841374598587</v>
      </c>
      <c r="AM335" s="1653"/>
      <c r="AN335" s="1653">
        <v>15.815541770365234</v>
      </c>
      <c r="AO335" s="1653">
        <v>0</v>
      </c>
      <c r="AP335" s="1653">
        <v>0</v>
      </c>
      <c r="AQ335" s="1653">
        <v>0</v>
      </c>
      <c r="AR335" s="1653">
        <v>0</v>
      </c>
      <c r="AS335" s="1653">
        <v>0</v>
      </c>
      <c r="AT335" s="1653">
        <v>0</v>
      </c>
      <c r="AU335" s="1653">
        <v>0</v>
      </c>
      <c r="AV335" s="1653">
        <v>0</v>
      </c>
      <c r="AW335" s="1653">
        <v>0</v>
      </c>
      <c r="AX335" s="1653">
        <v>0</v>
      </c>
      <c r="AY335" s="1653">
        <v>0</v>
      </c>
      <c r="AZ335" s="1653">
        <v>0</v>
      </c>
      <c r="BA335" s="1653"/>
      <c r="BB335" s="1653">
        <v>0</v>
      </c>
      <c r="BC335" s="1653">
        <v>0</v>
      </c>
      <c r="BD335" s="1653">
        <v>0</v>
      </c>
      <c r="BE335" s="1653">
        <v>0</v>
      </c>
      <c r="BF335" s="1653">
        <v>0</v>
      </c>
      <c r="BG335" s="1653">
        <v>54.620951209752413</v>
      </c>
      <c r="BH335" s="1653">
        <v>0</v>
      </c>
      <c r="BI335" s="1653">
        <v>0</v>
      </c>
      <c r="BJ335" s="1653">
        <v>0</v>
      </c>
      <c r="BK335" s="1653">
        <v>0</v>
      </c>
      <c r="BL335" s="1653">
        <v>0</v>
      </c>
      <c r="BM335" s="1653"/>
      <c r="BN335" s="1653"/>
      <c r="BO335" s="1653"/>
      <c r="BP335" s="1653"/>
      <c r="BQ335" s="1653"/>
      <c r="BR335" s="1653">
        <v>1274.63816</v>
      </c>
      <c r="BS335" s="1653"/>
      <c r="BT335" s="1653"/>
      <c r="BU335" s="1653"/>
      <c r="BV335" s="1653">
        <v>4119.3752183428051</v>
      </c>
      <c r="BW335" s="1653"/>
      <c r="BX335" s="1653"/>
      <c r="BY335" s="1653"/>
      <c r="BZ335" s="1653"/>
      <c r="CA335" s="1653"/>
      <c r="CB335" s="1653"/>
      <c r="CC335" s="1653"/>
      <c r="CD335" s="1653"/>
      <c r="CE335" s="1653"/>
      <c r="CF335" s="1653"/>
      <c r="CG335" s="1653"/>
      <c r="CH335" s="1653"/>
      <c r="CI335" s="1653">
        <v>7830.4049999999988</v>
      </c>
      <c r="CJ335" s="1653">
        <v>-245.10516000000098</v>
      </c>
      <c r="CK335" s="1653"/>
      <c r="CL335" s="1653"/>
      <c r="CM335" s="1653"/>
      <c r="CN335" s="1653"/>
      <c r="CO335" s="1653">
        <v>-478.43478000000039</v>
      </c>
      <c r="CP335" s="1653">
        <v>193.03700000000001</v>
      </c>
      <c r="CQ335" s="1653">
        <v>31</v>
      </c>
      <c r="CR335" s="1653">
        <v>182.07665958527741</v>
      </c>
      <c r="CS335" s="1653">
        <v>0</v>
      </c>
      <c r="CT335" s="1653">
        <v>0</v>
      </c>
      <c r="CU335" s="1653">
        <v>0</v>
      </c>
      <c r="CV335" s="1653">
        <v>0</v>
      </c>
      <c r="CW335" s="1653">
        <v>0</v>
      </c>
      <c r="CX335" s="1653">
        <v>0</v>
      </c>
      <c r="CY335" s="1653">
        <v>0</v>
      </c>
      <c r="CZ335" s="1653">
        <v>43.819106025581732</v>
      </c>
      <c r="DA335" s="1653">
        <v>0</v>
      </c>
      <c r="DB335" s="1653">
        <v>0</v>
      </c>
      <c r="DC335" s="1653">
        <v>218.96717614136105</v>
      </c>
      <c r="DD335" s="1653">
        <v>0</v>
      </c>
      <c r="DE335" s="1653">
        <v>0</v>
      </c>
      <c r="DF335" s="1653">
        <v>0</v>
      </c>
      <c r="DG335" s="1653">
        <v>2.9424153733629623</v>
      </c>
      <c r="DH335" s="1653">
        <v>0</v>
      </c>
      <c r="DI335" s="1653">
        <v>-57.1440306203923</v>
      </c>
      <c r="DJ335" s="1653"/>
      <c r="DK335" s="1653">
        <v>0</v>
      </c>
      <c r="DL335" s="1653">
        <v>0</v>
      </c>
      <c r="DM335" s="1653">
        <v>0</v>
      </c>
      <c r="DN335" s="1653">
        <v>0</v>
      </c>
      <c r="DO335" s="1653">
        <v>-7.2690612564388459</v>
      </c>
      <c r="DP335" s="1653">
        <v>-1.0435002802818154</v>
      </c>
      <c r="DQ335" s="1653">
        <v>0</v>
      </c>
      <c r="DR335" s="1653">
        <v>-18.195445797915553</v>
      </c>
      <c r="DS335" s="1653"/>
      <c r="DT335" s="1653"/>
      <c r="DU335" s="1653"/>
      <c r="DV335" s="1653">
        <v>2941.2779226561292</v>
      </c>
      <c r="DW335" s="1653">
        <v>0</v>
      </c>
      <c r="DX335" s="1653">
        <v>0</v>
      </c>
      <c r="DY335" s="1653">
        <v>-478.4347800000005</v>
      </c>
      <c r="DZ335" s="1653">
        <v>193.03700000000026</v>
      </c>
      <c r="EA335" s="1653">
        <v>0</v>
      </c>
      <c r="EB335" s="1653">
        <v>0</v>
      </c>
      <c r="EC335" s="1653">
        <v>-467.52489586739512</v>
      </c>
      <c r="ED335" s="1653">
        <v>0</v>
      </c>
      <c r="EE335" s="1653">
        <v>0</v>
      </c>
      <c r="EF335" s="1653">
        <v>0</v>
      </c>
      <c r="EG335" s="1653">
        <v>0</v>
      </c>
      <c r="EH335" s="1653">
        <v>0</v>
      </c>
      <c r="EI335" s="1653">
        <v>0</v>
      </c>
      <c r="EJ335" s="1653">
        <v>0</v>
      </c>
      <c r="EK335" s="1653">
        <v>0</v>
      </c>
      <c r="EL335" s="1653">
        <v>0</v>
      </c>
      <c r="EM335" s="1653">
        <v>0</v>
      </c>
      <c r="EN335" s="1653">
        <v>0</v>
      </c>
      <c r="EO335" s="1653">
        <v>0</v>
      </c>
      <c r="EP335" s="1653">
        <v>0</v>
      </c>
      <c r="EQ335" s="1653">
        <v>0</v>
      </c>
      <c r="ER335" s="1653">
        <v>0</v>
      </c>
      <c r="ES335" s="1653">
        <v>0</v>
      </c>
      <c r="ET335" s="1653">
        <v>0</v>
      </c>
      <c r="EU335" s="1653">
        <v>0</v>
      </c>
      <c r="EV335" s="1653">
        <v>210</v>
      </c>
      <c r="EW335" s="1653">
        <v>0</v>
      </c>
      <c r="EX335" s="1653">
        <v>0</v>
      </c>
      <c r="EY335" s="1653">
        <v>0</v>
      </c>
      <c r="EZ335" s="1653"/>
      <c r="FA335" s="1653">
        <v>0</v>
      </c>
      <c r="FB335" s="1653"/>
      <c r="FC335" s="1653"/>
      <c r="FD335" s="1653"/>
      <c r="FE335" s="1653"/>
      <c r="FF335" s="1653">
        <v>0</v>
      </c>
      <c r="FG335" s="1653">
        <v>0</v>
      </c>
      <c r="FH335" s="1653">
        <v>0</v>
      </c>
      <c r="FI335" s="1653">
        <v>0</v>
      </c>
    </row>
    <row r="336" spans="1:165">
      <c r="A336" s="1653">
        <v>334</v>
      </c>
      <c r="B336" s="1653" t="s">
        <v>2260</v>
      </c>
      <c r="C336" s="1653" t="s">
        <v>2241</v>
      </c>
      <c r="D336" s="1653" t="s">
        <v>2247</v>
      </c>
      <c r="E336" s="1653" t="s">
        <v>973</v>
      </c>
      <c r="F336" s="1653" t="s">
        <v>2254</v>
      </c>
      <c r="G336" s="1653" t="s">
        <v>2256</v>
      </c>
      <c r="H336" s="1653" t="s">
        <v>1323</v>
      </c>
      <c r="I336" s="1653" t="s">
        <v>1323</v>
      </c>
      <c r="J336" s="1653" t="s">
        <v>2242</v>
      </c>
      <c r="K336" s="1654">
        <v>44621</v>
      </c>
      <c r="L336" s="1653">
        <v>0</v>
      </c>
      <c r="M336" s="1653">
        <v>0</v>
      </c>
      <c r="N336" s="1653">
        <v>4.907</v>
      </c>
      <c r="O336" s="1653">
        <v>1.9628000000000001</v>
      </c>
      <c r="P336" s="1653">
        <v>4.907</v>
      </c>
      <c r="Q336" s="1653">
        <v>1.9628000000000001</v>
      </c>
      <c r="R336" s="1653"/>
      <c r="S336" s="1653">
        <v>358.62</v>
      </c>
      <c r="T336" s="1653">
        <v>273.74</v>
      </c>
      <c r="U336" s="1653"/>
      <c r="V336" s="1653">
        <v>3102.9905200000003</v>
      </c>
      <c r="W336" s="1653">
        <v>3102.9905200000003</v>
      </c>
      <c r="X336" s="1653">
        <v>3008.6779799999999</v>
      </c>
      <c r="Y336" s="1653">
        <v>0</v>
      </c>
      <c r="Z336" s="1653">
        <v>296.25724061233177</v>
      </c>
      <c r="AA336" s="1653">
        <v>0</v>
      </c>
      <c r="AB336" s="1653">
        <v>0</v>
      </c>
      <c r="AC336" s="1653">
        <v>0</v>
      </c>
      <c r="AD336" s="1653">
        <v>422.43635634699535</v>
      </c>
      <c r="AE336" s="1653">
        <v>971.97459535818075</v>
      </c>
      <c r="AF336" s="1653">
        <v>1343.2385472975884</v>
      </c>
      <c r="AG336" s="1653">
        <v>0</v>
      </c>
      <c r="AH336" s="1653">
        <v>0</v>
      </c>
      <c r="AI336" s="1653">
        <v>0</v>
      </c>
      <c r="AJ336" s="1653">
        <v>0</v>
      </c>
      <c r="AK336" s="1653">
        <v>0</v>
      </c>
      <c r="AL336" s="1653">
        <v>45.81444516476212</v>
      </c>
      <c r="AM336" s="1653"/>
      <c r="AN336" s="1653">
        <v>5.2264033582855545</v>
      </c>
      <c r="AO336" s="1653">
        <v>0</v>
      </c>
      <c r="AP336" s="1653">
        <v>0</v>
      </c>
      <c r="AQ336" s="1653">
        <v>0</v>
      </c>
      <c r="AR336" s="1653">
        <v>0</v>
      </c>
      <c r="AS336" s="1653">
        <v>0</v>
      </c>
      <c r="AT336" s="1653">
        <v>0</v>
      </c>
      <c r="AU336" s="1653">
        <v>0</v>
      </c>
      <c r="AV336" s="1653">
        <v>0</v>
      </c>
      <c r="AW336" s="1653">
        <v>0</v>
      </c>
      <c r="AX336" s="1653">
        <v>0</v>
      </c>
      <c r="AY336" s="1653">
        <v>0</v>
      </c>
      <c r="AZ336" s="1653">
        <v>0</v>
      </c>
      <c r="BA336" s="1653"/>
      <c r="BB336" s="1653">
        <v>0</v>
      </c>
      <c r="BC336" s="1653">
        <v>0</v>
      </c>
      <c r="BD336" s="1653">
        <v>0</v>
      </c>
      <c r="BE336" s="1653">
        <v>0</v>
      </c>
      <c r="BF336" s="1653">
        <v>0</v>
      </c>
      <c r="BG336" s="1653">
        <v>18.050037550424612</v>
      </c>
      <c r="BH336" s="1653">
        <v>0</v>
      </c>
      <c r="BI336" s="1653">
        <v>0</v>
      </c>
      <c r="BJ336" s="1653">
        <v>0</v>
      </c>
      <c r="BK336" s="1653">
        <v>0</v>
      </c>
      <c r="BL336" s="1653">
        <v>0</v>
      </c>
      <c r="BM336" s="1653"/>
      <c r="BN336" s="1653"/>
      <c r="BO336" s="1653"/>
      <c r="BP336" s="1653"/>
      <c r="BQ336" s="1653"/>
      <c r="BR336" s="1653"/>
      <c r="BS336" s="1653">
        <v>1973.69354</v>
      </c>
      <c r="BT336" s="1653"/>
      <c r="BU336" s="1653"/>
      <c r="BV336" s="1653">
        <v>1361.288584848013</v>
      </c>
      <c r="BW336" s="1653"/>
      <c r="BX336" s="1653"/>
      <c r="BY336" s="1653"/>
      <c r="BZ336" s="1653"/>
      <c r="CA336" s="1653"/>
      <c r="CB336" s="1653"/>
      <c r="CC336" s="1653"/>
      <c r="CD336" s="1653"/>
      <c r="CE336" s="1653"/>
      <c r="CF336" s="1653"/>
      <c r="CG336" s="1653"/>
      <c r="CH336" s="1653"/>
      <c r="CI336" s="1653">
        <v>1033.5079999999998</v>
      </c>
      <c r="CJ336" s="1653">
        <v>-33.971152000000302</v>
      </c>
      <c r="CK336" s="1653"/>
      <c r="CL336" s="1653"/>
      <c r="CM336" s="1653"/>
      <c r="CN336" s="1653"/>
      <c r="CO336" s="1653">
        <v>-158.10354000000012</v>
      </c>
      <c r="CP336" s="1653">
        <v>63.790999999999997</v>
      </c>
      <c r="CQ336" s="1653">
        <v>31</v>
      </c>
      <c r="CR336" s="1653">
        <v>60.169046305135453</v>
      </c>
      <c r="CS336" s="1653">
        <v>0</v>
      </c>
      <c r="CT336" s="1653">
        <v>0</v>
      </c>
      <c r="CU336" s="1653">
        <v>0</v>
      </c>
      <c r="CV336" s="1653">
        <v>0</v>
      </c>
      <c r="CW336" s="1653">
        <v>0</v>
      </c>
      <c r="CX336" s="1653">
        <v>0</v>
      </c>
      <c r="CY336" s="1653">
        <v>0</v>
      </c>
      <c r="CZ336" s="1653">
        <v>14.480460183684386</v>
      </c>
      <c r="DA336" s="1653">
        <v>0</v>
      </c>
      <c r="DB336" s="1653">
        <v>0</v>
      </c>
      <c r="DC336" s="1653">
        <v>72.359885064695163</v>
      </c>
      <c r="DD336" s="1653">
        <v>0</v>
      </c>
      <c r="DE336" s="1653">
        <v>0</v>
      </c>
      <c r="DF336" s="1653">
        <v>0</v>
      </c>
      <c r="DG336" s="1653">
        <v>0.97235047727739854</v>
      </c>
      <c r="DH336" s="1653">
        <v>0</v>
      </c>
      <c r="DI336" s="1653">
        <v>-18.883814280710112</v>
      </c>
      <c r="DJ336" s="1653"/>
      <c r="DK336" s="1653">
        <v>0</v>
      </c>
      <c r="DL336" s="1653">
        <v>0</v>
      </c>
      <c r="DM336" s="1653">
        <v>0</v>
      </c>
      <c r="DN336" s="1653">
        <v>0</v>
      </c>
      <c r="DO336" s="1653">
        <v>-2.402133718455481</v>
      </c>
      <c r="DP336" s="1653">
        <v>-0.34483506467390779</v>
      </c>
      <c r="DQ336" s="1653">
        <v>0</v>
      </c>
      <c r="DR336" s="1653">
        <v>-6.0128663566820411</v>
      </c>
      <c r="DS336" s="1653"/>
      <c r="DT336" s="1653"/>
      <c r="DU336" s="1653"/>
      <c r="DV336" s="1653">
        <v>971.97459535818075</v>
      </c>
      <c r="DW336" s="1653">
        <v>0</v>
      </c>
      <c r="DX336" s="1653">
        <v>0</v>
      </c>
      <c r="DY336" s="1653">
        <v>-158.10354000000029</v>
      </c>
      <c r="DZ336" s="1653">
        <v>63.791000000000167</v>
      </c>
      <c r="EA336" s="1653">
        <v>0</v>
      </c>
      <c r="EB336" s="1653">
        <v>0</v>
      </c>
      <c r="EC336" s="1653">
        <v>-154.49826008628918</v>
      </c>
      <c r="ED336" s="1653">
        <v>0</v>
      </c>
      <c r="EE336" s="1653">
        <v>0</v>
      </c>
      <c r="EF336" s="1653">
        <v>0</v>
      </c>
      <c r="EG336" s="1653">
        <v>0</v>
      </c>
      <c r="EH336" s="1653">
        <v>0</v>
      </c>
      <c r="EI336" s="1653">
        <v>0</v>
      </c>
      <c r="EJ336" s="1653">
        <v>0</v>
      </c>
      <c r="EK336" s="1653">
        <v>0</v>
      </c>
      <c r="EL336" s="1653">
        <v>0</v>
      </c>
      <c r="EM336" s="1653">
        <v>0</v>
      </c>
      <c r="EN336" s="1653">
        <v>0</v>
      </c>
      <c r="EO336" s="1653">
        <v>0</v>
      </c>
      <c r="EP336" s="1653">
        <v>0</v>
      </c>
      <c r="EQ336" s="1653">
        <v>0</v>
      </c>
      <c r="ER336" s="1653">
        <v>0</v>
      </c>
      <c r="ES336" s="1653">
        <v>0</v>
      </c>
      <c r="ET336" s="1653">
        <v>0</v>
      </c>
      <c r="EU336" s="1653">
        <v>0</v>
      </c>
      <c r="EV336" s="1653">
        <v>210</v>
      </c>
      <c r="EW336" s="1653">
        <v>0</v>
      </c>
      <c r="EX336" s="1653">
        <v>0</v>
      </c>
      <c r="EY336" s="1653">
        <v>0</v>
      </c>
      <c r="EZ336" s="1653"/>
      <c r="FA336" s="1653">
        <v>0</v>
      </c>
      <c r="FB336" s="1653"/>
      <c r="FC336" s="1653"/>
      <c r="FD336" s="1653"/>
      <c r="FE336" s="1653"/>
      <c r="FF336" s="1653">
        <v>0</v>
      </c>
      <c r="FG336" s="1653">
        <v>0</v>
      </c>
      <c r="FH336" s="1653">
        <v>0</v>
      </c>
      <c r="FI336" s="1653">
        <v>0</v>
      </c>
    </row>
    <row r="337" spans="1:165">
      <c r="A337" s="1653">
        <v>335</v>
      </c>
      <c r="B337" s="1653" t="s">
        <v>2260</v>
      </c>
      <c r="C337" s="1653" t="s">
        <v>2241</v>
      </c>
      <c r="D337" s="1653" t="s">
        <v>1989</v>
      </c>
      <c r="E337" s="1653" t="s">
        <v>968</v>
      </c>
      <c r="F337" s="1653" t="s">
        <v>968</v>
      </c>
      <c r="G337" s="1653" t="s">
        <v>1323</v>
      </c>
      <c r="H337" s="1653" t="s">
        <v>1323</v>
      </c>
      <c r="I337" s="1653" t="s">
        <v>1323</v>
      </c>
      <c r="J337" s="1653" t="s">
        <v>2242</v>
      </c>
      <c r="K337" s="1654">
        <v>44652</v>
      </c>
      <c r="L337" s="1653">
        <v>0</v>
      </c>
      <c r="M337" s="1653">
        <v>0</v>
      </c>
      <c r="N337" s="1653">
        <v>116.607</v>
      </c>
      <c r="O337" s="1653">
        <v>116.607</v>
      </c>
      <c r="P337" s="1653">
        <v>116.607</v>
      </c>
      <c r="Q337" s="1653">
        <v>116.607</v>
      </c>
      <c r="R337" s="1653"/>
      <c r="S337" s="1653">
        <v>358.62</v>
      </c>
      <c r="T337" s="1653">
        <v>273.74</v>
      </c>
      <c r="U337" s="1653"/>
      <c r="V337" s="1653">
        <v>73737.60252</v>
      </c>
      <c r="W337" s="1653">
        <v>73737.60252</v>
      </c>
      <c r="X337" s="1653">
        <v>71496.415979999991</v>
      </c>
      <c r="Y337" s="1653">
        <v>0</v>
      </c>
      <c r="Z337" s="1653">
        <v>7040.0790821443188</v>
      </c>
      <c r="AA337" s="1653">
        <v>0</v>
      </c>
      <c r="AB337" s="1653">
        <v>0</v>
      </c>
      <c r="AC337" s="1653">
        <v>0</v>
      </c>
      <c r="AD337" s="1653">
        <v>10038.523783279821</v>
      </c>
      <c r="AE337" s="1653">
        <v>23097.420346633662</v>
      </c>
      <c r="AF337" s="1653">
        <v>31919.913854642324</v>
      </c>
      <c r="AG337" s="1653">
        <v>0</v>
      </c>
      <c r="AH337" s="1653">
        <v>0</v>
      </c>
      <c r="AI337" s="1653">
        <v>0</v>
      </c>
      <c r="AJ337" s="1653">
        <v>0</v>
      </c>
      <c r="AK337" s="1653">
        <v>0</v>
      </c>
      <c r="AL337" s="1653">
        <v>1088.7069507494225</v>
      </c>
      <c r="AM337" s="1653"/>
      <c r="AN337" s="1653">
        <v>124.19710951693574</v>
      </c>
      <c r="AO337" s="1653">
        <v>0</v>
      </c>
      <c r="AP337" s="1653">
        <v>0</v>
      </c>
      <c r="AQ337" s="1653">
        <v>0</v>
      </c>
      <c r="AR337" s="1653">
        <v>0</v>
      </c>
      <c r="AS337" s="1653">
        <v>0</v>
      </c>
      <c r="AT337" s="1653">
        <v>0</v>
      </c>
      <c r="AU337" s="1653">
        <v>0</v>
      </c>
      <c r="AV337" s="1653">
        <v>0</v>
      </c>
      <c r="AW337" s="1653">
        <v>0</v>
      </c>
      <c r="AX337" s="1653">
        <v>0</v>
      </c>
      <c r="AY337" s="1653">
        <v>0</v>
      </c>
      <c r="AZ337" s="1653">
        <v>0</v>
      </c>
      <c r="BA337" s="1653"/>
      <c r="BB337" s="1653">
        <v>0</v>
      </c>
      <c r="BC337" s="1653">
        <v>0</v>
      </c>
      <c r="BD337" s="1653">
        <v>0</v>
      </c>
      <c r="BE337" s="1653">
        <v>0</v>
      </c>
      <c r="BF337" s="1653">
        <v>0</v>
      </c>
      <c r="BG337" s="1653">
        <v>428.93024834774053</v>
      </c>
      <c r="BH337" s="1653">
        <v>0</v>
      </c>
      <c r="BI337" s="1653">
        <v>713.35</v>
      </c>
      <c r="BJ337" s="1653">
        <v>3306.7</v>
      </c>
      <c r="BK337" s="1653">
        <v>21101.39</v>
      </c>
      <c r="BL337" s="1653">
        <v>742</v>
      </c>
      <c r="BM337" s="1653"/>
      <c r="BN337" s="1653"/>
      <c r="BO337" s="1653"/>
      <c r="BP337" s="1653"/>
      <c r="BQ337" s="1653"/>
      <c r="BR337" s="1653"/>
      <c r="BS337" s="1653"/>
      <c r="BT337" s="1653"/>
      <c r="BU337" s="1653"/>
      <c r="BV337" s="1653">
        <v>32348.844102990064</v>
      </c>
      <c r="BW337" s="1653"/>
      <c r="BX337" s="1653"/>
      <c r="BY337" s="1653"/>
      <c r="BZ337" s="1653"/>
      <c r="CA337" s="1653"/>
      <c r="CB337" s="1653"/>
      <c r="CC337" s="1653"/>
      <c r="CD337" s="1653"/>
      <c r="CE337" s="1653"/>
      <c r="CF337" s="1653"/>
      <c r="CG337" s="1653"/>
      <c r="CH337" s="1653"/>
      <c r="CI337" s="1653">
        <v>71498.255399999995</v>
      </c>
      <c r="CJ337" s="1653">
        <v>-2239.3771200000047</v>
      </c>
      <c r="CK337" s="1653"/>
      <c r="CL337" s="1653"/>
      <c r="CM337" s="1653"/>
      <c r="CN337" s="1653"/>
      <c r="CO337" s="1653">
        <v>-3757.077540000003</v>
      </c>
      <c r="CP337" s="1653">
        <v>1515.8910000000001</v>
      </c>
      <c r="CQ337" s="1653">
        <v>30</v>
      </c>
      <c r="CR337" s="1653">
        <v>1429.8210683723155</v>
      </c>
      <c r="CS337" s="1653">
        <v>0</v>
      </c>
      <c r="CT337" s="1653">
        <v>0</v>
      </c>
      <c r="CU337" s="1653">
        <v>0</v>
      </c>
      <c r="CV337" s="1653">
        <v>0</v>
      </c>
      <c r="CW337" s="1653">
        <v>0</v>
      </c>
      <c r="CX337" s="1653">
        <v>0</v>
      </c>
      <c r="CY337" s="1653">
        <v>0</v>
      </c>
      <c r="CZ337" s="1653">
        <v>344.104956315241</v>
      </c>
      <c r="DA337" s="1653">
        <v>0</v>
      </c>
      <c r="DB337" s="1653">
        <v>0</v>
      </c>
      <c r="DC337" s="1653">
        <v>1719.5168367106053</v>
      </c>
      <c r="DD337" s="1653">
        <v>0</v>
      </c>
      <c r="DE337" s="1653">
        <v>0</v>
      </c>
      <c r="DF337" s="1653">
        <v>0</v>
      </c>
      <c r="DG337" s="1653">
        <v>23.106352578741678</v>
      </c>
      <c r="DH337" s="1653">
        <v>0</v>
      </c>
      <c r="DI337" s="1653">
        <v>-448.74361765452795</v>
      </c>
      <c r="DJ337" s="1653"/>
      <c r="DK337" s="1653">
        <v>0</v>
      </c>
      <c r="DL337" s="1653">
        <v>0</v>
      </c>
      <c r="DM337" s="1653">
        <v>0</v>
      </c>
      <c r="DN337" s="1653">
        <v>0</v>
      </c>
      <c r="DO337" s="1653">
        <v>-57.082862544923046</v>
      </c>
      <c r="DP337" s="1653">
        <v>-8.1944533088303331</v>
      </c>
      <c r="DQ337" s="1653">
        <v>0</v>
      </c>
      <c r="DR337" s="1653">
        <v>-142.88614372399076</v>
      </c>
      <c r="DS337" s="1653"/>
      <c r="DT337" s="1653"/>
      <c r="DU337" s="1653"/>
      <c r="DV337" s="1653">
        <v>23097.420346633662</v>
      </c>
      <c r="DW337" s="1653">
        <v>0</v>
      </c>
      <c r="DX337" s="1653">
        <v>0</v>
      </c>
      <c r="DY337" s="1653">
        <v>-3757.0775399999984</v>
      </c>
      <c r="DZ337" s="1653">
        <v>1515.8909999999996</v>
      </c>
      <c r="EA337" s="1653">
        <v>0</v>
      </c>
      <c r="EB337" s="1653">
        <v>0</v>
      </c>
      <c r="EC337" s="1653">
        <v>-3671.4038340904663</v>
      </c>
      <c r="ED337" s="1653">
        <v>0</v>
      </c>
      <c r="EE337" s="1653">
        <v>0</v>
      </c>
      <c r="EF337" s="1653">
        <v>0</v>
      </c>
      <c r="EG337" s="1653">
        <v>0</v>
      </c>
      <c r="EH337" s="1653">
        <v>0</v>
      </c>
      <c r="EI337" s="1653">
        <v>0</v>
      </c>
      <c r="EJ337" s="1653">
        <v>0</v>
      </c>
      <c r="EK337" s="1653">
        <v>0</v>
      </c>
      <c r="EL337" s="1653">
        <v>0</v>
      </c>
      <c r="EM337" s="1653">
        <v>0</v>
      </c>
      <c r="EN337" s="1653">
        <v>0</v>
      </c>
      <c r="EO337" s="1653">
        <v>0</v>
      </c>
      <c r="EP337" s="1653">
        <v>0</v>
      </c>
      <c r="EQ337" s="1653">
        <v>0</v>
      </c>
      <c r="ER337" s="1653">
        <v>0</v>
      </c>
      <c r="ES337" s="1653">
        <v>0</v>
      </c>
      <c r="ET337" s="1653">
        <v>0</v>
      </c>
      <c r="EU337" s="1653">
        <v>0</v>
      </c>
      <c r="EV337" s="1653">
        <v>210</v>
      </c>
      <c r="EW337" s="1653">
        <v>0</v>
      </c>
      <c r="EX337" s="1653">
        <v>0</v>
      </c>
      <c r="EY337" s="1653">
        <v>0</v>
      </c>
      <c r="EZ337" s="1653"/>
      <c r="FA337" s="1653">
        <v>0</v>
      </c>
      <c r="FB337" s="1653"/>
      <c r="FC337" s="1653"/>
      <c r="FD337" s="1653"/>
      <c r="FE337" s="1653"/>
      <c r="FF337" s="1653">
        <v>0</v>
      </c>
      <c r="FG337" s="1653">
        <v>0</v>
      </c>
      <c r="FH337" s="1653">
        <v>0</v>
      </c>
      <c r="FI337" s="1653">
        <v>0</v>
      </c>
    </row>
    <row r="338" spans="1:165">
      <c r="A338" s="1653">
        <v>336</v>
      </c>
      <c r="B338" s="1653" t="s">
        <v>2260</v>
      </c>
      <c r="C338" s="1653" t="s">
        <v>2241</v>
      </c>
      <c r="D338" s="1653" t="s">
        <v>1989</v>
      </c>
      <c r="E338" s="1653" t="s">
        <v>968</v>
      </c>
      <c r="F338" s="1653" t="s">
        <v>968</v>
      </c>
      <c r="G338" s="1653" t="s">
        <v>1323</v>
      </c>
      <c r="H338" s="1653" t="s">
        <v>1323</v>
      </c>
      <c r="I338" s="1653" t="s">
        <v>1323</v>
      </c>
      <c r="J338" s="1653" t="s">
        <v>2242</v>
      </c>
      <c r="K338" s="1654">
        <v>44652</v>
      </c>
      <c r="L338" s="1653">
        <v>0</v>
      </c>
      <c r="M338" s="1653">
        <v>0</v>
      </c>
      <c r="N338" s="1653">
        <v>0.35</v>
      </c>
      <c r="O338" s="1653">
        <v>0.35</v>
      </c>
      <c r="P338" s="1653">
        <v>0.35</v>
      </c>
      <c r="Q338" s="1653">
        <v>0.35</v>
      </c>
      <c r="R338" s="1653"/>
      <c r="S338" s="1653">
        <v>358.62</v>
      </c>
      <c r="T338" s="1653">
        <v>273.74</v>
      </c>
      <c r="U338" s="1653"/>
      <c r="V338" s="1653">
        <v>221.32599999999999</v>
      </c>
      <c r="W338" s="1653">
        <v>221.32599999999999</v>
      </c>
      <c r="X338" s="1653">
        <v>214.59899999999999</v>
      </c>
      <c r="Y338" s="1653">
        <v>0</v>
      </c>
      <c r="Z338" s="1653">
        <v>21.131044266214818</v>
      </c>
      <c r="AA338" s="1653">
        <v>0</v>
      </c>
      <c r="AB338" s="1653">
        <v>0</v>
      </c>
      <c r="AC338" s="1653">
        <v>0</v>
      </c>
      <c r="AD338" s="1653">
        <v>30.130981194507513</v>
      </c>
      <c r="AE338" s="1653">
        <v>69.327717215276792</v>
      </c>
      <c r="AF338" s="1653">
        <v>95.808740891411432</v>
      </c>
      <c r="AG338" s="1653">
        <v>0</v>
      </c>
      <c r="AH338" s="1653">
        <v>0</v>
      </c>
      <c r="AI338" s="1653">
        <v>0</v>
      </c>
      <c r="AJ338" s="1653">
        <v>0</v>
      </c>
      <c r="AK338" s="1653">
        <v>0</v>
      </c>
      <c r="AL338" s="1653">
        <v>3.2677920944908787</v>
      </c>
      <c r="AM338" s="1653"/>
      <c r="AN338" s="1653">
        <v>0.37278197990624495</v>
      </c>
      <c r="AO338" s="1653">
        <v>0</v>
      </c>
      <c r="AP338" s="1653">
        <v>0</v>
      </c>
      <c r="AQ338" s="1653">
        <v>0</v>
      </c>
      <c r="AR338" s="1653">
        <v>0</v>
      </c>
      <c r="AS338" s="1653">
        <v>0</v>
      </c>
      <c r="AT338" s="1653">
        <v>0</v>
      </c>
      <c r="AU338" s="1653">
        <v>0</v>
      </c>
      <c r="AV338" s="1653">
        <v>0</v>
      </c>
      <c r="AW338" s="1653">
        <v>0</v>
      </c>
      <c r="AX338" s="1653">
        <v>0</v>
      </c>
      <c r="AY338" s="1653">
        <v>0</v>
      </c>
      <c r="AZ338" s="1653">
        <v>0</v>
      </c>
      <c r="BA338" s="1653"/>
      <c r="BB338" s="1653">
        <v>0</v>
      </c>
      <c r="BC338" s="1653">
        <v>0</v>
      </c>
      <c r="BD338" s="1653">
        <v>0</v>
      </c>
      <c r="BE338" s="1653">
        <v>0</v>
      </c>
      <c r="BF338" s="1653">
        <v>0</v>
      </c>
      <c r="BG338" s="1653">
        <v>1.287449183339844</v>
      </c>
      <c r="BH338" s="1653">
        <v>0</v>
      </c>
      <c r="BI338" s="1653">
        <v>2.04</v>
      </c>
      <c r="BJ338" s="1653">
        <v>9.4600000000000009</v>
      </c>
      <c r="BK338" s="1653">
        <v>115.44</v>
      </c>
      <c r="BL338" s="1653">
        <v>5</v>
      </c>
      <c r="BM338" s="1653"/>
      <c r="BN338" s="1653"/>
      <c r="BO338" s="1653"/>
      <c r="BP338" s="1653"/>
      <c r="BQ338" s="1653"/>
      <c r="BR338" s="1653"/>
      <c r="BS338" s="1653"/>
      <c r="BT338" s="1653"/>
      <c r="BU338" s="1653"/>
      <c r="BV338" s="1653">
        <v>97.096190074751277</v>
      </c>
      <c r="BW338" s="1653"/>
      <c r="BX338" s="1653"/>
      <c r="BY338" s="1653"/>
      <c r="BZ338" s="1653"/>
      <c r="CA338" s="1653"/>
      <c r="CB338" s="1653"/>
      <c r="CC338" s="1653"/>
      <c r="CD338" s="1653"/>
      <c r="CE338" s="1653"/>
      <c r="CF338" s="1653"/>
      <c r="CG338" s="1653"/>
      <c r="CH338" s="1653"/>
      <c r="CI338" s="1653">
        <v>214.59899999999999</v>
      </c>
      <c r="CJ338" s="1653">
        <v>-6.757000000000005</v>
      </c>
      <c r="CK338" s="1653"/>
      <c r="CL338" s="1653"/>
      <c r="CM338" s="1653"/>
      <c r="CN338" s="1653"/>
      <c r="CO338" s="1653">
        <v>-11.277000000000008</v>
      </c>
      <c r="CP338" s="1653">
        <v>4.55</v>
      </c>
      <c r="CQ338" s="1653">
        <v>30</v>
      </c>
      <c r="CR338" s="1653">
        <v>4.2916580816786905</v>
      </c>
      <c r="CS338" s="1653">
        <v>0</v>
      </c>
      <c r="CT338" s="1653">
        <v>0</v>
      </c>
      <c r="CU338" s="1653">
        <v>0</v>
      </c>
      <c r="CV338" s="1653">
        <v>0</v>
      </c>
      <c r="CW338" s="1653">
        <v>0</v>
      </c>
      <c r="CX338" s="1653">
        <v>0</v>
      </c>
      <c r="CY338" s="1653">
        <v>0</v>
      </c>
      <c r="CZ338" s="1653">
        <v>1.0328430944140088</v>
      </c>
      <c r="DA338" s="1653">
        <v>0</v>
      </c>
      <c r="DB338" s="1653">
        <v>0</v>
      </c>
      <c r="DC338" s="1653">
        <v>5.1611900902065173</v>
      </c>
      <c r="DD338" s="1653">
        <v>0</v>
      </c>
      <c r="DE338" s="1653">
        <v>0</v>
      </c>
      <c r="DF338" s="1653">
        <v>0</v>
      </c>
      <c r="DG338" s="1653">
        <v>6.9354527623209261E-2</v>
      </c>
      <c r="DH338" s="1653">
        <v>0</v>
      </c>
      <c r="DI338" s="1653">
        <v>-1.346919706184746</v>
      </c>
      <c r="DJ338" s="1653"/>
      <c r="DK338" s="1653">
        <v>0</v>
      </c>
      <c r="DL338" s="1653">
        <v>0</v>
      </c>
      <c r="DM338" s="1653">
        <v>0</v>
      </c>
      <c r="DN338" s="1653">
        <v>0</v>
      </c>
      <c r="DO338" s="1653">
        <v>-0.17133621386986331</v>
      </c>
      <c r="DP338" s="1653">
        <v>-2.4595938992432842E-2</v>
      </c>
      <c r="DQ338" s="1653">
        <v>0</v>
      </c>
      <c r="DR338" s="1653">
        <v>-0.42887777151797724</v>
      </c>
      <c r="DS338" s="1653"/>
      <c r="DT338" s="1653"/>
      <c r="DU338" s="1653"/>
      <c r="DV338" s="1653">
        <v>69.327717215276792</v>
      </c>
      <c r="DW338" s="1653">
        <v>0</v>
      </c>
      <c r="DX338" s="1653">
        <v>0</v>
      </c>
      <c r="DY338" s="1653">
        <v>-11.277000000000015</v>
      </c>
      <c r="DZ338" s="1653">
        <v>4.5499999999999972</v>
      </c>
      <c r="EA338" s="1653">
        <v>0</v>
      </c>
      <c r="EB338" s="1653">
        <v>0</v>
      </c>
      <c r="EC338" s="1653">
        <v>-11.019847367067698</v>
      </c>
      <c r="ED338" s="1653">
        <v>0</v>
      </c>
      <c r="EE338" s="1653">
        <v>0</v>
      </c>
      <c r="EF338" s="1653">
        <v>0</v>
      </c>
      <c r="EG338" s="1653">
        <v>0</v>
      </c>
      <c r="EH338" s="1653">
        <v>0</v>
      </c>
      <c r="EI338" s="1653">
        <v>0</v>
      </c>
      <c r="EJ338" s="1653">
        <v>0</v>
      </c>
      <c r="EK338" s="1653">
        <v>0</v>
      </c>
      <c r="EL338" s="1653">
        <v>0</v>
      </c>
      <c r="EM338" s="1653">
        <v>0</v>
      </c>
      <c r="EN338" s="1653">
        <v>0</v>
      </c>
      <c r="EO338" s="1653">
        <v>0</v>
      </c>
      <c r="EP338" s="1653">
        <v>0</v>
      </c>
      <c r="EQ338" s="1653">
        <v>0</v>
      </c>
      <c r="ER338" s="1653">
        <v>0</v>
      </c>
      <c r="ES338" s="1653">
        <v>0</v>
      </c>
      <c r="ET338" s="1653">
        <v>0</v>
      </c>
      <c r="EU338" s="1653">
        <v>0</v>
      </c>
      <c r="EV338" s="1653">
        <v>210</v>
      </c>
      <c r="EW338" s="1653">
        <v>0</v>
      </c>
      <c r="EX338" s="1653">
        <v>0</v>
      </c>
      <c r="EY338" s="1653">
        <v>0</v>
      </c>
      <c r="EZ338" s="1653"/>
      <c r="FA338" s="1653">
        <v>0</v>
      </c>
      <c r="FB338" s="1653"/>
      <c r="FC338" s="1653"/>
      <c r="FD338" s="1653"/>
      <c r="FE338" s="1653"/>
      <c r="FF338" s="1653">
        <v>0</v>
      </c>
      <c r="FG338" s="1653">
        <v>0</v>
      </c>
      <c r="FH338" s="1653">
        <v>0</v>
      </c>
      <c r="FI338" s="1653">
        <v>0</v>
      </c>
    </row>
    <row r="339" spans="1:165">
      <c r="A339" s="1653">
        <v>337</v>
      </c>
      <c r="B339" s="1653" t="s">
        <v>2260</v>
      </c>
      <c r="C339" s="1653" t="s">
        <v>2241</v>
      </c>
      <c r="D339" s="1653" t="s">
        <v>1989</v>
      </c>
      <c r="E339" s="1653" t="s">
        <v>968</v>
      </c>
      <c r="F339" s="1653" t="s">
        <v>2243</v>
      </c>
      <c r="G339" s="1653" t="s">
        <v>1323</v>
      </c>
      <c r="H339" s="1653" t="s">
        <v>1323</v>
      </c>
      <c r="I339" s="1653" t="s">
        <v>1323</v>
      </c>
      <c r="J339" s="1653" t="s">
        <v>2242</v>
      </c>
      <c r="K339" s="1654">
        <v>44652</v>
      </c>
      <c r="L339" s="1653">
        <v>0</v>
      </c>
      <c r="M339" s="1653">
        <v>0</v>
      </c>
      <c r="N339" s="1653">
        <v>0.33</v>
      </c>
      <c r="O339" s="1653">
        <v>0.33</v>
      </c>
      <c r="P339" s="1653">
        <v>0.33</v>
      </c>
      <c r="Q339" s="1653">
        <v>0.33</v>
      </c>
      <c r="R339" s="1653"/>
      <c r="S339" s="1653">
        <v>288.91000000000003</v>
      </c>
      <c r="T339" s="1653">
        <v>273.74</v>
      </c>
      <c r="U339" s="1653"/>
      <c r="V339" s="1653">
        <v>185.67450000000002</v>
      </c>
      <c r="W339" s="1653">
        <v>185.67450000000002</v>
      </c>
      <c r="X339" s="1653">
        <v>180.7278</v>
      </c>
      <c r="Y339" s="1653">
        <v>0</v>
      </c>
      <c r="Z339" s="1653">
        <v>0</v>
      </c>
      <c r="AA339" s="1653">
        <v>0</v>
      </c>
      <c r="AB339" s="1653">
        <v>0</v>
      </c>
      <c r="AC339" s="1653">
        <v>0</v>
      </c>
      <c r="AD339" s="1653">
        <v>28.409210840535657</v>
      </c>
      <c r="AE339" s="1653">
        <v>65.366133374403844</v>
      </c>
      <c r="AF339" s="1653">
        <v>90.333955697616503</v>
      </c>
      <c r="AG339" s="1653">
        <v>0</v>
      </c>
      <c r="AH339" s="1653">
        <v>0</v>
      </c>
      <c r="AI339" s="1653">
        <v>0</v>
      </c>
      <c r="AJ339" s="1653">
        <v>0</v>
      </c>
      <c r="AK339" s="1653">
        <v>0</v>
      </c>
      <c r="AL339" s="1653">
        <v>0</v>
      </c>
      <c r="AM339" s="1653"/>
      <c r="AN339" s="1653">
        <v>0.35148015248303099</v>
      </c>
      <c r="AO339" s="1653">
        <v>0</v>
      </c>
      <c r="AP339" s="1653">
        <v>0</v>
      </c>
      <c r="AQ339" s="1653">
        <v>0</v>
      </c>
      <c r="AR339" s="1653">
        <v>0</v>
      </c>
      <c r="AS339" s="1653">
        <v>0</v>
      </c>
      <c r="AT339" s="1653">
        <v>0</v>
      </c>
      <c r="AU339" s="1653">
        <v>0</v>
      </c>
      <c r="AV339" s="1653">
        <v>0</v>
      </c>
      <c r="AW339" s="1653">
        <v>0</v>
      </c>
      <c r="AX339" s="1653">
        <v>0</v>
      </c>
      <c r="AY339" s="1653">
        <v>0</v>
      </c>
      <c r="AZ339" s="1653">
        <v>0</v>
      </c>
      <c r="BA339" s="1653"/>
      <c r="BB339" s="1653">
        <v>0</v>
      </c>
      <c r="BC339" s="1653">
        <v>0</v>
      </c>
      <c r="BD339" s="1653">
        <v>0</v>
      </c>
      <c r="BE339" s="1653">
        <v>0</v>
      </c>
      <c r="BF339" s="1653">
        <v>0</v>
      </c>
      <c r="BG339" s="1653">
        <v>1.2138806585775672</v>
      </c>
      <c r="BH339" s="1653">
        <v>0</v>
      </c>
      <c r="BI339" s="1653">
        <v>0.48</v>
      </c>
      <c r="BJ339" s="1653">
        <v>2.38</v>
      </c>
      <c r="BK339" s="1653">
        <v>14.1</v>
      </c>
      <c r="BL339" s="1653">
        <v>0</v>
      </c>
      <c r="BM339" s="1653"/>
      <c r="BN339" s="1653"/>
      <c r="BO339" s="1653"/>
      <c r="BP339" s="1653"/>
      <c r="BQ339" s="1653"/>
      <c r="BR339" s="1653"/>
      <c r="BS339" s="1653"/>
      <c r="BT339" s="1653">
        <v>117.47340000000001</v>
      </c>
      <c r="BU339" s="1653"/>
      <c r="BV339" s="1653">
        <v>91.547836356194068</v>
      </c>
      <c r="BW339" s="1653"/>
      <c r="BX339" s="1653"/>
      <c r="BY339" s="1653"/>
      <c r="BZ339" s="1653"/>
      <c r="CA339" s="1653"/>
      <c r="CB339" s="1653"/>
      <c r="CC339" s="1653"/>
      <c r="CD339" s="1653"/>
      <c r="CE339" s="1653"/>
      <c r="CF339" s="1653"/>
      <c r="CG339" s="1653"/>
      <c r="CH339" s="1653"/>
      <c r="CI339" s="1653">
        <v>63.254400000000004</v>
      </c>
      <c r="CJ339" s="1653">
        <v>-1.7625000000000028</v>
      </c>
      <c r="CK339" s="1653"/>
      <c r="CL339" s="1653"/>
      <c r="CM339" s="1653"/>
      <c r="CN339" s="1653"/>
      <c r="CO339" s="1653">
        <v>-9.2367000000000026</v>
      </c>
      <c r="CP339" s="1653">
        <v>4.29</v>
      </c>
      <c r="CQ339" s="1653">
        <v>30</v>
      </c>
      <c r="CR339" s="1653">
        <v>5.4447165074347623</v>
      </c>
      <c r="CS339" s="1653">
        <v>0</v>
      </c>
      <c r="CT339" s="1653">
        <v>0</v>
      </c>
      <c r="CU339" s="1653">
        <v>0</v>
      </c>
      <c r="CV339" s="1653">
        <v>0</v>
      </c>
      <c r="CW339" s="1653">
        <v>0</v>
      </c>
      <c r="CX339" s="1653">
        <v>0</v>
      </c>
      <c r="CY339" s="1653">
        <v>0</v>
      </c>
      <c r="CZ339" s="1653">
        <v>0.97382348901892257</v>
      </c>
      <c r="DA339" s="1653">
        <v>0</v>
      </c>
      <c r="DB339" s="1653">
        <v>0</v>
      </c>
      <c r="DC339" s="1653">
        <v>4.8662649421947179</v>
      </c>
      <c r="DD339" s="1653">
        <v>0</v>
      </c>
      <c r="DE339" s="1653">
        <v>0</v>
      </c>
      <c r="DF339" s="1653">
        <v>0</v>
      </c>
      <c r="DG339" s="1653">
        <v>6.5391411759026186E-2</v>
      </c>
      <c r="DH339" s="1653">
        <v>0</v>
      </c>
      <c r="DI339" s="1653">
        <v>0</v>
      </c>
      <c r="DJ339" s="1653"/>
      <c r="DK339" s="1653">
        <v>0</v>
      </c>
      <c r="DL339" s="1653">
        <v>0</v>
      </c>
      <c r="DM339" s="1653">
        <v>0</v>
      </c>
      <c r="DN339" s="1653">
        <v>0</v>
      </c>
      <c r="DO339" s="1653">
        <v>0</v>
      </c>
      <c r="DP339" s="1653">
        <v>-2.3190456764293821E-2</v>
      </c>
      <c r="DQ339" s="1653">
        <v>0</v>
      </c>
      <c r="DR339" s="1653">
        <v>-0.437572878773614</v>
      </c>
      <c r="DS339" s="1653"/>
      <c r="DT339" s="1653"/>
      <c r="DU339" s="1653"/>
      <c r="DV339" s="1653">
        <v>65.366133374403844</v>
      </c>
      <c r="DW339" s="1653">
        <v>0</v>
      </c>
      <c r="DX339" s="1653">
        <v>0</v>
      </c>
      <c r="DY339" s="1653">
        <v>-9.236699999999999</v>
      </c>
      <c r="DZ339" s="1653">
        <v>4.289999999999992</v>
      </c>
      <c r="EA339" s="1653">
        <v>0</v>
      </c>
      <c r="EB339" s="1653">
        <v>0</v>
      </c>
      <c r="EC339" s="1653">
        <v>-10.390141803235267</v>
      </c>
      <c r="ED339" s="1653">
        <v>0</v>
      </c>
      <c r="EE339" s="1653">
        <v>0</v>
      </c>
      <c r="EF339" s="1653">
        <v>0</v>
      </c>
      <c r="EG339" s="1653">
        <v>0</v>
      </c>
      <c r="EH339" s="1653">
        <v>0</v>
      </c>
      <c r="EI339" s="1653">
        <v>0</v>
      </c>
      <c r="EJ339" s="1653">
        <v>0</v>
      </c>
      <c r="EK339" s="1653">
        <v>0</v>
      </c>
      <c r="EL339" s="1653">
        <v>0</v>
      </c>
      <c r="EM339" s="1653">
        <v>0</v>
      </c>
      <c r="EN339" s="1653">
        <v>0</v>
      </c>
      <c r="EO339" s="1653">
        <v>0</v>
      </c>
      <c r="EP339" s="1653">
        <v>0</v>
      </c>
      <c r="EQ339" s="1653">
        <v>0</v>
      </c>
      <c r="ER339" s="1653">
        <v>0</v>
      </c>
      <c r="ES339" s="1653">
        <v>0</v>
      </c>
      <c r="ET339" s="1653">
        <v>0</v>
      </c>
      <c r="EU339" s="1653">
        <v>0</v>
      </c>
      <c r="EV339" s="1653">
        <v>210</v>
      </c>
      <c r="EW339" s="1653">
        <v>0</v>
      </c>
      <c r="EX339" s="1653">
        <v>0</v>
      </c>
      <c r="EY339" s="1653">
        <v>0</v>
      </c>
      <c r="EZ339" s="1653"/>
      <c r="FA339" s="1653">
        <v>0</v>
      </c>
      <c r="FB339" s="1653"/>
      <c r="FC339" s="1653"/>
      <c r="FD339" s="1653"/>
      <c r="FE339" s="1653"/>
      <c r="FF339" s="1653">
        <v>0</v>
      </c>
      <c r="FG339" s="1653">
        <v>0</v>
      </c>
      <c r="FH339" s="1653">
        <v>0</v>
      </c>
      <c r="FI339" s="1653">
        <v>0</v>
      </c>
    </row>
    <row r="340" spans="1:165">
      <c r="A340" s="1653">
        <v>338</v>
      </c>
      <c r="B340" s="1653" t="s">
        <v>2260</v>
      </c>
      <c r="C340" s="1653" t="s">
        <v>2241</v>
      </c>
      <c r="D340" s="1653" t="s">
        <v>1989</v>
      </c>
      <c r="E340" s="1653" t="s">
        <v>968</v>
      </c>
      <c r="F340" s="1653" t="s">
        <v>2244</v>
      </c>
      <c r="G340" s="1653" t="s">
        <v>1323</v>
      </c>
      <c r="H340" s="1653" t="s">
        <v>1323</v>
      </c>
      <c r="I340" s="1653" t="s">
        <v>1323</v>
      </c>
      <c r="J340" s="1653" t="s">
        <v>2242</v>
      </c>
      <c r="K340" s="1654">
        <v>44652</v>
      </c>
      <c r="L340" s="1653">
        <v>0</v>
      </c>
      <c r="M340" s="1653">
        <v>0</v>
      </c>
      <c r="N340" s="1653">
        <v>0.70399999999999996</v>
      </c>
      <c r="O340" s="1653">
        <v>0.70399999999999996</v>
      </c>
      <c r="P340" s="1653">
        <v>0.70399999999999996</v>
      </c>
      <c r="Q340" s="1653">
        <v>0.70399999999999996</v>
      </c>
      <c r="R340" s="1653"/>
      <c r="S340" s="1653">
        <v>288.91000000000003</v>
      </c>
      <c r="T340" s="1653">
        <v>273.74</v>
      </c>
      <c r="U340" s="1653"/>
      <c r="V340" s="1653">
        <v>396.10559999999998</v>
      </c>
      <c r="W340" s="1653">
        <v>396.10559999999998</v>
      </c>
      <c r="X340" s="1653">
        <v>385.55264</v>
      </c>
      <c r="Y340" s="1653">
        <v>0</v>
      </c>
      <c r="Z340" s="1653">
        <v>0</v>
      </c>
      <c r="AA340" s="1653">
        <v>0</v>
      </c>
      <c r="AB340" s="1653">
        <v>0</v>
      </c>
      <c r="AC340" s="1653">
        <v>0</v>
      </c>
      <c r="AD340" s="1653">
        <v>60.606316459809392</v>
      </c>
      <c r="AE340" s="1653">
        <v>139.44775119872818</v>
      </c>
      <c r="AF340" s="1653">
        <v>192.71243882158186</v>
      </c>
      <c r="AG340" s="1653">
        <v>0</v>
      </c>
      <c r="AH340" s="1653">
        <v>0</v>
      </c>
      <c r="AI340" s="1653">
        <v>0</v>
      </c>
      <c r="AJ340" s="1653">
        <v>0</v>
      </c>
      <c r="AK340" s="1653">
        <v>0</v>
      </c>
      <c r="AL340" s="1653">
        <v>0</v>
      </c>
      <c r="AM340" s="1653"/>
      <c r="AN340" s="1653">
        <v>0.74982432529713272</v>
      </c>
      <c r="AO340" s="1653">
        <v>0</v>
      </c>
      <c r="AP340" s="1653">
        <v>0</v>
      </c>
      <c r="AQ340" s="1653">
        <v>0</v>
      </c>
      <c r="AR340" s="1653">
        <v>0</v>
      </c>
      <c r="AS340" s="1653">
        <v>0</v>
      </c>
      <c r="AT340" s="1653">
        <v>0</v>
      </c>
      <c r="AU340" s="1653">
        <v>0</v>
      </c>
      <c r="AV340" s="1653">
        <v>0</v>
      </c>
      <c r="AW340" s="1653">
        <v>0</v>
      </c>
      <c r="AX340" s="1653">
        <v>0</v>
      </c>
      <c r="AY340" s="1653">
        <v>0</v>
      </c>
      <c r="AZ340" s="1653">
        <v>0</v>
      </c>
      <c r="BA340" s="1653"/>
      <c r="BB340" s="1653">
        <v>0</v>
      </c>
      <c r="BC340" s="1653">
        <v>0</v>
      </c>
      <c r="BD340" s="1653">
        <v>0</v>
      </c>
      <c r="BE340" s="1653">
        <v>0</v>
      </c>
      <c r="BF340" s="1653">
        <v>0</v>
      </c>
      <c r="BG340" s="1653">
        <v>2.5896120716321431</v>
      </c>
      <c r="BH340" s="1653">
        <v>0</v>
      </c>
      <c r="BI340" s="1653">
        <v>1.96</v>
      </c>
      <c r="BJ340" s="1653">
        <v>8.99</v>
      </c>
      <c r="BK340" s="1653">
        <v>56.65</v>
      </c>
      <c r="BL340" s="1653">
        <v>1</v>
      </c>
      <c r="BM340" s="1653"/>
      <c r="BN340" s="1653"/>
      <c r="BO340" s="1653"/>
      <c r="BP340" s="1653"/>
      <c r="BQ340" s="1653"/>
      <c r="BR340" s="1653"/>
      <c r="BS340" s="1653"/>
      <c r="BT340" s="1653">
        <v>154.21823999999998</v>
      </c>
      <c r="BU340" s="1653"/>
      <c r="BV340" s="1653">
        <v>195.30205089321399</v>
      </c>
      <c r="BW340" s="1653"/>
      <c r="BX340" s="1653"/>
      <c r="BY340" s="1653"/>
      <c r="BZ340" s="1653"/>
      <c r="CA340" s="1653"/>
      <c r="CB340" s="1653"/>
      <c r="CC340" s="1653"/>
      <c r="CD340" s="1653"/>
      <c r="CE340" s="1653"/>
      <c r="CF340" s="1653"/>
      <c r="CG340" s="1653"/>
      <c r="CH340" s="1653"/>
      <c r="CI340" s="1653">
        <v>230.02</v>
      </c>
      <c r="CJ340" s="1653">
        <v>-7.673359999999974</v>
      </c>
      <c r="CK340" s="1653"/>
      <c r="CL340" s="1653"/>
      <c r="CM340" s="1653"/>
      <c r="CN340" s="1653"/>
      <c r="CO340" s="1653">
        <v>-19.704960000000007</v>
      </c>
      <c r="CP340" s="1653">
        <v>9.1519999999999992</v>
      </c>
      <c r="CQ340" s="1653">
        <v>30</v>
      </c>
      <c r="CR340" s="1653">
        <v>11.615395215860815</v>
      </c>
      <c r="CS340" s="1653">
        <v>0</v>
      </c>
      <c r="CT340" s="1653">
        <v>0</v>
      </c>
      <c r="CU340" s="1653">
        <v>0</v>
      </c>
      <c r="CV340" s="1653">
        <v>0</v>
      </c>
      <c r="CW340" s="1653">
        <v>0</v>
      </c>
      <c r="CX340" s="1653">
        <v>0</v>
      </c>
      <c r="CY340" s="1653">
        <v>0</v>
      </c>
      <c r="CZ340" s="1653">
        <v>2.0774901099070391</v>
      </c>
      <c r="DA340" s="1653">
        <v>0</v>
      </c>
      <c r="DB340" s="1653">
        <v>0</v>
      </c>
      <c r="DC340" s="1653">
        <v>10.381365210015389</v>
      </c>
      <c r="DD340" s="1653">
        <v>0</v>
      </c>
      <c r="DE340" s="1653">
        <v>0</v>
      </c>
      <c r="DF340" s="1653">
        <v>0</v>
      </c>
      <c r="DG340" s="1653">
        <v>0.13950167841925554</v>
      </c>
      <c r="DH340" s="1653">
        <v>0</v>
      </c>
      <c r="DI340" s="1653">
        <v>0</v>
      </c>
      <c r="DJ340" s="1653"/>
      <c r="DK340" s="1653">
        <v>0</v>
      </c>
      <c r="DL340" s="1653">
        <v>0</v>
      </c>
      <c r="DM340" s="1653">
        <v>0</v>
      </c>
      <c r="DN340" s="1653">
        <v>0</v>
      </c>
      <c r="DO340" s="1653">
        <v>0</v>
      </c>
      <c r="DP340" s="1653">
        <v>-4.9472974430493477E-2</v>
      </c>
      <c r="DQ340" s="1653">
        <v>0</v>
      </c>
      <c r="DR340" s="1653">
        <v>-0.93348880805037626</v>
      </c>
      <c r="DS340" s="1653"/>
      <c r="DT340" s="1653"/>
      <c r="DU340" s="1653"/>
      <c r="DV340" s="1653">
        <v>139.44775119872818</v>
      </c>
      <c r="DW340" s="1653">
        <v>0</v>
      </c>
      <c r="DX340" s="1653">
        <v>0</v>
      </c>
      <c r="DY340" s="1653">
        <v>-19.70496</v>
      </c>
      <c r="DZ340" s="1653">
        <v>9.1520000000000152</v>
      </c>
      <c r="EA340" s="1653">
        <v>0</v>
      </c>
      <c r="EB340" s="1653">
        <v>0</v>
      </c>
      <c r="EC340" s="1653">
        <v>-22.165635846901893</v>
      </c>
      <c r="ED340" s="1653">
        <v>0</v>
      </c>
      <c r="EE340" s="1653">
        <v>0</v>
      </c>
      <c r="EF340" s="1653">
        <v>0</v>
      </c>
      <c r="EG340" s="1653">
        <v>0</v>
      </c>
      <c r="EH340" s="1653">
        <v>0</v>
      </c>
      <c r="EI340" s="1653">
        <v>0</v>
      </c>
      <c r="EJ340" s="1653">
        <v>0</v>
      </c>
      <c r="EK340" s="1653">
        <v>0</v>
      </c>
      <c r="EL340" s="1653">
        <v>0</v>
      </c>
      <c r="EM340" s="1653">
        <v>0</v>
      </c>
      <c r="EN340" s="1653">
        <v>0</v>
      </c>
      <c r="EO340" s="1653">
        <v>0</v>
      </c>
      <c r="EP340" s="1653">
        <v>0</v>
      </c>
      <c r="EQ340" s="1653">
        <v>0</v>
      </c>
      <c r="ER340" s="1653">
        <v>0</v>
      </c>
      <c r="ES340" s="1653">
        <v>0</v>
      </c>
      <c r="ET340" s="1653">
        <v>0</v>
      </c>
      <c r="EU340" s="1653">
        <v>0</v>
      </c>
      <c r="EV340" s="1653">
        <v>210</v>
      </c>
      <c r="EW340" s="1653">
        <v>0</v>
      </c>
      <c r="EX340" s="1653">
        <v>0</v>
      </c>
      <c r="EY340" s="1653">
        <v>0</v>
      </c>
      <c r="EZ340" s="1653"/>
      <c r="FA340" s="1653">
        <v>0</v>
      </c>
      <c r="FB340" s="1653"/>
      <c r="FC340" s="1653"/>
      <c r="FD340" s="1653"/>
      <c r="FE340" s="1653"/>
      <c r="FF340" s="1653">
        <v>0</v>
      </c>
      <c r="FG340" s="1653">
        <v>0</v>
      </c>
      <c r="FH340" s="1653">
        <v>0</v>
      </c>
      <c r="FI340" s="1653">
        <v>0</v>
      </c>
    </row>
    <row r="341" spans="1:165">
      <c r="A341" s="1653">
        <v>339</v>
      </c>
      <c r="B341" s="1653" t="s">
        <v>2260</v>
      </c>
      <c r="C341" s="1653" t="s">
        <v>2241</v>
      </c>
      <c r="D341" s="1653" t="s">
        <v>1989</v>
      </c>
      <c r="E341" s="1653" t="s">
        <v>968</v>
      </c>
      <c r="F341" s="1653" t="s">
        <v>2245</v>
      </c>
      <c r="G341" s="1653" t="s">
        <v>1323</v>
      </c>
      <c r="H341" s="1653" t="s">
        <v>1323</v>
      </c>
      <c r="I341" s="1653" t="s">
        <v>1323</v>
      </c>
      <c r="J341" s="1653" t="s">
        <v>2242</v>
      </c>
      <c r="K341" s="1654">
        <v>44652</v>
      </c>
      <c r="L341" s="1653">
        <v>0</v>
      </c>
      <c r="M341" s="1653">
        <v>0</v>
      </c>
      <c r="N341" s="1653">
        <v>0.91900000000000004</v>
      </c>
      <c r="O341" s="1653">
        <v>0.91900000000000004</v>
      </c>
      <c r="P341" s="1653">
        <v>0.91900000000000004</v>
      </c>
      <c r="Q341" s="1653">
        <v>0.91900000000000004</v>
      </c>
      <c r="R341" s="1653"/>
      <c r="S341" s="1653">
        <v>288.91000000000003</v>
      </c>
      <c r="T341" s="1653">
        <v>273.74</v>
      </c>
      <c r="U341" s="1653"/>
      <c r="V341" s="1653">
        <v>517.07535000000007</v>
      </c>
      <c r="W341" s="1653">
        <v>517.07535000000007</v>
      </c>
      <c r="X341" s="1653">
        <v>503.29954000000009</v>
      </c>
      <c r="Y341" s="1653">
        <v>0</v>
      </c>
      <c r="Z341" s="1653">
        <v>0</v>
      </c>
      <c r="AA341" s="1653">
        <v>0</v>
      </c>
      <c r="AB341" s="1653">
        <v>0</v>
      </c>
      <c r="AC341" s="1653">
        <v>0</v>
      </c>
      <c r="AD341" s="1653">
        <v>79.115347765006874</v>
      </c>
      <c r="AE341" s="1653">
        <v>182.03477748811252</v>
      </c>
      <c r="AF341" s="1653">
        <v>251.56637965487747</v>
      </c>
      <c r="AG341" s="1653">
        <v>0</v>
      </c>
      <c r="AH341" s="1653">
        <v>0</v>
      </c>
      <c r="AI341" s="1653">
        <v>0</v>
      </c>
      <c r="AJ341" s="1653">
        <v>0</v>
      </c>
      <c r="AK341" s="1653">
        <v>0</v>
      </c>
      <c r="AL341" s="1653">
        <v>0</v>
      </c>
      <c r="AM341" s="1653"/>
      <c r="AN341" s="1653">
        <v>0.97881897009668328</v>
      </c>
      <c r="AO341" s="1653">
        <v>0</v>
      </c>
      <c r="AP341" s="1653">
        <v>0</v>
      </c>
      <c r="AQ341" s="1653">
        <v>0</v>
      </c>
      <c r="AR341" s="1653">
        <v>0</v>
      </c>
      <c r="AS341" s="1653">
        <v>0</v>
      </c>
      <c r="AT341" s="1653">
        <v>0</v>
      </c>
      <c r="AU341" s="1653">
        <v>0</v>
      </c>
      <c r="AV341" s="1653">
        <v>0</v>
      </c>
      <c r="AW341" s="1653">
        <v>0</v>
      </c>
      <c r="AX341" s="1653">
        <v>0</v>
      </c>
      <c r="AY341" s="1653">
        <v>0</v>
      </c>
      <c r="AZ341" s="1653">
        <v>0</v>
      </c>
      <c r="BA341" s="1653"/>
      <c r="BB341" s="1653">
        <v>0</v>
      </c>
      <c r="BC341" s="1653">
        <v>0</v>
      </c>
      <c r="BD341" s="1653">
        <v>0</v>
      </c>
      <c r="BE341" s="1653">
        <v>0</v>
      </c>
      <c r="BF341" s="1653">
        <v>0</v>
      </c>
      <c r="BG341" s="1653">
        <v>3.3804737128266193</v>
      </c>
      <c r="BH341" s="1653">
        <v>0</v>
      </c>
      <c r="BI341" s="1653">
        <v>3.89</v>
      </c>
      <c r="BJ341" s="1653">
        <v>17.989999999999998</v>
      </c>
      <c r="BK341" s="1653">
        <v>125.57</v>
      </c>
      <c r="BL341" s="1653">
        <v>7</v>
      </c>
      <c r="BM341" s="1653"/>
      <c r="BN341" s="1653"/>
      <c r="BO341" s="1653"/>
      <c r="BP341" s="1653"/>
      <c r="BQ341" s="1653"/>
      <c r="BR341" s="1653"/>
      <c r="BS341" s="1653"/>
      <c r="BT341" s="1653">
        <v>50.324440000000024</v>
      </c>
      <c r="BU341" s="1653"/>
      <c r="BV341" s="1653">
        <v>254.94685336770408</v>
      </c>
      <c r="BW341" s="1653"/>
      <c r="BX341" s="1653"/>
      <c r="BY341" s="1653"/>
      <c r="BZ341" s="1653"/>
      <c r="CA341" s="1653"/>
      <c r="CB341" s="1653"/>
      <c r="CC341" s="1653"/>
      <c r="CD341" s="1653"/>
      <c r="CE341" s="1653"/>
      <c r="CF341" s="1653"/>
      <c r="CG341" s="1653"/>
      <c r="CH341" s="1653"/>
      <c r="CI341" s="1653">
        <v>453.46800000000002</v>
      </c>
      <c r="CJ341" s="1653">
        <v>-11.934410000000014</v>
      </c>
      <c r="CK341" s="1653"/>
      <c r="CL341" s="1653"/>
      <c r="CM341" s="1653"/>
      <c r="CN341" s="1653"/>
      <c r="CO341" s="1653">
        <v>-25.72281000000001</v>
      </c>
      <c r="CP341" s="1653">
        <v>11.947000000000001</v>
      </c>
      <c r="CQ341" s="1653">
        <v>30</v>
      </c>
      <c r="CR341" s="1653">
        <v>15.162710516159279</v>
      </c>
      <c r="CS341" s="1653">
        <v>0</v>
      </c>
      <c r="CT341" s="1653">
        <v>0</v>
      </c>
      <c r="CU341" s="1653">
        <v>0</v>
      </c>
      <c r="CV341" s="1653">
        <v>0</v>
      </c>
      <c r="CW341" s="1653">
        <v>0</v>
      </c>
      <c r="CX341" s="1653">
        <v>0</v>
      </c>
      <c r="CY341" s="1653">
        <v>0</v>
      </c>
      <c r="CZ341" s="1653">
        <v>2.711950867904207</v>
      </c>
      <c r="DA341" s="1653">
        <v>0</v>
      </c>
      <c r="DB341" s="1653">
        <v>0</v>
      </c>
      <c r="DC341" s="1653">
        <v>13.551810551142268</v>
      </c>
      <c r="DD341" s="1653">
        <v>0</v>
      </c>
      <c r="DE341" s="1653">
        <v>0</v>
      </c>
      <c r="DF341" s="1653">
        <v>0</v>
      </c>
      <c r="DG341" s="1653">
        <v>0.18210517395922698</v>
      </c>
      <c r="DH341" s="1653">
        <v>0</v>
      </c>
      <c r="DI341" s="1653">
        <v>0</v>
      </c>
      <c r="DJ341" s="1653"/>
      <c r="DK341" s="1653">
        <v>0</v>
      </c>
      <c r="DL341" s="1653">
        <v>0</v>
      </c>
      <c r="DM341" s="1653">
        <v>0</v>
      </c>
      <c r="DN341" s="1653">
        <v>0</v>
      </c>
      <c r="DO341" s="1653">
        <v>0</v>
      </c>
      <c r="DP341" s="1653">
        <v>-6.458190838298794E-2</v>
      </c>
      <c r="DQ341" s="1653">
        <v>0</v>
      </c>
      <c r="DR341" s="1653">
        <v>-1.2185741684634885</v>
      </c>
      <c r="DS341" s="1653"/>
      <c r="DT341" s="1653"/>
      <c r="DU341" s="1653"/>
      <c r="DV341" s="1653">
        <v>182.03477748811252</v>
      </c>
      <c r="DW341" s="1653">
        <v>0</v>
      </c>
      <c r="DX341" s="1653">
        <v>0</v>
      </c>
      <c r="DY341" s="1653">
        <v>-25.72281000000001</v>
      </c>
      <c r="DZ341" s="1653">
        <v>11.947000000000003</v>
      </c>
      <c r="EA341" s="1653">
        <v>0</v>
      </c>
      <c r="EB341" s="1653">
        <v>0</v>
      </c>
      <c r="EC341" s="1653">
        <v>-28.934970658100639</v>
      </c>
      <c r="ED341" s="1653">
        <v>0</v>
      </c>
      <c r="EE341" s="1653">
        <v>0</v>
      </c>
      <c r="EF341" s="1653">
        <v>0</v>
      </c>
      <c r="EG341" s="1653">
        <v>0</v>
      </c>
      <c r="EH341" s="1653">
        <v>0</v>
      </c>
      <c r="EI341" s="1653">
        <v>0</v>
      </c>
      <c r="EJ341" s="1653">
        <v>0</v>
      </c>
      <c r="EK341" s="1653">
        <v>0</v>
      </c>
      <c r="EL341" s="1653">
        <v>0</v>
      </c>
      <c r="EM341" s="1653">
        <v>0</v>
      </c>
      <c r="EN341" s="1653">
        <v>0</v>
      </c>
      <c r="EO341" s="1653">
        <v>0</v>
      </c>
      <c r="EP341" s="1653">
        <v>0</v>
      </c>
      <c r="EQ341" s="1653">
        <v>0</v>
      </c>
      <c r="ER341" s="1653">
        <v>0</v>
      </c>
      <c r="ES341" s="1653">
        <v>0</v>
      </c>
      <c r="ET341" s="1653">
        <v>0</v>
      </c>
      <c r="EU341" s="1653">
        <v>0</v>
      </c>
      <c r="EV341" s="1653">
        <v>210</v>
      </c>
      <c r="EW341" s="1653">
        <v>0</v>
      </c>
      <c r="EX341" s="1653">
        <v>0</v>
      </c>
      <c r="EY341" s="1653">
        <v>0</v>
      </c>
      <c r="EZ341" s="1653"/>
      <c r="FA341" s="1653">
        <v>0</v>
      </c>
      <c r="FB341" s="1653"/>
      <c r="FC341" s="1653"/>
      <c r="FD341" s="1653"/>
      <c r="FE341" s="1653"/>
      <c r="FF341" s="1653">
        <v>0</v>
      </c>
      <c r="FG341" s="1653">
        <v>0</v>
      </c>
      <c r="FH341" s="1653">
        <v>0</v>
      </c>
      <c r="FI341" s="1653">
        <v>0</v>
      </c>
    </row>
    <row r="342" spans="1:165">
      <c r="A342" s="1653">
        <v>340</v>
      </c>
      <c r="B342" s="1653" t="s">
        <v>2260</v>
      </c>
      <c r="C342" s="1653" t="s">
        <v>2241</v>
      </c>
      <c r="D342" s="1653" t="s">
        <v>1989</v>
      </c>
      <c r="E342" s="1653" t="s">
        <v>968</v>
      </c>
      <c r="F342" s="1653" t="s">
        <v>2258</v>
      </c>
      <c r="G342" s="1653" t="s">
        <v>1323</v>
      </c>
      <c r="H342" s="1653" t="s">
        <v>1323</v>
      </c>
      <c r="I342" s="1653" t="s">
        <v>1323</v>
      </c>
      <c r="J342" s="1653" t="s">
        <v>2242</v>
      </c>
      <c r="K342" s="1654">
        <v>44652</v>
      </c>
      <c r="L342" s="1653">
        <v>0</v>
      </c>
      <c r="M342" s="1653">
        <v>0</v>
      </c>
      <c r="N342" s="1653">
        <v>0.105</v>
      </c>
      <c r="O342" s="1653">
        <v>0.105</v>
      </c>
      <c r="P342" s="1653">
        <v>0.105</v>
      </c>
      <c r="Q342" s="1653">
        <v>0.105</v>
      </c>
      <c r="R342" s="1653"/>
      <c r="S342" s="1653">
        <v>288.91000000000003</v>
      </c>
      <c r="T342" s="1653">
        <v>273.74</v>
      </c>
      <c r="U342" s="1653"/>
      <c r="V342" s="1653">
        <v>59.078249999999997</v>
      </c>
      <c r="W342" s="1653">
        <v>59.078249999999997</v>
      </c>
      <c r="X342" s="1653">
        <v>57.504300000000001</v>
      </c>
      <c r="Y342" s="1653">
        <v>0</v>
      </c>
      <c r="Z342" s="1653">
        <v>0</v>
      </c>
      <c r="AA342" s="1653">
        <v>0</v>
      </c>
      <c r="AB342" s="1653">
        <v>0</v>
      </c>
      <c r="AC342" s="1653">
        <v>0</v>
      </c>
      <c r="AD342" s="1653">
        <v>9.0392943583522545</v>
      </c>
      <c r="AE342" s="1653">
        <v>20.798315164583038</v>
      </c>
      <c r="AF342" s="1653">
        <v>28.742622267423432</v>
      </c>
      <c r="AG342" s="1653">
        <v>0</v>
      </c>
      <c r="AH342" s="1653">
        <v>0</v>
      </c>
      <c r="AI342" s="1653">
        <v>0</v>
      </c>
      <c r="AJ342" s="1653">
        <v>0</v>
      </c>
      <c r="AK342" s="1653">
        <v>0</v>
      </c>
      <c r="AL342" s="1653">
        <v>0</v>
      </c>
      <c r="AM342" s="1653"/>
      <c r="AN342" s="1653">
        <v>0.11183459397187349</v>
      </c>
      <c r="AO342" s="1653">
        <v>0</v>
      </c>
      <c r="AP342" s="1653">
        <v>0</v>
      </c>
      <c r="AQ342" s="1653">
        <v>0</v>
      </c>
      <c r="AR342" s="1653">
        <v>0</v>
      </c>
      <c r="AS342" s="1653">
        <v>0</v>
      </c>
      <c r="AT342" s="1653">
        <v>0</v>
      </c>
      <c r="AU342" s="1653">
        <v>0</v>
      </c>
      <c r="AV342" s="1653">
        <v>0</v>
      </c>
      <c r="AW342" s="1653">
        <v>0</v>
      </c>
      <c r="AX342" s="1653">
        <v>0</v>
      </c>
      <c r="AY342" s="1653">
        <v>0</v>
      </c>
      <c r="AZ342" s="1653">
        <v>0</v>
      </c>
      <c r="BA342" s="1653"/>
      <c r="BB342" s="1653">
        <v>0</v>
      </c>
      <c r="BC342" s="1653">
        <v>0</v>
      </c>
      <c r="BD342" s="1653">
        <v>0</v>
      </c>
      <c r="BE342" s="1653">
        <v>0</v>
      </c>
      <c r="BF342" s="1653">
        <v>0</v>
      </c>
      <c r="BG342" s="1653">
        <v>0.3862347550019532</v>
      </c>
      <c r="BH342" s="1653">
        <v>0</v>
      </c>
      <c r="BI342" s="1653">
        <v>0.51</v>
      </c>
      <c r="BJ342" s="1653">
        <v>2.42</v>
      </c>
      <c r="BK342" s="1653">
        <v>20.12</v>
      </c>
      <c r="BL342" s="1653">
        <v>3</v>
      </c>
      <c r="BM342" s="1653"/>
      <c r="BN342" s="1653"/>
      <c r="BO342" s="1653"/>
      <c r="BP342" s="1653"/>
      <c r="BQ342" s="1653"/>
      <c r="BR342" s="1653"/>
      <c r="BS342" s="1653"/>
      <c r="BT342" s="1653"/>
      <c r="BU342" s="1653"/>
      <c r="BV342" s="1653">
        <v>29.128857022425386</v>
      </c>
      <c r="BW342" s="1653"/>
      <c r="BX342" s="1653"/>
      <c r="BY342" s="1653"/>
      <c r="BZ342" s="1653"/>
      <c r="CA342" s="1653"/>
      <c r="CB342" s="1653"/>
      <c r="CC342" s="1653"/>
      <c r="CD342" s="1653"/>
      <c r="CE342" s="1653"/>
      <c r="CF342" s="1653"/>
      <c r="CG342" s="1653"/>
      <c r="CH342" s="1653"/>
      <c r="CI342" s="1653">
        <v>60.242600000000003</v>
      </c>
      <c r="CJ342" s="1653">
        <v>1.1343499999999977</v>
      </c>
      <c r="CK342" s="1653"/>
      <c r="CL342" s="1653"/>
      <c r="CM342" s="1653"/>
      <c r="CN342" s="1653"/>
      <c r="CO342" s="1653">
        <v>-2.9389500000000011</v>
      </c>
      <c r="CP342" s="1653">
        <v>1.365</v>
      </c>
      <c r="CQ342" s="1653">
        <v>30</v>
      </c>
      <c r="CR342" s="1653">
        <v>1.7324097978201465</v>
      </c>
      <c r="CS342" s="1653">
        <v>0</v>
      </c>
      <c r="CT342" s="1653">
        <v>0</v>
      </c>
      <c r="CU342" s="1653">
        <v>0</v>
      </c>
      <c r="CV342" s="1653">
        <v>0</v>
      </c>
      <c r="CW342" s="1653">
        <v>0</v>
      </c>
      <c r="CX342" s="1653">
        <v>0</v>
      </c>
      <c r="CY342" s="1653">
        <v>0</v>
      </c>
      <c r="CZ342" s="1653">
        <v>0.30985292832420264</v>
      </c>
      <c r="DA342" s="1653">
        <v>0</v>
      </c>
      <c r="DB342" s="1653">
        <v>0</v>
      </c>
      <c r="DC342" s="1653">
        <v>1.5483570270619502</v>
      </c>
      <c r="DD342" s="1653">
        <v>0</v>
      </c>
      <c r="DE342" s="1653">
        <v>0</v>
      </c>
      <c r="DF342" s="1653">
        <v>0</v>
      </c>
      <c r="DG342" s="1653">
        <v>2.0806358286962812E-2</v>
      </c>
      <c r="DH342" s="1653">
        <v>0</v>
      </c>
      <c r="DI342" s="1653">
        <v>0</v>
      </c>
      <c r="DJ342" s="1653"/>
      <c r="DK342" s="1653">
        <v>0</v>
      </c>
      <c r="DL342" s="1653">
        <v>0</v>
      </c>
      <c r="DM342" s="1653">
        <v>0</v>
      </c>
      <c r="DN342" s="1653">
        <v>0</v>
      </c>
      <c r="DO342" s="1653">
        <v>0</v>
      </c>
      <c r="DP342" s="1653">
        <v>-7.378781697729847E-3</v>
      </c>
      <c r="DQ342" s="1653">
        <v>0</v>
      </c>
      <c r="DR342" s="1653">
        <v>-0.13922773415524081</v>
      </c>
      <c r="DS342" s="1653"/>
      <c r="DT342" s="1653"/>
      <c r="DU342" s="1653"/>
      <c r="DV342" s="1653">
        <v>20.798315164583038</v>
      </c>
      <c r="DW342" s="1653">
        <v>0</v>
      </c>
      <c r="DX342" s="1653">
        <v>0</v>
      </c>
      <c r="DY342" s="1653">
        <v>-2.9389500000000019</v>
      </c>
      <c r="DZ342" s="1653">
        <v>1.365000000000002</v>
      </c>
      <c r="EA342" s="1653">
        <v>0</v>
      </c>
      <c r="EB342" s="1653">
        <v>0</v>
      </c>
      <c r="EC342" s="1653">
        <v>-3.3059542101203085</v>
      </c>
      <c r="ED342" s="1653">
        <v>0</v>
      </c>
      <c r="EE342" s="1653">
        <v>0</v>
      </c>
      <c r="EF342" s="1653">
        <v>0</v>
      </c>
      <c r="EG342" s="1653">
        <v>0</v>
      </c>
      <c r="EH342" s="1653">
        <v>0</v>
      </c>
      <c r="EI342" s="1653">
        <v>0</v>
      </c>
      <c r="EJ342" s="1653">
        <v>0</v>
      </c>
      <c r="EK342" s="1653">
        <v>0</v>
      </c>
      <c r="EL342" s="1653">
        <v>0</v>
      </c>
      <c r="EM342" s="1653">
        <v>0</v>
      </c>
      <c r="EN342" s="1653">
        <v>0</v>
      </c>
      <c r="EO342" s="1653">
        <v>0</v>
      </c>
      <c r="EP342" s="1653">
        <v>0</v>
      </c>
      <c r="EQ342" s="1653">
        <v>0</v>
      </c>
      <c r="ER342" s="1653">
        <v>0</v>
      </c>
      <c r="ES342" s="1653">
        <v>0</v>
      </c>
      <c r="ET342" s="1653">
        <v>0</v>
      </c>
      <c r="EU342" s="1653">
        <v>0</v>
      </c>
      <c r="EV342" s="1653">
        <v>210</v>
      </c>
      <c r="EW342" s="1653">
        <v>0</v>
      </c>
      <c r="EX342" s="1653">
        <v>0</v>
      </c>
      <c r="EY342" s="1653">
        <v>0</v>
      </c>
      <c r="EZ342" s="1653"/>
      <c r="FA342" s="1653">
        <v>0</v>
      </c>
      <c r="FB342" s="1653"/>
      <c r="FC342" s="1653"/>
      <c r="FD342" s="1653"/>
      <c r="FE342" s="1653"/>
      <c r="FF342" s="1653">
        <v>0</v>
      </c>
      <c r="FG342" s="1653">
        <v>0</v>
      </c>
      <c r="FH342" s="1653">
        <v>0</v>
      </c>
      <c r="FI342" s="1653">
        <v>0</v>
      </c>
    </row>
    <row r="343" spans="1:165">
      <c r="A343" s="1653">
        <v>341</v>
      </c>
      <c r="B343" s="1653" t="s">
        <v>2260</v>
      </c>
      <c r="C343" s="1653" t="s">
        <v>2241</v>
      </c>
      <c r="D343" s="1653" t="s">
        <v>1992</v>
      </c>
      <c r="E343" s="1653" t="s">
        <v>969</v>
      </c>
      <c r="F343" s="1653" t="s">
        <v>1323</v>
      </c>
      <c r="G343" s="1653" t="s">
        <v>1323</v>
      </c>
      <c r="H343" s="1653" t="s">
        <v>1323</v>
      </c>
      <c r="I343" s="1653" t="s">
        <v>1323</v>
      </c>
      <c r="J343" s="1653" t="s">
        <v>2242</v>
      </c>
      <c r="K343" s="1654">
        <v>44652</v>
      </c>
      <c r="L343" s="1653">
        <v>0</v>
      </c>
      <c r="M343" s="1653">
        <v>0</v>
      </c>
      <c r="N343" s="1653">
        <v>30.919</v>
      </c>
      <c r="O343" s="1653">
        <v>30.919</v>
      </c>
      <c r="P343" s="1653">
        <v>30.919</v>
      </c>
      <c r="Q343" s="1653">
        <v>30.919</v>
      </c>
      <c r="R343" s="1653"/>
      <c r="S343" s="1653">
        <v>358.62</v>
      </c>
      <c r="T343" s="1653">
        <v>273.74</v>
      </c>
      <c r="U343" s="1653"/>
      <c r="V343" s="1653">
        <v>19551.938840000003</v>
      </c>
      <c r="W343" s="1653">
        <v>19551.938840000003</v>
      </c>
      <c r="X343" s="1653">
        <v>18957.675660000001</v>
      </c>
      <c r="Y343" s="1653">
        <v>0</v>
      </c>
      <c r="Z343" s="1653">
        <v>1866.7164504774173</v>
      </c>
      <c r="AA343" s="1653">
        <v>0</v>
      </c>
      <c r="AB343" s="1653">
        <v>0</v>
      </c>
      <c r="AC343" s="1653">
        <v>0</v>
      </c>
      <c r="AD343" s="1653">
        <v>2661.7708787227939</v>
      </c>
      <c r="AE343" s="1653">
        <v>6124.4105387975524</v>
      </c>
      <c r="AF343" s="1653">
        <v>8463.7441703472869</v>
      </c>
      <c r="AG343" s="1653">
        <v>0</v>
      </c>
      <c r="AH343" s="1653">
        <v>0</v>
      </c>
      <c r="AI343" s="1653">
        <v>0</v>
      </c>
      <c r="AJ343" s="1653">
        <v>0</v>
      </c>
      <c r="AK343" s="1653">
        <v>0</v>
      </c>
      <c r="AL343" s="1653">
        <v>288.67675362732422</v>
      </c>
      <c r="AM343" s="1653"/>
      <c r="AN343" s="1653">
        <v>32.931560104917679</v>
      </c>
      <c r="AO343" s="1653">
        <v>0</v>
      </c>
      <c r="AP343" s="1653">
        <v>0</v>
      </c>
      <c r="AQ343" s="1653">
        <v>0</v>
      </c>
      <c r="AR343" s="1653">
        <v>0</v>
      </c>
      <c r="AS343" s="1653">
        <v>0</v>
      </c>
      <c r="AT343" s="1653">
        <v>0</v>
      </c>
      <c r="AU343" s="1653">
        <v>0</v>
      </c>
      <c r="AV343" s="1653">
        <v>0</v>
      </c>
      <c r="AW343" s="1653">
        <v>0</v>
      </c>
      <c r="AX343" s="1653">
        <v>0</v>
      </c>
      <c r="AY343" s="1653">
        <v>0</v>
      </c>
      <c r="AZ343" s="1653">
        <v>0</v>
      </c>
      <c r="BA343" s="1653"/>
      <c r="BB343" s="1653">
        <v>0</v>
      </c>
      <c r="BC343" s="1653">
        <v>0</v>
      </c>
      <c r="BD343" s="1653">
        <v>0</v>
      </c>
      <c r="BE343" s="1653">
        <v>0</v>
      </c>
      <c r="BF343" s="1653">
        <v>0</v>
      </c>
      <c r="BG343" s="1653">
        <v>113.73326085624183</v>
      </c>
      <c r="BH343" s="1653">
        <v>0</v>
      </c>
      <c r="BI343" s="1653">
        <v>193.62</v>
      </c>
      <c r="BJ343" s="1653">
        <v>894.01</v>
      </c>
      <c r="BK343" s="1653">
        <v>5363.89</v>
      </c>
      <c r="BL343" s="1653">
        <v>12</v>
      </c>
      <c r="BM343" s="1653"/>
      <c r="BN343" s="1653"/>
      <c r="BO343" s="1653"/>
      <c r="BP343" s="1653"/>
      <c r="BQ343" s="1653"/>
      <c r="BR343" s="1653"/>
      <c r="BS343" s="1653"/>
      <c r="BT343" s="1653"/>
      <c r="BU343" s="1653"/>
      <c r="BV343" s="1653">
        <v>8577.4774312035279</v>
      </c>
      <c r="BW343" s="1653"/>
      <c r="BX343" s="1653"/>
      <c r="BY343" s="1653"/>
      <c r="BZ343" s="1653"/>
      <c r="CA343" s="1653"/>
      <c r="CB343" s="1653"/>
      <c r="CC343" s="1653"/>
      <c r="CD343" s="1653"/>
      <c r="CE343" s="1653"/>
      <c r="CF343" s="1653"/>
      <c r="CG343" s="1653"/>
      <c r="CH343" s="1653"/>
      <c r="CI343" s="1653">
        <v>18958.288800000002</v>
      </c>
      <c r="CJ343" s="1653">
        <v>-593.68003999999564</v>
      </c>
      <c r="CK343" s="1653"/>
      <c r="CL343" s="1653"/>
      <c r="CM343" s="1653"/>
      <c r="CN343" s="1653"/>
      <c r="CO343" s="1653">
        <v>-996.21018000000083</v>
      </c>
      <c r="CP343" s="1653">
        <v>401.947</v>
      </c>
      <c r="CQ343" s="1653">
        <v>30</v>
      </c>
      <c r="CR343" s="1653">
        <v>379.12507493549856</v>
      </c>
      <c r="CS343" s="1653">
        <v>0</v>
      </c>
      <c r="CT343" s="1653">
        <v>0</v>
      </c>
      <c r="CU343" s="1653">
        <v>0</v>
      </c>
      <c r="CV343" s="1653">
        <v>0</v>
      </c>
      <c r="CW343" s="1653">
        <v>0</v>
      </c>
      <c r="CX343" s="1653">
        <v>0</v>
      </c>
      <c r="CY343" s="1653">
        <v>0</v>
      </c>
      <c r="CZ343" s="1653">
        <v>91.241358960533489</v>
      </c>
      <c r="DA343" s="1653">
        <v>0</v>
      </c>
      <c r="DB343" s="1653">
        <v>0</v>
      </c>
      <c r="DC343" s="1653">
        <v>455.93953256884379</v>
      </c>
      <c r="DD343" s="1653">
        <v>0</v>
      </c>
      <c r="DE343" s="1653">
        <v>0</v>
      </c>
      <c r="DF343" s="1653">
        <v>0</v>
      </c>
      <c r="DG343" s="1653">
        <v>6.1267789702343123</v>
      </c>
      <c r="DH343" s="1653">
        <v>0</v>
      </c>
      <c r="DI343" s="1653">
        <v>-118.98688684436047</v>
      </c>
      <c r="DJ343" s="1653"/>
      <c r="DK343" s="1653">
        <v>0</v>
      </c>
      <c r="DL343" s="1653">
        <v>0</v>
      </c>
      <c r="DM343" s="1653">
        <v>0</v>
      </c>
      <c r="DN343" s="1653">
        <v>0</v>
      </c>
      <c r="DO343" s="1653">
        <v>-15.135841133263682</v>
      </c>
      <c r="DP343" s="1653">
        <v>-2.1728052505915123</v>
      </c>
      <c r="DQ343" s="1653">
        <v>0</v>
      </c>
      <c r="DR343" s="1653">
        <v>-37.887062335898108</v>
      </c>
      <c r="DS343" s="1653"/>
      <c r="DT343" s="1653"/>
      <c r="DU343" s="1653"/>
      <c r="DV343" s="1653">
        <v>6124.4105387975524</v>
      </c>
      <c r="DW343" s="1653">
        <v>0</v>
      </c>
      <c r="DX343" s="1653">
        <v>0</v>
      </c>
      <c r="DY343" s="1653">
        <v>-996.21018000000186</v>
      </c>
      <c r="DZ343" s="1653">
        <v>401.94700000000012</v>
      </c>
      <c r="EA343" s="1653">
        <v>0</v>
      </c>
      <c r="EB343" s="1653">
        <v>0</v>
      </c>
      <c r="EC343" s="1653">
        <v>-973.49331640676064</v>
      </c>
      <c r="ED343" s="1653">
        <v>0</v>
      </c>
      <c r="EE343" s="1653">
        <v>0</v>
      </c>
      <c r="EF343" s="1653">
        <v>0</v>
      </c>
      <c r="EG343" s="1653">
        <v>0</v>
      </c>
      <c r="EH343" s="1653">
        <v>0</v>
      </c>
      <c r="EI343" s="1653">
        <v>0</v>
      </c>
      <c r="EJ343" s="1653">
        <v>0</v>
      </c>
      <c r="EK343" s="1653">
        <v>0</v>
      </c>
      <c r="EL343" s="1653">
        <v>0</v>
      </c>
      <c r="EM343" s="1653">
        <v>0</v>
      </c>
      <c r="EN343" s="1653">
        <v>0</v>
      </c>
      <c r="EO343" s="1653">
        <v>0</v>
      </c>
      <c r="EP343" s="1653">
        <v>0</v>
      </c>
      <c r="EQ343" s="1653">
        <v>0</v>
      </c>
      <c r="ER343" s="1653">
        <v>0</v>
      </c>
      <c r="ES343" s="1653">
        <v>0</v>
      </c>
      <c r="ET343" s="1653">
        <v>0</v>
      </c>
      <c r="EU343" s="1653">
        <v>0</v>
      </c>
      <c r="EV343" s="1653">
        <v>210</v>
      </c>
      <c r="EW343" s="1653">
        <v>0</v>
      </c>
      <c r="EX343" s="1653">
        <v>0</v>
      </c>
      <c r="EY343" s="1653">
        <v>0</v>
      </c>
      <c r="EZ343" s="1653"/>
      <c r="FA343" s="1653">
        <v>0</v>
      </c>
      <c r="FB343" s="1653"/>
      <c r="FC343" s="1653"/>
      <c r="FD343" s="1653"/>
      <c r="FE343" s="1653"/>
      <c r="FF343" s="1653">
        <v>0</v>
      </c>
      <c r="FG343" s="1653">
        <v>0</v>
      </c>
      <c r="FH343" s="1653">
        <v>0</v>
      </c>
      <c r="FI343" s="1653">
        <v>0</v>
      </c>
    </row>
    <row r="344" spans="1:165">
      <c r="A344" s="1653">
        <v>342</v>
      </c>
      <c r="B344" s="1653" t="s">
        <v>2260</v>
      </c>
      <c r="C344" s="1653" t="s">
        <v>2241</v>
      </c>
      <c r="D344" s="1653" t="s">
        <v>1992</v>
      </c>
      <c r="E344" s="1653" t="s">
        <v>969</v>
      </c>
      <c r="F344" s="1653" t="s">
        <v>1323</v>
      </c>
      <c r="G344" s="1653" t="s">
        <v>1323</v>
      </c>
      <c r="H344" s="1653" t="s">
        <v>1323</v>
      </c>
      <c r="I344" s="1653" t="s">
        <v>1323</v>
      </c>
      <c r="J344" s="1653" t="s">
        <v>2242</v>
      </c>
      <c r="K344" s="1654">
        <v>44652</v>
      </c>
      <c r="L344" s="1653">
        <v>0</v>
      </c>
      <c r="M344" s="1653">
        <v>0</v>
      </c>
      <c r="N344" s="1653">
        <v>0.1</v>
      </c>
      <c r="O344" s="1653">
        <v>0.1</v>
      </c>
      <c r="P344" s="1653">
        <v>0.1</v>
      </c>
      <c r="Q344" s="1653">
        <v>0.1</v>
      </c>
      <c r="R344" s="1653"/>
      <c r="S344" s="1653">
        <v>358.62</v>
      </c>
      <c r="T344" s="1653">
        <v>273.74</v>
      </c>
      <c r="U344" s="1653"/>
      <c r="V344" s="1653">
        <v>63.236000000000004</v>
      </c>
      <c r="W344" s="1653">
        <v>63.236000000000004</v>
      </c>
      <c r="X344" s="1653">
        <v>61.314000000000007</v>
      </c>
      <c r="Y344" s="1653">
        <v>0</v>
      </c>
      <c r="Z344" s="1653">
        <v>6.03744121891852</v>
      </c>
      <c r="AA344" s="1653">
        <v>0</v>
      </c>
      <c r="AB344" s="1653">
        <v>0</v>
      </c>
      <c r="AC344" s="1653">
        <v>0</v>
      </c>
      <c r="AD344" s="1653">
        <v>8.6088517698592906</v>
      </c>
      <c r="AE344" s="1653">
        <v>19.807919204364801</v>
      </c>
      <c r="AF344" s="1653">
        <v>27.373925968974699</v>
      </c>
      <c r="AG344" s="1653">
        <v>0</v>
      </c>
      <c r="AH344" s="1653">
        <v>0</v>
      </c>
      <c r="AI344" s="1653">
        <v>0</v>
      </c>
      <c r="AJ344" s="1653">
        <v>0</v>
      </c>
      <c r="AK344" s="1653">
        <v>0</v>
      </c>
      <c r="AL344" s="1653">
        <v>0.93365488414025111</v>
      </c>
      <c r="AM344" s="1653"/>
      <c r="AN344" s="1653">
        <v>0.10650913711607</v>
      </c>
      <c r="AO344" s="1653">
        <v>0</v>
      </c>
      <c r="AP344" s="1653">
        <v>0</v>
      </c>
      <c r="AQ344" s="1653">
        <v>0</v>
      </c>
      <c r="AR344" s="1653">
        <v>0</v>
      </c>
      <c r="AS344" s="1653">
        <v>0</v>
      </c>
      <c r="AT344" s="1653">
        <v>0</v>
      </c>
      <c r="AU344" s="1653">
        <v>0</v>
      </c>
      <c r="AV344" s="1653">
        <v>0</v>
      </c>
      <c r="AW344" s="1653">
        <v>0</v>
      </c>
      <c r="AX344" s="1653">
        <v>0</v>
      </c>
      <c r="AY344" s="1653">
        <v>0</v>
      </c>
      <c r="AZ344" s="1653">
        <v>0</v>
      </c>
      <c r="BA344" s="1653"/>
      <c r="BB344" s="1653">
        <v>0</v>
      </c>
      <c r="BC344" s="1653">
        <v>0</v>
      </c>
      <c r="BD344" s="1653">
        <v>0</v>
      </c>
      <c r="BE344" s="1653">
        <v>0</v>
      </c>
      <c r="BF344" s="1653">
        <v>0</v>
      </c>
      <c r="BG344" s="1653">
        <v>0.36784262381138405</v>
      </c>
      <c r="BH344" s="1653">
        <v>0</v>
      </c>
      <c r="BI344" s="1653">
        <v>0.62</v>
      </c>
      <c r="BJ344" s="1653">
        <v>2.89</v>
      </c>
      <c r="BK344" s="1653">
        <v>119.51</v>
      </c>
      <c r="BL344" s="1653">
        <v>1</v>
      </c>
      <c r="BM344" s="1653"/>
      <c r="BN344" s="1653"/>
      <c r="BO344" s="1653"/>
      <c r="BP344" s="1653"/>
      <c r="BQ344" s="1653"/>
      <c r="BR344" s="1653"/>
      <c r="BS344" s="1653"/>
      <c r="BT344" s="1653"/>
      <c r="BU344" s="1653"/>
      <c r="BV344" s="1653">
        <v>27.741768592786084</v>
      </c>
      <c r="BW344" s="1653"/>
      <c r="BX344" s="1653"/>
      <c r="BY344" s="1653"/>
      <c r="BZ344" s="1653"/>
      <c r="CA344" s="1653"/>
      <c r="CB344" s="1653"/>
      <c r="CC344" s="1653"/>
      <c r="CD344" s="1653"/>
      <c r="CE344" s="1653"/>
      <c r="CF344" s="1653"/>
      <c r="CG344" s="1653"/>
      <c r="CH344" s="1653"/>
      <c r="CI344" s="1653">
        <v>61.314000000000007</v>
      </c>
      <c r="CJ344" s="1653">
        <v>-1.9519999999999911</v>
      </c>
      <c r="CK344" s="1653"/>
      <c r="CL344" s="1653"/>
      <c r="CM344" s="1653"/>
      <c r="CN344" s="1653"/>
      <c r="CO344" s="1653">
        <v>-3.2220000000000031</v>
      </c>
      <c r="CP344" s="1653">
        <v>1.3</v>
      </c>
      <c r="CQ344" s="1653">
        <v>30</v>
      </c>
      <c r="CR344" s="1653">
        <v>1.2261880233367748</v>
      </c>
      <c r="CS344" s="1653">
        <v>0</v>
      </c>
      <c r="CT344" s="1653">
        <v>0</v>
      </c>
      <c r="CU344" s="1653">
        <v>0</v>
      </c>
      <c r="CV344" s="1653">
        <v>0</v>
      </c>
      <c r="CW344" s="1653">
        <v>0</v>
      </c>
      <c r="CX344" s="1653">
        <v>0</v>
      </c>
      <c r="CY344" s="1653">
        <v>0</v>
      </c>
      <c r="CZ344" s="1653">
        <v>0.29509802697543108</v>
      </c>
      <c r="DA344" s="1653">
        <v>0</v>
      </c>
      <c r="DB344" s="1653">
        <v>0</v>
      </c>
      <c r="DC344" s="1653">
        <v>1.4746257400590004</v>
      </c>
      <c r="DD344" s="1653">
        <v>0</v>
      </c>
      <c r="DE344" s="1653">
        <v>0</v>
      </c>
      <c r="DF344" s="1653">
        <v>0</v>
      </c>
      <c r="DG344" s="1653">
        <v>1.9815579320916987E-2</v>
      </c>
      <c r="DH344" s="1653">
        <v>0</v>
      </c>
      <c r="DI344" s="1653">
        <v>-0.38483420176707028</v>
      </c>
      <c r="DJ344" s="1653"/>
      <c r="DK344" s="1653">
        <v>0</v>
      </c>
      <c r="DL344" s="1653">
        <v>0</v>
      </c>
      <c r="DM344" s="1653">
        <v>0</v>
      </c>
      <c r="DN344" s="1653">
        <v>0</v>
      </c>
      <c r="DO344" s="1653">
        <v>-4.8953203962817993E-2</v>
      </c>
      <c r="DP344" s="1653">
        <v>-7.0274111406950918E-3</v>
      </c>
      <c r="DQ344" s="1653">
        <v>0</v>
      </c>
      <c r="DR344" s="1653">
        <v>-0.12253650614799351</v>
      </c>
      <c r="DS344" s="1653"/>
      <c r="DT344" s="1653"/>
      <c r="DU344" s="1653"/>
      <c r="DV344" s="1653">
        <v>19.807919204364801</v>
      </c>
      <c r="DW344" s="1653">
        <v>0</v>
      </c>
      <c r="DX344" s="1653">
        <v>0</v>
      </c>
      <c r="DY344" s="1653">
        <v>-3.2220000000000013</v>
      </c>
      <c r="DZ344" s="1653">
        <v>1.3000000000000007</v>
      </c>
      <c r="EA344" s="1653">
        <v>0</v>
      </c>
      <c r="EB344" s="1653">
        <v>0</v>
      </c>
      <c r="EC344" s="1653">
        <v>-3.1485278191622008</v>
      </c>
      <c r="ED344" s="1653">
        <v>0</v>
      </c>
      <c r="EE344" s="1653">
        <v>0</v>
      </c>
      <c r="EF344" s="1653">
        <v>0</v>
      </c>
      <c r="EG344" s="1653">
        <v>0</v>
      </c>
      <c r="EH344" s="1653">
        <v>0</v>
      </c>
      <c r="EI344" s="1653">
        <v>0</v>
      </c>
      <c r="EJ344" s="1653">
        <v>0</v>
      </c>
      <c r="EK344" s="1653">
        <v>0</v>
      </c>
      <c r="EL344" s="1653">
        <v>0</v>
      </c>
      <c r="EM344" s="1653">
        <v>0</v>
      </c>
      <c r="EN344" s="1653">
        <v>0</v>
      </c>
      <c r="EO344" s="1653">
        <v>0</v>
      </c>
      <c r="EP344" s="1653">
        <v>0</v>
      </c>
      <c r="EQ344" s="1653">
        <v>0</v>
      </c>
      <c r="ER344" s="1653">
        <v>0</v>
      </c>
      <c r="ES344" s="1653">
        <v>0</v>
      </c>
      <c r="ET344" s="1653">
        <v>0</v>
      </c>
      <c r="EU344" s="1653">
        <v>0</v>
      </c>
      <c r="EV344" s="1653">
        <v>210</v>
      </c>
      <c r="EW344" s="1653">
        <v>0</v>
      </c>
      <c r="EX344" s="1653">
        <v>0</v>
      </c>
      <c r="EY344" s="1653">
        <v>0</v>
      </c>
      <c r="EZ344" s="1653"/>
      <c r="FA344" s="1653">
        <v>0</v>
      </c>
      <c r="FB344" s="1653"/>
      <c r="FC344" s="1653"/>
      <c r="FD344" s="1653"/>
      <c r="FE344" s="1653"/>
      <c r="FF344" s="1653">
        <v>0</v>
      </c>
      <c r="FG344" s="1653">
        <v>0</v>
      </c>
      <c r="FH344" s="1653">
        <v>0</v>
      </c>
      <c r="FI344" s="1653">
        <v>0</v>
      </c>
    </row>
    <row r="345" spans="1:165">
      <c r="A345" s="1653">
        <v>343</v>
      </c>
      <c r="B345" s="1653" t="s">
        <v>2260</v>
      </c>
      <c r="C345" s="1653" t="s">
        <v>2246</v>
      </c>
      <c r="D345" s="1653" t="s">
        <v>595</v>
      </c>
      <c r="E345" s="1653" t="s">
        <v>969</v>
      </c>
      <c r="F345" s="1653" t="s">
        <v>1323</v>
      </c>
      <c r="G345" s="1653" t="s">
        <v>1323</v>
      </c>
      <c r="H345" s="1653" t="s">
        <v>1323</v>
      </c>
      <c r="I345" s="1653" t="s">
        <v>972</v>
      </c>
      <c r="J345" s="1653" t="s">
        <v>2242</v>
      </c>
      <c r="K345" s="1654">
        <v>44652</v>
      </c>
      <c r="L345" s="1653">
        <v>0</v>
      </c>
      <c r="M345" s="1653">
        <v>0</v>
      </c>
      <c r="N345" s="1653">
        <v>10.494</v>
      </c>
      <c r="O345" s="1653">
        <v>10.494</v>
      </c>
      <c r="P345" s="1653">
        <v>10.494</v>
      </c>
      <c r="Q345" s="1653">
        <v>10.494</v>
      </c>
      <c r="R345" s="1653"/>
      <c r="S345" s="1653">
        <v>1856.88</v>
      </c>
      <c r="T345" s="1653">
        <v>273.74</v>
      </c>
      <c r="U345" s="1653"/>
      <c r="V345" s="1653">
        <v>22358.726280000003</v>
      </c>
      <c r="W345" s="1653">
        <v>22358.726280000003</v>
      </c>
      <c r="X345" s="1653">
        <v>20487.12138</v>
      </c>
      <c r="Y345" s="1653">
        <v>0</v>
      </c>
      <c r="Z345" s="1653">
        <v>551.205100916579</v>
      </c>
      <c r="AA345" s="1653">
        <v>0</v>
      </c>
      <c r="AB345" s="1653">
        <v>0</v>
      </c>
      <c r="AC345" s="1653">
        <v>0</v>
      </c>
      <c r="AD345" s="1653">
        <v>5143.024088243581</v>
      </c>
      <c r="AE345" s="1653">
        <v>13667.191680959382</v>
      </c>
      <c r="AF345" s="1653">
        <v>2872.6197911842046</v>
      </c>
      <c r="AG345" s="1653">
        <v>0</v>
      </c>
      <c r="AH345" s="1653">
        <v>0</v>
      </c>
      <c r="AI345" s="1653">
        <v>0</v>
      </c>
      <c r="AJ345" s="1653">
        <v>0</v>
      </c>
      <c r="AK345" s="1653">
        <v>0</v>
      </c>
      <c r="AL345" s="1653">
        <v>97.977743541677953</v>
      </c>
      <c r="AM345" s="1653"/>
      <c r="AN345" s="1653">
        <v>9.1097145292962747</v>
      </c>
      <c r="AO345" s="1653">
        <v>0</v>
      </c>
      <c r="AP345" s="1653">
        <v>0</v>
      </c>
      <c r="AQ345" s="1653">
        <v>0</v>
      </c>
      <c r="AR345" s="1653">
        <v>0</v>
      </c>
      <c r="AS345" s="1653">
        <v>0</v>
      </c>
      <c r="AT345" s="1653">
        <v>0</v>
      </c>
      <c r="AU345" s="1653">
        <v>0</v>
      </c>
      <c r="AV345" s="1653">
        <v>0</v>
      </c>
      <c r="AW345" s="1653">
        <v>0</v>
      </c>
      <c r="AX345" s="1653">
        <v>0</v>
      </c>
      <c r="AY345" s="1653">
        <v>0</v>
      </c>
      <c r="AZ345" s="1653">
        <v>0</v>
      </c>
      <c r="BA345" s="1653"/>
      <c r="BB345" s="1653">
        <v>0</v>
      </c>
      <c r="BC345" s="1653">
        <v>0</v>
      </c>
      <c r="BD345" s="1653">
        <v>0</v>
      </c>
      <c r="BE345" s="1653">
        <v>0</v>
      </c>
      <c r="BF345" s="1653">
        <v>0</v>
      </c>
      <c r="BG345" s="1653">
        <v>17.559881711541035</v>
      </c>
      <c r="BH345" s="1653">
        <v>0</v>
      </c>
      <c r="BI345" s="1653">
        <v>0</v>
      </c>
      <c r="BJ345" s="1653">
        <v>0</v>
      </c>
      <c r="BK345" s="1653">
        <v>0</v>
      </c>
      <c r="BL345" s="1653">
        <v>0</v>
      </c>
      <c r="BM345" s="1653"/>
      <c r="BN345" s="1653"/>
      <c r="BO345" s="1653"/>
      <c r="BP345" s="1653"/>
      <c r="BQ345" s="1653"/>
      <c r="BR345" s="1653"/>
      <c r="BS345" s="1653"/>
      <c r="BT345" s="1653"/>
      <c r="BU345" s="1653"/>
      <c r="BV345" s="1653">
        <v>2890.1796728957456</v>
      </c>
      <c r="BW345" s="1653"/>
      <c r="BX345" s="1653"/>
      <c r="BY345" s="1653"/>
      <c r="BZ345" s="1653"/>
      <c r="CA345" s="1653"/>
      <c r="CB345" s="1653"/>
      <c r="CC345" s="1653"/>
      <c r="CD345" s="1653"/>
      <c r="CE345" s="1653"/>
      <c r="CF345" s="1653"/>
      <c r="CG345" s="1653"/>
      <c r="CH345" s="1653"/>
      <c r="CI345" s="1653">
        <v>20479.312300000001</v>
      </c>
      <c r="CJ345" s="1653">
        <v>-1879.4439799999964</v>
      </c>
      <c r="CK345" s="1653"/>
      <c r="CL345" s="1653"/>
      <c r="CM345" s="1653"/>
      <c r="CN345" s="1653"/>
      <c r="CO345" s="1653">
        <v>-2008.0269000000014</v>
      </c>
      <c r="CP345" s="1653">
        <v>136.422</v>
      </c>
      <c r="CQ345" s="1653">
        <v>30</v>
      </c>
      <c r="CR345" s="1653">
        <v>300.94877254394305</v>
      </c>
      <c r="CS345" s="1653">
        <v>0</v>
      </c>
      <c r="CT345" s="1653">
        <v>0</v>
      </c>
      <c r="CU345" s="1653">
        <v>0</v>
      </c>
      <c r="CV345" s="1653">
        <v>0</v>
      </c>
      <c r="CW345" s="1653">
        <v>0</v>
      </c>
      <c r="CX345" s="1653">
        <v>0</v>
      </c>
      <c r="CY345" s="1653">
        <v>0</v>
      </c>
      <c r="CZ345" s="1653">
        <v>176.29485344856221</v>
      </c>
      <c r="DA345" s="1653">
        <v>0</v>
      </c>
      <c r="DB345" s="1653">
        <v>0</v>
      </c>
      <c r="DC345" s="1653">
        <v>154.7472251617919</v>
      </c>
      <c r="DD345" s="1653">
        <v>0</v>
      </c>
      <c r="DE345" s="1653">
        <v>0</v>
      </c>
      <c r="DF345" s="1653">
        <v>0</v>
      </c>
      <c r="DG345" s="1653">
        <v>0.94594591925108062</v>
      </c>
      <c r="DH345" s="1653">
        <v>0</v>
      </c>
      <c r="DI345" s="1653">
        <v>-35.134515986089582</v>
      </c>
      <c r="DJ345" s="1653"/>
      <c r="DK345" s="1653">
        <v>0</v>
      </c>
      <c r="DL345" s="1653">
        <v>0</v>
      </c>
      <c r="DM345" s="1653">
        <v>0</v>
      </c>
      <c r="DN345" s="1653">
        <v>0</v>
      </c>
      <c r="DO345" s="1653">
        <v>-5.1371492238581311</v>
      </c>
      <c r="DP345" s="1653">
        <v>-0.60105368520602021</v>
      </c>
      <c r="DQ345" s="1653">
        <v>0</v>
      </c>
      <c r="DR345" s="1653">
        <v>9.8334669094916194</v>
      </c>
      <c r="DS345" s="1653"/>
      <c r="DT345" s="1653"/>
      <c r="DU345" s="1653"/>
      <c r="DV345" s="1653">
        <v>13667.191680959382</v>
      </c>
      <c r="DW345" s="1653">
        <v>0</v>
      </c>
      <c r="DX345" s="1653">
        <v>0</v>
      </c>
      <c r="DY345" s="1653">
        <v>-2008.0269000000008</v>
      </c>
      <c r="DZ345" s="1653">
        <v>136.42200000000003</v>
      </c>
      <c r="EA345" s="1653">
        <v>0</v>
      </c>
      <c r="EB345" s="1653">
        <v>0</v>
      </c>
      <c r="EC345" s="1653">
        <v>-2172.44086939927</v>
      </c>
      <c r="ED345" s="1653">
        <v>0</v>
      </c>
      <c r="EE345" s="1653">
        <v>0</v>
      </c>
      <c r="EF345" s="1653">
        <v>0</v>
      </c>
      <c r="EG345" s="1653">
        <v>0</v>
      </c>
      <c r="EH345" s="1653">
        <v>0</v>
      </c>
      <c r="EI345" s="1653">
        <v>0</v>
      </c>
      <c r="EJ345" s="1653">
        <v>0</v>
      </c>
      <c r="EK345" s="1653">
        <v>0</v>
      </c>
      <c r="EL345" s="1653">
        <v>0</v>
      </c>
      <c r="EM345" s="1653">
        <v>0</v>
      </c>
      <c r="EN345" s="1653">
        <v>0</v>
      </c>
      <c r="EO345" s="1653">
        <v>0</v>
      </c>
      <c r="EP345" s="1653">
        <v>0</v>
      </c>
      <c r="EQ345" s="1653">
        <v>0</v>
      </c>
      <c r="ER345" s="1653">
        <v>0</v>
      </c>
      <c r="ES345" s="1653">
        <v>0</v>
      </c>
      <c r="ET345" s="1653">
        <v>0</v>
      </c>
      <c r="EU345" s="1653">
        <v>0</v>
      </c>
      <c r="EV345" s="1653">
        <v>210</v>
      </c>
      <c r="EW345" s="1653">
        <v>0</v>
      </c>
      <c r="EX345" s="1653">
        <v>0</v>
      </c>
      <c r="EY345" s="1653">
        <v>0</v>
      </c>
      <c r="EZ345" s="1653"/>
      <c r="FA345" s="1653">
        <v>0</v>
      </c>
      <c r="FB345" s="1653"/>
      <c r="FC345" s="1653"/>
      <c r="FD345" s="1653"/>
      <c r="FE345" s="1653"/>
      <c r="FF345" s="1653">
        <v>0</v>
      </c>
      <c r="FG345" s="1653">
        <v>0</v>
      </c>
      <c r="FH345" s="1653">
        <v>0</v>
      </c>
      <c r="FI345" s="1653">
        <v>0</v>
      </c>
    </row>
    <row r="346" spans="1:165">
      <c r="A346" s="1653">
        <v>344</v>
      </c>
      <c r="B346" s="1653" t="s">
        <v>2260</v>
      </c>
      <c r="C346" s="1653" t="s">
        <v>2246</v>
      </c>
      <c r="D346" s="1653" t="s">
        <v>595</v>
      </c>
      <c r="E346" s="1653" t="s">
        <v>969</v>
      </c>
      <c r="F346" s="1653" t="s">
        <v>1323</v>
      </c>
      <c r="G346" s="1653" t="s">
        <v>1323</v>
      </c>
      <c r="H346" s="1653" t="s">
        <v>1323</v>
      </c>
      <c r="I346" s="1653" t="s">
        <v>2234</v>
      </c>
      <c r="J346" s="1653" t="s">
        <v>2242</v>
      </c>
      <c r="K346" s="1654">
        <v>44652</v>
      </c>
      <c r="L346" s="1653">
        <v>0</v>
      </c>
      <c r="M346" s="1653">
        <v>0</v>
      </c>
      <c r="N346" s="1653">
        <v>93.561999999999998</v>
      </c>
      <c r="O346" s="1653">
        <v>93.561999999999998</v>
      </c>
      <c r="P346" s="1653">
        <v>93.561999999999998</v>
      </c>
      <c r="Q346" s="1653">
        <v>93.561999999999998</v>
      </c>
      <c r="R346" s="1653"/>
      <c r="S346" s="1653">
        <v>64.400000000000006</v>
      </c>
      <c r="T346" s="1653">
        <v>273.74</v>
      </c>
      <c r="U346" s="1653"/>
      <c r="V346" s="1653">
        <v>31637.054680000001</v>
      </c>
      <c r="W346" s="1653">
        <v>31637.054680000001</v>
      </c>
      <c r="X346" s="1653">
        <v>32506.24566</v>
      </c>
      <c r="Y346" s="1653">
        <v>0</v>
      </c>
      <c r="Z346" s="1653">
        <v>4914.4131553227526</v>
      </c>
      <c r="AA346" s="1653">
        <v>0</v>
      </c>
      <c r="AB346" s="1653">
        <v>0</v>
      </c>
      <c r="AC346" s="1653">
        <v>0</v>
      </c>
      <c r="AD346" s="1653">
        <v>0</v>
      </c>
      <c r="AE346" s="1653">
        <v>0</v>
      </c>
      <c r="AF346" s="1653">
        <v>25611.592615092104</v>
      </c>
      <c r="AG346" s="1653">
        <v>0</v>
      </c>
      <c r="AH346" s="1653">
        <v>0</v>
      </c>
      <c r="AI346" s="1653">
        <v>0</v>
      </c>
      <c r="AJ346" s="1653">
        <v>0</v>
      </c>
      <c r="AK346" s="1653">
        <v>0</v>
      </c>
      <c r="AL346" s="1653">
        <v>873.54618269930165</v>
      </c>
      <c r="AM346" s="1653"/>
      <c r="AN346" s="1653">
        <v>81.220041051078539</v>
      </c>
      <c r="AO346" s="1653">
        <v>0</v>
      </c>
      <c r="AP346" s="1653">
        <v>0</v>
      </c>
      <c r="AQ346" s="1653">
        <v>0</v>
      </c>
      <c r="AR346" s="1653">
        <v>0</v>
      </c>
      <c r="AS346" s="1653">
        <v>0</v>
      </c>
      <c r="AT346" s="1653">
        <v>0</v>
      </c>
      <c r="AU346" s="1653">
        <v>0</v>
      </c>
      <c r="AV346" s="1653">
        <v>0</v>
      </c>
      <c r="AW346" s="1653">
        <v>0</v>
      </c>
      <c r="AX346" s="1653">
        <v>0</v>
      </c>
      <c r="AY346" s="1653">
        <v>0</v>
      </c>
      <c r="AZ346" s="1653">
        <v>0</v>
      </c>
      <c r="BA346" s="1653"/>
      <c r="BB346" s="1653">
        <v>0</v>
      </c>
      <c r="BC346" s="1653">
        <v>0</v>
      </c>
      <c r="BD346" s="1653">
        <v>0</v>
      </c>
      <c r="BE346" s="1653">
        <v>0</v>
      </c>
      <c r="BF346" s="1653">
        <v>0</v>
      </c>
      <c r="BG346" s="1653">
        <v>156.55971533211383</v>
      </c>
      <c r="BH346" s="1653">
        <v>0</v>
      </c>
      <c r="BI346" s="1653">
        <v>0</v>
      </c>
      <c r="BJ346" s="1653">
        <v>0</v>
      </c>
      <c r="BK346" s="1653">
        <v>0</v>
      </c>
      <c r="BL346" s="1653">
        <v>0</v>
      </c>
      <c r="BM346" s="1653"/>
      <c r="BN346" s="1653"/>
      <c r="BO346" s="1653"/>
      <c r="BP346" s="1653"/>
      <c r="BQ346" s="1653"/>
      <c r="BR346" s="1653"/>
      <c r="BS346" s="1653"/>
      <c r="BT346" s="1653"/>
      <c r="BU346" s="1653"/>
      <c r="BV346" s="1653">
        <v>25768.152330424218</v>
      </c>
      <c r="BW346" s="1653"/>
      <c r="BX346" s="1653"/>
      <c r="BY346" s="1653"/>
      <c r="BZ346" s="1653"/>
      <c r="CA346" s="1653"/>
      <c r="CB346" s="1653"/>
      <c r="CC346" s="1653"/>
      <c r="CD346" s="1653"/>
      <c r="CE346" s="1653"/>
      <c r="CF346" s="1653"/>
      <c r="CG346" s="1653"/>
      <c r="CH346" s="1653"/>
      <c r="CI346" s="1653">
        <v>32505.550800000001</v>
      </c>
      <c r="CJ346" s="1653">
        <v>868.46612000000096</v>
      </c>
      <c r="CK346" s="1653"/>
      <c r="CL346" s="1653"/>
      <c r="CM346" s="1653"/>
      <c r="CN346" s="1653"/>
      <c r="CO346" s="1653">
        <v>-347.11502000000075</v>
      </c>
      <c r="CP346" s="1653">
        <v>1216.306</v>
      </c>
      <c r="CQ346" s="1653">
        <v>30</v>
      </c>
      <c r="CR346" s="1653">
        <v>869.33364795282614</v>
      </c>
      <c r="CS346" s="1653">
        <v>0</v>
      </c>
      <c r="CT346" s="1653">
        <v>0</v>
      </c>
      <c r="CU346" s="1653">
        <v>0</v>
      </c>
      <c r="CV346" s="1653">
        <v>0</v>
      </c>
      <c r="CW346" s="1653">
        <v>0</v>
      </c>
      <c r="CX346" s="1653">
        <v>0</v>
      </c>
      <c r="CY346" s="1653">
        <v>0</v>
      </c>
      <c r="CZ346" s="1653">
        <v>0</v>
      </c>
      <c r="DA346" s="1653">
        <v>0</v>
      </c>
      <c r="DB346" s="1653">
        <v>0</v>
      </c>
      <c r="DC346" s="1653">
        <v>1379.6893349140046</v>
      </c>
      <c r="DD346" s="1653">
        <v>0</v>
      </c>
      <c r="DE346" s="1653">
        <v>0</v>
      </c>
      <c r="DF346" s="1653">
        <v>0</v>
      </c>
      <c r="DG346" s="1653">
        <v>8.4338281014836411</v>
      </c>
      <c r="DH346" s="1653">
        <v>0</v>
      </c>
      <c r="DI346" s="1653">
        <v>-313.25096099585608</v>
      </c>
      <c r="DJ346" s="1653"/>
      <c r="DK346" s="1653">
        <v>0</v>
      </c>
      <c r="DL346" s="1653">
        <v>0</v>
      </c>
      <c r="DM346" s="1653">
        <v>0</v>
      </c>
      <c r="DN346" s="1653">
        <v>0</v>
      </c>
      <c r="DO346" s="1653">
        <v>-45.801596691691771</v>
      </c>
      <c r="DP346" s="1653">
        <v>-5.3588512383500841</v>
      </c>
      <c r="DQ346" s="1653">
        <v>0</v>
      </c>
      <c r="DR346" s="1653">
        <v>-154.37810613676621</v>
      </c>
      <c r="DS346" s="1653"/>
      <c r="DT346" s="1653"/>
      <c r="DU346" s="1653"/>
      <c r="DV346" s="1653">
        <v>0</v>
      </c>
      <c r="DW346" s="1653">
        <v>0</v>
      </c>
      <c r="DX346" s="1653">
        <v>0</v>
      </c>
      <c r="DY346" s="1653">
        <v>-347.1150200000011</v>
      </c>
      <c r="DZ346" s="1653">
        <v>1216.3060000000005</v>
      </c>
      <c r="EA346" s="1653">
        <v>0</v>
      </c>
      <c r="EB346" s="1653">
        <v>0</v>
      </c>
      <c r="EC346" s="1653">
        <v>0</v>
      </c>
      <c r="ED346" s="1653">
        <v>0</v>
      </c>
      <c r="EE346" s="1653">
        <v>0</v>
      </c>
      <c r="EF346" s="1653">
        <v>0</v>
      </c>
      <c r="EG346" s="1653">
        <v>0</v>
      </c>
      <c r="EH346" s="1653">
        <v>0</v>
      </c>
      <c r="EI346" s="1653">
        <v>0</v>
      </c>
      <c r="EJ346" s="1653">
        <v>0</v>
      </c>
      <c r="EK346" s="1653">
        <v>0</v>
      </c>
      <c r="EL346" s="1653">
        <v>0</v>
      </c>
      <c r="EM346" s="1653">
        <v>0</v>
      </c>
      <c r="EN346" s="1653">
        <v>0</v>
      </c>
      <c r="EO346" s="1653">
        <v>0</v>
      </c>
      <c r="EP346" s="1653">
        <v>0</v>
      </c>
      <c r="EQ346" s="1653">
        <v>0</v>
      </c>
      <c r="ER346" s="1653">
        <v>0</v>
      </c>
      <c r="ES346" s="1653">
        <v>0</v>
      </c>
      <c r="ET346" s="1653">
        <v>0</v>
      </c>
      <c r="EU346" s="1653">
        <v>0</v>
      </c>
      <c r="EV346" s="1653">
        <v>210</v>
      </c>
      <c r="EW346" s="1653">
        <v>0</v>
      </c>
      <c r="EX346" s="1653">
        <v>0</v>
      </c>
      <c r="EY346" s="1653">
        <v>0</v>
      </c>
      <c r="EZ346" s="1653"/>
      <c r="FA346" s="1653">
        <v>0</v>
      </c>
      <c r="FB346" s="1653"/>
      <c r="FC346" s="1653"/>
      <c r="FD346" s="1653"/>
      <c r="FE346" s="1653"/>
      <c r="FF346" s="1653">
        <v>0</v>
      </c>
      <c r="FG346" s="1653">
        <v>0</v>
      </c>
      <c r="FH346" s="1653">
        <v>0</v>
      </c>
      <c r="FI346" s="1653">
        <v>0</v>
      </c>
    </row>
    <row r="347" spans="1:165">
      <c r="A347" s="1653">
        <v>345</v>
      </c>
      <c r="B347" s="1653" t="s">
        <v>2260</v>
      </c>
      <c r="C347" s="1653" t="s">
        <v>2246</v>
      </c>
      <c r="D347" s="1653" t="s">
        <v>595</v>
      </c>
      <c r="E347" s="1653" t="s">
        <v>969</v>
      </c>
      <c r="F347" s="1653" t="s">
        <v>1323</v>
      </c>
      <c r="G347" s="1653" t="s">
        <v>1323</v>
      </c>
      <c r="H347" s="1653" t="s">
        <v>1323</v>
      </c>
      <c r="I347" s="1653" t="s">
        <v>1323</v>
      </c>
      <c r="J347" s="1653" t="s">
        <v>2242</v>
      </c>
      <c r="K347" s="1654">
        <v>44652</v>
      </c>
      <c r="L347" s="1653">
        <v>843</v>
      </c>
      <c r="M347" s="1653">
        <v>843</v>
      </c>
      <c r="N347" s="1653">
        <v>0</v>
      </c>
      <c r="O347" s="1653">
        <v>0</v>
      </c>
      <c r="P347" s="1653">
        <v>0</v>
      </c>
      <c r="Q347" s="1653">
        <v>0</v>
      </c>
      <c r="R347" s="1653">
        <v>33.6</v>
      </c>
      <c r="S347" s="1653"/>
      <c r="T347" s="1653"/>
      <c r="U347" s="1653">
        <v>28324.800000000003</v>
      </c>
      <c r="V347" s="1653"/>
      <c r="W347" s="1653">
        <v>28324.800000000003</v>
      </c>
      <c r="X347" s="1653">
        <v>26773.68</v>
      </c>
      <c r="Y347" s="1653">
        <v>0</v>
      </c>
      <c r="Z347" s="1653">
        <v>0</v>
      </c>
      <c r="AA347" s="1653">
        <v>0</v>
      </c>
      <c r="AB347" s="1653">
        <v>0</v>
      </c>
      <c r="AC347" s="1653">
        <v>0</v>
      </c>
      <c r="AD347" s="1653">
        <v>15043.769038745078</v>
      </c>
      <c r="AE347" s="1653">
        <v>13281.591460987915</v>
      </c>
      <c r="AF347" s="1653"/>
      <c r="AG347" s="1653"/>
      <c r="AH347" s="1653"/>
      <c r="AI347" s="1653">
        <v>0</v>
      </c>
      <c r="AJ347" s="1653">
        <v>0</v>
      </c>
      <c r="AK347" s="1653">
        <v>0</v>
      </c>
      <c r="AL347" s="1653">
        <v>0</v>
      </c>
      <c r="AM347" s="1653"/>
      <c r="AN347" s="1653">
        <v>0</v>
      </c>
      <c r="AO347" s="1653">
        <v>0</v>
      </c>
      <c r="AP347" s="1653">
        <v>0</v>
      </c>
      <c r="AQ347" s="1653">
        <v>0</v>
      </c>
      <c r="AR347" s="1653">
        <v>0</v>
      </c>
      <c r="AS347" s="1653"/>
      <c r="AT347" s="1653"/>
      <c r="AU347" s="1653">
        <v>0</v>
      </c>
      <c r="AV347" s="1653">
        <v>0</v>
      </c>
      <c r="AW347" s="1653">
        <v>0</v>
      </c>
      <c r="AX347" s="1653"/>
      <c r="AY347" s="1653"/>
      <c r="AZ347" s="1653">
        <v>0</v>
      </c>
      <c r="BA347" s="1653"/>
      <c r="BB347" s="1653">
        <v>0</v>
      </c>
      <c r="BC347" s="1653">
        <v>0</v>
      </c>
      <c r="BD347" s="1653">
        <v>0</v>
      </c>
      <c r="BE347" s="1653">
        <v>0</v>
      </c>
      <c r="BF347" s="1653"/>
      <c r="BG347" s="1653">
        <v>0</v>
      </c>
      <c r="BH347" s="1653">
        <v>0</v>
      </c>
      <c r="BI347" s="1653">
        <v>658.38</v>
      </c>
      <c r="BJ347" s="1653">
        <v>3038.74</v>
      </c>
      <c r="BK347" s="1653">
        <v>17587.39</v>
      </c>
      <c r="BL347" s="1653">
        <v>3</v>
      </c>
      <c r="BM347" s="1653"/>
      <c r="BN347" s="1653"/>
      <c r="BO347" s="1653"/>
      <c r="BP347" s="1653"/>
      <c r="BQ347" s="1653"/>
      <c r="BR347" s="1653"/>
      <c r="BS347" s="1653"/>
      <c r="BT347" s="1653"/>
      <c r="BU347" s="1653"/>
      <c r="BV347" s="1653">
        <v>0</v>
      </c>
      <c r="BW347" s="1653"/>
      <c r="BX347" s="1653"/>
      <c r="BY347" s="1653"/>
      <c r="BZ347" s="1653"/>
      <c r="CA347" s="1653"/>
      <c r="CB347" s="1653"/>
      <c r="CC347" s="1653"/>
      <c r="CD347" s="1653"/>
      <c r="CE347" s="1653"/>
      <c r="CF347" s="1653"/>
      <c r="CG347" s="1653"/>
      <c r="CH347" s="1653"/>
      <c r="CI347" s="1653">
        <v>26773.68</v>
      </c>
      <c r="CJ347" s="1653">
        <v>-1551.1499999999978</v>
      </c>
      <c r="CK347" s="1653"/>
      <c r="CL347" s="1653"/>
      <c r="CM347" s="1653"/>
      <c r="CN347" s="1653"/>
      <c r="CO347" s="1653">
        <v>-1551.12</v>
      </c>
      <c r="CP347" s="1653">
        <v>0</v>
      </c>
      <c r="CQ347" s="1653">
        <v>30</v>
      </c>
      <c r="CR347" s="1653">
        <v>556.55876744722991</v>
      </c>
      <c r="CS347" s="1653">
        <v>0</v>
      </c>
      <c r="CT347" s="1653">
        <v>0</v>
      </c>
      <c r="CU347" s="1653">
        <v>0</v>
      </c>
      <c r="CV347" s="1653">
        <v>0</v>
      </c>
      <c r="CW347" s="1653"/>
      <c r="CX347" s="1653"/>
      <c r="CY347" s="1653"/>
      <c r="CZ347" s="1653">
        <v>515.67696602117758</v>
      </c>
      <c r="DA347" s="1653">
        <v>0</v>
      </c>
      <c r="DB347" s="1653">
        <v>0</v>
      </c>
      <c r="DC347" s="1653"/>
      <c r="DD347" s="1653"/>
      <c r="DE347" s="1653">
        <v>0</v>
      </c>
      <c r="DF347" s="1653">
        <v>0</v>
      </c>
      <c r="DG347" s="1653">
        <v>0</v>
      </c>
      <c r="DH347" s="1653">
        <v>0</v>
      </c>
      <c r="DI347" s="1653">
        <v>0</v>
      </c>
      <c r="DJ347" s="1653"/>
      <c r="DK347" s="1653">
        <v>0</v>
      </c>
      <c r="DL347" s="1653">
        <v>0</v>
      </c>
      <c r="DM347" s="1653"/>
      <c r="DN347" s="1653">
        <v>0</v>
      </c>
      <c r="DO347" s="1653">
        <v>0</v>
      </c>
      <c r="DP347" s="1653">
        <v>0</v>
      </c>
      <c r="DQ347" s="1653">
        <v>0</v>
      </c>
      <c r="DR347" s="1653">
        <v>40.881801426052682</v>
      </c>
      <c r="DS347" s="1653"/>
      <c r="DT347" s="1653"/>
      <c r="DU347" s="1653">
        <v>13281.591460987915</v>
      </c>
      <c r="DV347" s="1653"/>
      <c r="DW347" s="1653">
        <v>0</v>
      </c>
      <c r="DX347" s="1653">
        <v>0</v>
      </c>
      <c r="DY347" s="1653">
        <v>-1551.1200000000026</v>
      </c>
      <c r="DZ347" s="1653"/>
      <c r="EA347" s="1653">
        <v>0</v>
      </c>
      <c r="EB347" s="1653"/>
      <c r="EC347" s="1653">
        <v>-2111.1485646837755</v>
      </c>
      <c r="ED347" s="1653"/>
      <c r="EE347" s="1653">
        <v>0</v>
      </c>
      <c r="EF347" s="1653">
        <v>0</v>
      </c>
      <c r="EG347" s="1653"/>
      <c r="EH347" s="1653">
        <v>0</v>
      </c>
      <c r="EI347" s="1653">
        <v>0</v>
      </c>
      <c r="EJ347" s="1653">
        <v>0</v>
      </c>
      <c r="EK347" s="1653">
        <v>0</v>
      </c>
      <c r="EL347" s="1653">
        <v>0</v>
      </c>
      <c r="EM347" s="1653"/>
      <c r="EN347" s="1653"/>
      <c r="EO347" s="1653">
        <v>0</v>
      </c>
      <c r="EP347" s="1653">
        <v>0</v>
      </c>
      <c r="EQ347" s="1653"/>
      <c r="ER347" s="1653">
        <v>0</v>
      </c>
      <c r="ES347" s="1653"/>
      <c r="ET347" s="1653">
        <v>0</v>
      </c>
      <c r="EU347" s="1653"/>
      <c r="EV347" s="1653">
        <v>210</v>
      </c>
      <c r="EW347" s="1653"/>
      <c r="EX347" s="1653"/>
      <c r="EY347" s="1653"/>
      <c r="EZ347" s="1653"/>
      <c r="FA347" s="1653">
        <v>0</v>
      </c>
      <c r="FB347" s="1653"/>
      <c r="FC347" s="1653"/>
      <c r="FD347" s="1653"/>
      <c r="FE347" s="1653"/>
      <c r="FF347" s="1653">
        <v>0</v>
      </c>
      <c r="FG347" s="1653">
        <v>0</v>
      </c>
      <c r="FH347" s="1653">
        <v>0</v>
      </c>
      <c r="FI347" s="1653">
        <v>0</v>
      </c>
    </row>
    <row r="348" spans="1:165">
      <c r="A348" s="1653">
        <v>346</v>
      </c>
      <c r="B348" s="1653" t="s">
        <v>2260</v>
      </c>
      <c r="C348" s="1653" t="s">
        <v>2241</v>
      </c>
      <c r="D348" s="1653" t="s">
        <v>1992</v>
      </c>
      <c r="E348" s="1653" t="s">
        <v>997</v>
      </c>
      <c r="F348" s="1653" t="s">
        <v>1323</v>
      </c>
      <c r="G348" s="1653" t="s">
        <v>1323</v>
      </c>
      <c r="H348" s="1653" t="s">
        <v>1323</v>
      </c>
      <c r="I348" s="1653" t="s">
        <v>1323</v>
      </c>
      <c r="J348" s="1653" t="s">
        <v>2242</v>
      </c>
      <c r="K348" s="1654">
        <v>44652</v>
      </c>
      <c r="L348" s="1653">
        <v>0</v>
      </c>
      <c r="M348" s="1653">
        <v>0</v>
      </c>
      <c r="N348" s="1653">
        <v>66.584999999999994</v>
      </c>
      <c r="O348" s="1653">
        <v>66.584999999999994</v>
      </c>
      <c r="P348" s="1653">
        <v>66.584999999999994</v>
      </c>
      <c r="Q348" s="1653">
        <v>66.584999999999994</v>
      </c>
      <c r="R348" s="1653"/>
      <c r="S348" s="1653">
        <v>358.62</v>
      </c>
      <c r="T348" s="1653">
        <v>273.74</v>
      </c>
      <c r="U348" s="1653"/>
      <c r="V348" s="1653">
        <v>42105.690599999994</v>
      </c>
      <c r="W348" s="1653">
        <v>42105.690599999994</v>
      </c>
      <c r="X348" s="1653">
        <v>40825.926899999991</v>
      </c>
      <c r="Y348" s="1653">
        <v>0</v>
      </c>
      <c r="Z348" s="1653">
        <v>4020.0302356168963</v>
      </c>
      <c r="AA348" s="1653">
        <v>0</v>
      </c>
      <c r="AB348" s="1653">
        <v>0</v>
      </c>
      <c r="AC348" s="1653">
        <v>0</v>
      </c>
      <c r="AD348" s="1653">
        <v>5732.2039509608076</v>
      </c>
      <c r="AE348" s="1653">
        <v>13189.1030022263</v>
      </c>
      <c r="AF348" s="1653">
        <v>18226.928606441801</v>
      </c>
      <c r="AG348" s="1653">
        <v>0</v>
      </c>
      <c r="AH348" s="1653">
        <v>0</v>
      </c>
      <c r="AI348" s="1653">
        <v>0</v>
      </c>
      <c r="AJ348" s="1653">
        <v>0</v>
      </c>
      <c r="AK348" s="1653">
        <v>0</v>
      </c>
      <c r="AL348" s="1653">
        <v>621.67410460478618</v>
      </c>
      <c r="AM348" s="1653"/>
      <c r="AN348" s="1653">
        <v>70.9191089487352</v>
      </c>
      <c r="AO348" s="1653">
        <v>0</v>
      </c>
      <c r="AP348" s="1653">
        <v>0</v>
      </c>
      <c r="AQ348" s="1653">
        <v>0</v>
      </c>
      <c r="AR348" s="1653">
        <v>0</v>
      </c>
      <c r="AS348" s="1653">
        <v>0</v>
      </c>
      <c r="AT348" s="1653">
        <v>0</v>
      </c>
      <c r="AU348" s="1653">
        <v>0</v>
      </c>
      <c r="AV348" s="1653">
        <v>0</v>
      </c>
      <c r="AW348" s="1653">
        <v>0</v>
      </c>
      <c r="AX348" s="1653">
        <v>0</v>
      </c>
      <c r="AY348" s="1653">
        <v>0</v>
      </c>
      <c r="AZ348" s="1653">
        <v>0</v>
      </c>
      <c r="BA348" s="1653"/>
      <c r="BB348" s="1653">
        <v>0</v>
      </c>
      <c r="BC348" s="1653">
        <v>0</v>
      </c>
      <c r="BD348" s="1653">
        <v>0</v>
      </c>
      <c r="BE348" s="1653">
        <v>0</v>
      </c>
      <c r="BF348" s="1653">
        <v>0</v>
      </c>
      <c r="BG348" s="1653">
        <v>244.92801106481002</v>
      </c>
      <c r="BH348" s="1653">
        <v>0</v>
      </c>
      <c r="BI348" s="1653">
        <v>335.24</v>
      </c>
      <c r="BJ348" s="1653">
        <v>1548.37</v>
      </c>
      <c r="BK348" s="1653">
        <v>11450.23</v>
      </c>
      <c r="BL348" s="1653">
        <v>71</v>
      </c>
      <c r="BM348" s="1653"/>
      <c r="BN348" s="1653"/>
      <c r="BO348" s="1653"/>
      <c r="BP348" s="1653"/>
      <c r="BQ348" s="1653"/>
      <c r="BR348" s="1653"/>
      <c r="BS348" s="1653"/>
      <c r="BT348" s="1653"/>
      <c r="BU348" s="1653"/>
      <c r="BV348" s="1653">
        <v>18471.856617506612</v>
      </c>
      <c r="BW348" s="1653"/>
      <c r="BX348" s="1653"/>
      <c r="BY348" s="1653"/>
      <c r="BZ348" s="1653"/>
      <c r="CA348" s="1653"/>
      <c r="CB348" s="1653"/>
      <c r="CC348" s="1653"/>
      <c r="CD348" s="1653"/>
      <c r="CE348" s="1653"/>
      <c r="CF348" s="1653"/>
      <c r="CG348" s="1653"/>
      <c r="CH348" s="1653"/>
      <c r="CI348" s="1653">
        <v>40828.992599999998</v>
      </c>
      <c r="CJ348" s="1653">
        <v>-1276.7279999999955</v>
      </c>
      <c r="CK348" s="1653"/>
      <c r="CL348" s="1653"/>
      <c r="CM348" s="1653"/>
      <c r="CN348" s="1653"/>
      <c r="CO348" s="1653">
        <v>-2145.3687000000018</v>
      </c>
      <c r="CP348" s="1653">
        <v>865.6049999999999</v>
      </c>
      <c r="CQ348" s="1653">
        <v>30</v>
      </c>
      <c r="CR348" s="1653">
        <v>816.45729533878693</v>
      </c>
      <c r="CS348" s="1653">
        <v>0</v>
      </c>
      <c r="CT348" s="1653">
        <v>0</v>
      </c>
      <c r="CU348" s="1653">
        <v>0</v>
      </c>
      <c r="CV348" s="1653">
        <v>0</v>
      </c>
      <c r="CW348" s="1653">
        <v>0</v>
      </c>
      <c r="CX348" s="1653">
        <v>0</v>
      </c>
      <c r="CY348" s="1653">
        <v>0</v>
      </c>
      <c r="CZ348" s="1653">
        <v>196.4910212615905</v>
      </c>
      <c r="DA348" s="1653">
        <v>0</v>
      </c>
      <c r="DB348" s="1653">
        <v>0</v>
      </c>
      <c r="DC348" s="1653">
        <v>981.87954901828562</v>
      </c>
      <c r="DD348" s="1653">
        <v>0</v>
      </c>
      <c r="DE348" s="1653">
        <v>0</v>
      </c>
      <c r="DF348" s="1653">
        <v>0</v>
      </c>
      <c r="DG348" s="1653">
        <v>13.194203490832564</v>
      </c>
      <c r="DH348" s="1653">
        <v>0</v>
      </c>
      <c r="DI348" s="1653">
        <v>-256.24185324660402</v>
      </c>
      <c r="DJ348" s="1653"/>
      <c r="DK348" s="1653">
        <v>0</v>
      </c>
      <c r="DL348" s="1653">
        <v>0</v>
      </c>
      <c r="DM348" s="1653">
        <v>0</v>
      </c>
      <c r="DN348" s="1653">
        <v>0</v>
      </c>
      <c r="DO348" s="1653">
        <v>-32.595490858642393</v>
      </c>
      <c r="DP348" s="1653">
        <v>-4.679201708031826</v>
      </c>
      <c r="DQ348" s="1653">
        <v>0</v>
      </c>
      <c r="DR348" s="1653">
        <v>-81.59093261864146</v>
      </c>
      <c r="DS348" s="1653"/>
      <c r="DT348" s="1653"/>
      <c r="DU348" s="1653"/>
      <c r="DV348" s="1653">
        <v>13189.1030022263</v>
      </c>
      <c r="DW348" s="1653">
        <v>0</v>
      </c>
      <c r="DX348" s="1653">
        <v>0</v>
      </c>
      <c r="DY348" s="1653">
        <v>-2145.3686999999991</v>
      </c>
      <c r="DZ348" s="1653">
        <v>865.60499999999956</v>
      </c>
      <c r="EA348" s="1653">
        <v>0</v>
      </c>
      <c r="EB348" s="1653">
        <v>0</v>
      </c>
      <c r="EC348" s="1653">
        <v>-2096.4472483891514</v>
      </c>
      <c r="ED348" s="1653">
        <v>0</v>
      </c>
      <c r="EE348" s="1653">
        <v>0</v>
      </c>
      <c r="EF348" s="1653">
        <v>0</v>
      </c>
      <c r="EG348" s="1653">
        <v>0</v>
      </c>
      <c r="EH348" s="1653">
        <v>0</v>
      </c>
      <c r="EI348" s="1653">
        <v>0</v>
      </c>
      <c r="EJ348" s="1653">
        <v>0</v>
      </c>
      <c r="EK348" s="1653">
        <v>0</v>
      </c>
      <c r="EL348" s="1653">
        <v>0</v>
      </c>
      <c r="EM348" s="1653">
        <v>0</v>
      </c>
      <c r="EN348" s="1653">
        <v>0</v>
      </c>
      <c r="EO348" s="1653">
        <v>0</v>
      </c>
      <c r="EP348" s="1653">
        <v>0</v>
      </c>
      <c r="EQ348" s="1653">
        <v>0</v>
      </c>
      <c r="ER348" s="1653">
        <v>0</v>
      </c>
      <c r="ES348" s="1653">
        <v>0</v>
      </c>
      <c r="ET348" s="1653">
        <v>0</v>
      </c>
      <c r="EU348" s="1653">
        <v>0</v>
      </c>
      <c r="EV348" s="1653">
        <v>210</v>
      </c>
      <c r="EW348" s="1653">
        <v>0</v>
      </c>
      <c r="EX348" s="1653">
        <v>0</v>
      </c>
      <c r="EY348" s="1653">
        <v>0</v>
      </c>
      <c r="EZ348" s="1653"/>
      <c r="FA348" s="1653">
        <v>0</v>
      </c>
      <c r="FB348" s="1653"/>
      <c r="FC348" s="1653"/>
      <c r="FD348" s="1653"/>
      <c r="FE348" s="1653"/>
      <c r="FF348" s="1653">
        <v>0</v>
      </c>
      <c r="FG348" s="1653">
        <v>0</v>
      </c>
      <c r="FH348" s="1653">
        <v>0</v>
      </c>
      <c r="FI348" s="1653">
        <v>0</v>
      </c>
    </row>
    <row r="349" spans="1:165">
      <c r="A349" s="1653">
        <v>347</v>
      </c>
      <c r="B349" s="1653" t="s">
        <v>2260</v>
      </c>
      <c r="C349" s="1653" t="s">
        <v>2241</v>
      </c>
      <c r="D349" s="1653" t="s">
        <v>1992</v>
      </c>
      <c r="E349" s="1653" t="s">
        <v>997</v>
      </c>
      <c r="F349" s="1653" t="s">
        <v>1323</v>
      </c>
      <c r="G349" s="1653" t="s">
        <v>1323</v>
      </c>
      <c r="H349" s="1653" t="s">
        <v>1323</v>
      </c>
      <c r="I349" s="1653" t="s">
        <v>1323</v>
      </c>
      <c r="J349" s="1653" t="s">
        <v>2242</v>
      </c>
      <c r="K349" s="1654">
        <v>44652</v>
      </c>
      <c r="L349" s="1653">
        <v>0</v>
      </c>
      <c r="M349" s="1653">
        <v>0</v>
      </c>
      <c r="N349" s="1653">
        <v>0.61299999999999999</v>
      </c>
      <c r="O349" s="1653">
        <v>0.61299999999999999</v>
      </c>
      <c r="P349" s="1653">
        <v>0.61299999999999999</v>
      </c>
      <c r="Q349" s="1653">
        <v>0.61299999999999999</v>
      </c>
      <c r="R349" s="1653"/>
      <c r="S349" s="1653">
        <v>358.62</v>
      </c>
      <c r="T349" s="1653">
        <v>273.74</v>
      </c>
      <c r="U349" s="1653"/>
      <c r="V349" s="1653">
        <v>387.63667999999996</v>
      </c>
      <c r="W349" s="1653">
        <v>387.63667999999996</v>
      </c>
      <c r="X349" s="1653">
        <v>375.85482000000002</v>
      </c>
      <c r="Y349" s="1653">
        <v>0</v>
      </c>
      <c r="Z349" s="1653">
        <v>37.009514671970528</v>
      </c>
      <c r="AA349" s="1653">
        <v>0</v>
      </c>
      <c r="AB349" s="1653">
        <v>0</v>
      </c>
      <c r="AC349" s="1653">
        <v>0</v>
      </c>
      <c r="AD349" s="1653">
        <v>52.772261349237446</v>
      </c>
      <c r="AE349" s="1653">
        <v>121.42254472275621</v>
      </c>
      <c r="AF349" s="1653">
        <v>167.8021661898149</v>
      </c>
      <c r="AG349" s="1653">
        <v>0</v>
      </c>
      <c r="AH349" s="1653">
        <v>0</v>
      </c>
      <c r="AI349" s="1653">
        <v>0</v>
      </c>
      <c r="AJ349" s="1653">
        <v>0</v>
      </c>
      <c r="AK349" s="1653">
        <v>0</v>
      </c>
      <c r="AL349" s="1653">
        <v>5.7233044397797395</v>
      </c>
      <c r="AM349" s="1653"/>
      <c r="AN349" s="1653">
        <v>0.65290101052150906</v>
      </c>
      <c r="AO349" s="1653">
        <v>0</v>
      </c>
      <c r="AP349" s="1653">
        <v>0</v>
      </c>
      <c r="AQ349" s="1653">
        <v>0</v>
      </c>
      <c r="AR349" s="1653">
        <v>0</v>
      </c>
      <c r="AS349" s="1653">
        <v>0</v>
      </c>
      <c r="AT349" s="1653">
        <v>0</v>
      </c>
      <c r="AU349" s="1653">
        <v>0</v>
      </c>
      <c r="AV349" s="1653">
        <v>0</v>
      </c>
      <c r="AW349" s="1653">
        <v>0</v>
      </c>
      <c r="AX349" s="1653">
        <v>0</v>
      </c>
      <c r="AY349" s="1653">
        <v>0</v>
      </c>
      <c r="AZ349" s="1653">
        <v>0</v>
      </c>
      <c r="BA349" s="1653"/>
      <c r="BB349" s="1653">
        <v>0</v>
      </c>
      <c r="BC349" s="1653">
        <v>0</v>
      </c>
      <c r="BD349" s="1653">
        <v>0</v>
      </c>
      <c r="BE349" s="1653">
        <v>0</v>
      </c>
      <c r="BF349" s="1653">
        <v>0</v>
      </c>
      <c r="BG349" s="1653">
        <v>2.2548752839637838</v>
      </c>
      <c r="BH349" s="1653">
        <v>0</v>
      </c>
      <c r="BI349" s="1653">
        <v>3.84</v>
      </c>
      <c r="BJ349" s="1653">
        <v>17.72</v>
      </c>
      <c r="BK349" s="1653">
        <v>241.32</v>
      </c>
      <c r="BL349" s="1653">
        <v>1</v>
      </c>
      <c r="BM349" s="1653"/>
      <c r="BN349" s="1653"/>
      <c r="BO349" s="1653"/>
      <c r="BP349" s="1653"/>
      <c r="BQ349" s="1653"/>
      <c r="BR349" s="1653"/>
      <c r="BS349" s="1653"/>
      <c r="BT349" s="1653"/>
      <c r="BU349" s="1653"/>
      <c r="BV349" s="1653">
        <v>170.05704147377867</v>
      </c>
      <c r="BW349" s="1653"/>
      <c r="BX349" s="1653"/>
      <c r="BY349" s="1653"/>
      <c r="BZ349" s="1653"/>
      <c r="CA349" s="1653"/>
      <c r="CB349" s="1653"/>
      <c r="CC349" s="1653"/>
      <c r="CD349" s="1653"/>
      <c r="CE349" s="1653"/>
      <c r="CF349" s="1653"/>
      <c r="CG349" s="1653"/>
      <c r="CH349" s="1653"/>
      <c r="CI349" s="1653">
        <v>374.0154</v>
      </c>
      <c r="CJ349" s="1653">
        <v>-13.651279999999929</v>
      </c>
      <c r="CK349" s="1653"/>
      <c r="CL349" s="1653"/>
      <c r="CM349" s="1653"/>
      <c r="CN349" s="1653"/>
      <c r="CO349" s="1653">
        <v>-19.750860000000017</v>
      </c>
      <c r="CP349" s="1653">
        <v>7.9689999999999994</v>
      </c>
      <c r="CQ349" s="1653">
        <v>30</v>
      </c>
      <c r="CR349" s="1653">
        <v>7.5165325830544703</v>
      </c>
      <c r="CS349" s="1653">
        <v>0</v>
      </c>
      <c r="CT349" s="1653">
        <v>0</v>
      </c>
      <c r="CU349" s="1653">
        <v>0</v>
      </c>
      <c r="CV349" s="1653">
        <v>0</v>
      </c>
      <c r="CW349" s="1653">
        <v>0</v>
      </c>
      <c r="CX349" s="1653">
        <v>0</v>
      </c>
      <c r="CY349" s="1653">
        <v>0</v>
      </c>
      <c r="CZ349" s="1653">
        <v>1.8089509053593886</v>
      </c>
      <c r="DA349" s="1653">
        <v>0</v>
      </c>
      <c r="DB349" s="1653">
        <v>0</v>
      </c>
      <c r="DC349" s="1653">
        <v>9.0394557865616889</v>
      </c>
      <c r="DD349" s="1653">
        <v>0</v>
      </c>
      <c r="DE349" s="1653">
        <v>0</v>
      </c>
      <c r="DF349" s="1653">
        <v>0</v>
      </c>
      <c r="DG349" s="1653">
        <v>0.12146950123722133</v>
      </c>
      <c r="DH349" s="1653">
        <v>0</v>
      </c>
      <c r="DI349" s="1653">
        <v>-2.3590336568321391</v>
      </c>
      <c r="DJ349" s="1653"/>
      <c r="DK349" s="1653">
        <v>0</v>
      </c>
      <c r="DL349" s="1653">
        <v>0</v>
      </c>
      <c r="DM349" s="1653">
        <v>0</v>
      </c>
      <c r="DN349" s="1653">
        <v>0</v>
      </c>
      <c r="DO349" s="1653">
        <v>-0.30008314029207472</v>
      </c>
      <c r="DP349" s="1653">
        <v>-4.3078030292460934E-2</v>
      </c>
      <c r="DQ349" s="1653">
        <v>0</v>
      </c>
      <c r="DR349" s="1653">
        <v>-0.7511487826872002</v>
      </c>
      <c r="DS349" s="1653"/>
      <c r="DT349" s="1653"/>
      <c r="DU349" s="1653"/>
      <c r="DV349" s="1653">
        <v>121.42254472275621</v>
      </c>
      <c r="DW349" s="1653">
        <v>0</v>
      </c>
      <c r="DX349" s="1653">
        <v>0</v>
      </c>
      <c r="DY349" s="1653">
        <v>-19.750860000000017</v>
      </c>
      <c r="DZ349" s="1653">
        <v>7.9690000000000225</v>
      </c>
      <c r="EA349" s="1653">
        <v>0</v>
      </c>
      <c r="EB349" s="1653">
        <v>0</v>
      </c>
      <c r="EC349" s="1653">
        <v>-19.300475531464286</v>
      </c>
      <c r="ED349" s="1653">
        <v>0</v>
      </c>
      <c r="EE349" s="1653">
        <v>0</v>
      </c>
      <c r="EF349" s="1653">
        <v>0</v>
      </c>
      <c r="EG349" s="1653">
        <v>0</v>
      </c>
      <c r="EH349" s="1653">
        <v>0</v>
      </c>
      <c r="EI349" s="1653">
        <v>0</v>
      </c>
      <c r="EJ349" s="1653">
        <v>0</v>
      </c>
      <c r="EK349" s="1653">
        <v>0</v>
      </c>
      <c r="EL349" s="1653">
        <v>0</v>
      </c>
      <c r="EM349" s="1653">
        <v>0</v>
      </c>
      <c r="EN349" s="1653">
        <v>0</v>
      </c>
      <c r="EO349" s="1653">
        <v>0</v>
      </c>
      <c r="EP349" s="1653">
        <v>0</v>
      </c>
      <c r="EQ349" s="1653">
        <v>0</v>
      </c>
      <c r="ER349" s="1653">
        <v>0</v>
      </c>
      <c r="ES349" s="1653">
        <v>0</v>
      </c>
      <c r="ET349" s="1653">
        <v>0</v>
      </c>
      <c r="EU349" s="1653">
        <v>0</v>
      </c>
      <c r="EV349" s="1653">
        <v>210</v>
      </c>
      <c r="EW349" s="1653">
        <v>0</v>
      </c>
      <c r="EX349" s="1653">
        <v>0</v>
      </c>
      <c r="EY349" s="1653">
        <v>0</v>
      </c>
      <c r="EZ349" s="1653"/>
      <c r="FA349" s="1653">
        <v>0</v>
      </c>
      <c r="FB349" s="1653"/>
      <c r="FC349" s="1653"/>
      <c r="FD349" s="1653"/>
      <c r="FE349" s="1653"/>
      <c r="FF349" s="1653">
        <v>0</v>
      </c>
      <c r="FG349" s="1653">
        <v>0</v>
      </c>
      <c r="FH349" s="1653">
        <v>0</v>
      </c>
      <c r="FI349" s="1653">
        <v>0</v>
      </c>
    </row>
    <row r="350" spans="1:165">
      <c r="A350" s="1653">
        <v>348</v>
      </c>
      <c r="B350" s="1653" t="s">
        <v>2260</v>
      </c>
      <c r="C350" s="1653" t="s">
        <v>2246</v>
      </c>
      <c r="D350" s="1653" t="s">
        <v>595</v>
      </c>
      <c r="E350" s="1653" t="s">
        <v>997</v>
      </c>
      <c r="F350" s="1653" t="s">
        <v>1323</v>
      </c>
      <c r="G350" s="1653" t="s">
        <v>1323</v>
      </c>
      <c r="H350" s="1653" t="s">
        <v>1323</v>
      </c>
      <c r="I350" s="1653" t="s">
        <v>972</v>
      </c>
      <c r="J350" s="1653" t="s">
        <v>2242</v>
      </c>
      <c r="K350" s="1654">
        <v>44652</v>
      </c>
      <c r="L350" s="1653">
        <v>0</v>
      </c>
      <c r="M350" s="1653">
        <v>0</v>
      </c>
      <c r="N350" s="1653">
        <v>0.26100000000000001</v>
      </c>
      <c r="O350" s="1653">
        <v>0.26100000000000001</v>
      </c>
      <c r="P350" s="1653">
        <v>0.26100000000000001</v>
      </c>
      <c r="Q350" s="1653">
        <v>0.26100000000000001</v>
      </c>
      <c r="R350" s="1653"/>
      <c r="S350" s="1653">
        <v>1856.88</v>
      </c>
      <c r="T350" s="1653">
        <v>273.74</v>
      </c>
      <c r="U350" s="1653"/>
      <c r="V350" s="1653">
        <v>556.09181999999998</v>
      </c>
      <c r="W350" s="1653">
        <v>556.09181999999998</v>
      </c>
      <c r="X350" s="1653">
        <v>509.54246999999998</v>
      </c>
      <c r="Y350" s="1653">
        <v>0</v>
      </c>
      <c r="Z350" s="1653">
        <v>13.709217775798278</v>
      </c>
      <c r="AA350" s="1653">
        <v>0</v>
      </c>
      <c r="AB350" s="1653">
        <v>0</v>
      </c>
      <c r="AC350" s="1653">
        <v>0</v>
      </c>
      <c r="AD350" s="1653">
        <v>127.91397818101531</v>
      </c>
      <c r="AE350" s="1653">
        <v>339.92157697068791</v>
      </c>
      <c r="AF350" s="1653">
        <v>71.445946779023956</v>
      </c>
      <c r="AG350" s="1653">
        <v>0</v>
      </c>
      <c r="AH350" s="1653">
        <v>0</v>
      </c>
      <c r="AI350" s="1653">
        <v>0</v>
      </c>
      <c r="AJ350" s="1653">
        <v>0</v>
      </c>
      <c r="AK350" s="1653">
        <v>0</v>
      </c>
      <c r="AL350" s="1653">
        <v>2.4368392476060556</v>
      </c>
      <c r="AM350" s="1653"/>
      <c r="AN350" s="1653">
        <v>0.22657094455368096</v>
      </c>
      <c r="AO350" s="1653">
        <v>0</v>
      </c>
      <c r="AP350" s="1653">
        <v>0</v>
      </c>
      <c r="AQ350" s="1653">
        <v>0</v>
      </c>
      <c r="AR350" s="1653">
        <v>0</v>
      </c>
      <c r="AS350" s="1653">
        <v>0</v>
      </c>
      <c r="AT350" s="1653">
        <v>0</v>
      </c>
      <c r="AU350" s="1653">
        <v>0</v>
      </c>
      <c r="AV350" s="1653">
        <v>0</v>
      </c>
      <c r="AW350" s="1653">
        <v>0</v>
      </c>
      <c r="AX350" s="1653">
        <v>0</v>
      </c>
      <c r="AY350" s="1653">
        <v>0</v>
      </c>
      <c r="AZ350" s="1653">
        <v>0</v>
      </c>
      <c r="BA350" s="1653"/>
      <c r="BB350" s="1653">
        <v>0</v>
      </c>
      <c r="BC350" s="1653">
        <v>0</v>
      </c>
      <c r="BD350" s="1653">
        <v>0</v>
      </c>
      <c r="BE350" s="1653">
        <v>0</v>
      </c>
      <c r="BF350" s="1653">
        <v>0</v>
      </c>
      <c r="BG350" s="1653">
        <v>0.43673805285994005</v>
      </c>
      <c r="BH350" s="1653">
        <v>0</v>
      </c>
      <c r="BI350" s="1653">
        <v>0</v>
      </c>
      <c r="BJ350" s="1653">
        <v>0</v>
      </c>
      <c r="BK350" s="1653">
        <v>0</v>
      </c>
      <c r="BL350" s="1653">
        <v>0</v>
      </c>
      <c r="BM350" s="1653"/>
      <c r="BN350" s="1653"/>
      <c r="BO350" s="1653"/>
      <c r="BP350" s="1653"/>
      <c r="BQ350" s="1653"/>
      <c r="BR350" s="1653"/>
      <c r="BS350" s="1653"/>
      <c r="BT350" s="1653"/>
      <c r="BU350" s="1653"/>
      <c r="BV350" s="1653">
        <v>71.882684831883893</v>
      </c>
      <c r="BW350" s="1653"/>
      <c r="BX350" s="1653"/>
      <c r="BY350" s="1653"/>
      <c r="BZ350" s="1653"/>
      <c r="CA350" s="1653"/>
      <c r="CB350" s="1653"/>
      <c r="CC350" s="1653"/>
      <c r="CD350" s="1653"/>
      <c r="CE350" s="1653"/>
      <c r="CF350" s="1653"/>
      <c r="CG350" s="1653"/>
      <c r="CH350" s="1653"/>
      <c r="CI350" s="1653">
        <v>507.59019999999998</v>
      </c>
      <c r="CJ350" s="1653">
        <v>-48.531619999999975</v>
      </c>
      <c r="CK350" s="1653"/>
      <c r="CL350" s="1653"/>
      <c r="CM350" s="1653"/>
      <c r="CN350" s="1653"/>
      <c r="CO350" s="1653">
        <v>-49.94235000000004</v>
      </c>
      <c r="CP350" s="1653">
        <v>3.3930000000000002</v>
      </c>
      <c r="CQ350" s="1653">
        <v>30</v>
      </c>
      <c r="CR350" s="1653">
        <v>7.4850037768219408</v>
      </c>
      <c r="CS350" s="1653">
        <v>0</v>
      </c>
      <c r="CT350" s="1653">
        <v>0</v>
      </c>
      <c r="CU350" s="1653">
        <v>0</v>
      </c>
      <c r="CV350" s="1653">
        <v>0</v>
      </c>
      <c r="CW350" s="1653">
        <v>0</v>
      </c>
      <c r="CX350" s="1653">
        <v>0</v>
      </c>
      <c r="CY350" s="1653">
        <v>0</v>
      </c>
      <c r="CZ350" s="1653">
        <v>4.3846918953759229</v>
      </c>
      <c r="DA350" s="1653">
        <v>0</v>
      </c>
      <c r="DB350" s="1653">
        <v>0</v>
      </c>
      <c r="DC350" s="1653">
        <v>3.8487731815540087</v>
      </c>
      <c r="DD350" s="1653">
        <v>0</v>
      </c>
      <c r="DE350" s="1653">
        <v>0</v>
      </c>
      <c r="DF350" s="1653">
        <v>0</v>
      </c>
      <c r="DG350" s="1653">
        <v>2.3526956825284051E-2</v>
      </c>
      <c r="DH350" s="1653">
        <v>0</v>
      </c>
      <c r="DI350" s="1653">
        <v>-0.87384302195248509</v>
      </c>
      <c r="DJ350" s="1653"/>
      <c r="DK350" s="1653">
        <v>0</v>
      </c>
      <c r="DL350" s="1653">
        <v>0</v>
      </c>
      <c r="DM350" s="1653">
        <v>0</v>
      </c>
      <c r="DN350" s="1653">
        <v>0</v>
      </c>
      <c r="DO350" s="1653">
        <v>-0.12776786234295523</v>
      </c>
      <c r="DP350" s="1653">
        <v>-1.4949019614901027E-2</v>
      </c>
      <c r="DQ350" s="1653">
        <v>0</v>
      </c>
      <c r="DR350" s="1653">
        <v>0.24457164697706441</v>
      </c>
      <c r="DS350" s="1653"/>
      <c r="DT350" s="1653"/>
      <c r="DU350" s="1653"/>
      <c r="DV350" s="1653">
        <v>339.92157697068791</v>
      </c>
      <c r="DW350" s="1653">
        <v>0</v>
      </c>
      <c r="DX350" s="1653">
        <v>0</v>
      </c>
      <c r="DY350" s="1653">
        <v>-49.942350000000033</v>
      </c>
      <c r="DZ350" s="1653">
        <v>3.3930000000000007</v>
      </c>
      <c r="EA350" s="1653">
        <v>0</v>
      </c>
      <c r="EB350" s="1653">
        <v>0</v>
      </c>
      <c r="EC350" s="1653">
        <v>-54.031548209758853</v>
      </c>
      <c r="ED350" s="1653">
        <v>0</v>
      </c>
      <c r="EE350" s="1653">
        <v>0</v>
      </c>
      <c r="EF350" s="1653">
        <v>0</v>
      </c>
      <c r="EG350" s="1653">
        <v>0</v>
      </c>
      <c r="EH350" s="1653">
        <v>0</v>
      </c>
      <c r="EI350" s="1653">
        <v>0</v>
      </c>
      <c r="EJ350" s="1653">
        <v>0</v>
      </c>
      <c r="EK350" s="1653">
        <v>0</v>
      </c>
      <c r="EL350" s="1653">
        <v>0</v>
      </c>
      <c r="EM350" s="1653">
        <v>0</v>
      </c>
      <c r="EN350" s="1653">
        <v>0</v>
      </c>
      <c r="EO350" s="1653">
        <v>0</v>
      </c>
      <c r="EP350" s="1653">
        <v>0</v>
      </c>
      <c r="EQ350" s="1653">
        <v>0</v>
      </c>
      <c r="ER350" s="1653">
        <v>0</v>
      </c>
      <c r="ES350" s="1653">
        <v>0</v>
      </c>
      <c r="ET350" s="1653">
        <v>0</v>
      </c>
      <c r="EU350" s="1653">
        <v>0</v>
      </c>
      <c r="EV350" s="1653">
        <v>210</v>
      </c>
      <c r="EW350" s="1653">
        <v>0</v>
      </c>
      <c r="EX350" s="1653">
        <v>0</v>
      </c>
      <c r="EY350" s="1653">
        <v>0</v>
      </c>
      <c r="EZ350" s="1653"/>
      <c r="FA350" s="1653">
        <v>0</v>
      </c>
      <c r="FB350" s="1653"/>
      <c r="FC350" s="1653"/>
      <c r="FD350" s="1653"/>
      <c r="FE350" s="1653"/>
      <c r="FF350" s="1653">
        <v>0</v>
      </c>
      <c r="FG350" s="1653">
        <v>0</v>
      </c>
      <c r="FH350" s="1653">
        <v>0</v>
      </c>
      <c r="FI350" s="1653">
        <v>0</v>
      </c>
    </row>
    <row r="351" spans="1:165">
      <c r="A351" s="1653">
        <v>349</v>
      </c>
      <c r="B351" s="1653" t="s">
        <v>2260</v>
      </c>
      <c r="C351" s="1653" t="s">
        <v>2246</v>
      </c>
      <c r="D351" s="1653" t="s">
        <v>595</v>
      </c>
      <c r="E351" s="1653" t="s">
        <v>997</v>
      </c>
      <c r="F351" s="1653" t="s">
        <v>1323</v>
      </c>
      <c r="G351" s="1653" t="s">
        <v>1323</v>
      </c>
      <c r="H351" s="1653" t="s">
        <v>1323</v>
      </c>
      <c r="I351" s="1653" t="s">
        <v>2234</v>
      </c>
      <c r="J351" s="1653" t="s">
        <v>2242</v>
      </c>
      <c r="K351" s="1654">
        <v>44652</v>
      </c>
      <c r="L351" s="1653">
        <v>0</v>
      </c>
      <c r="M351" s="1653">
        <v>0</v>
      </c>
      <c r="N351" s="1653">
        <v>18.491</v>
      </c>
      <c r="O351" s="1653">
        <v>18.491</v>
      </c>
      <c r="P351" s="1653">
        <v>18.491</v>
      </c>
      <c r="Q351" s="1653">
        <v>18.491</v>
      </c>
      <c r="R351" s="1653"/>
      <c r="S351" s="1653">
        <v>64.400000000000006</v>
      </c>
      <c r="T351" s="1653">
        <v>273.74</v>
      </c>
      <c r="U351" s="1653"/>
      <c r="V351" s="1653">
        <v>6252.5467399999998</v>
      </c>
      <c r="W351" s="1653">
        <v>6252.5467399999998</v>
      </c>
      <c r="X351" s="1653">
        <v>6424.3281299999999</v>
      </c>
      <c r="Y351" s="1653">
        <v>0</v>
      </c>
      <c r="Z351" s="1653">
        <v>971.25343253749395</v>
      </c>
      <c r="AA351" s="1653">
        <v>0</v>
      </c>
      <c r="AB351" s="1653">
        <v>0</v>
      </c>
      <c r="AC351" s="1653">
        <v>0</v>
      </c>
      <c r="AD351" s="1653">
        <v>0</v>
      </c>
      <c r="AE351" s="1653">
        <v>0</v>
      </c>
      <c r="AF351" s="1653">
        <v>5061.7126509231111</v>
      </c>
      <c r="AG351" s="1653">
        <v>0</v>
      </c>
      <c r="AH351" s="1653">
        <v>0</v>
      </c>
      <c r="AI351" s="1653">
        <v>0</v>
      </c>
      <c r="AJ351" s="1653">
        <v>0</v>
      </c>
      <c r="AK351" s="1653">
        <v>0</v>
      </c>
      <c r="AL351" s="1653">
        <v>172.64212462637383</v>
      </c>
      <c r="AM351" s="1653"/>
      <c r="AN351" s="1653">
        <v>16.051813546904654</v>
      </c>
      <c r="AO351" s="1653">
        <v>0</v>
      </c>
      <c r="AP351" s="1653">
        <v>0</v>
      </c>
      <c r="AQ351" s="1653">
        <v>0</v>
      </c>
      <c r="AR351" s="1653">
        <v>0</v>
      </c>
      <c r="AS351" s="1653">
        <v>0</v>
      </c>
      <c r="AT351" s="1653">
        <v>0</v>
      </c>
      <c r="AU351" s="1653">
        <v>0</v>
      </c>
      <c r="AV351" s="1653">
        <v>0</v>
      </c>
      <c r="AW351" s="1653">
        <v>0</v>
      </c>
      <c r="AX351" s="1653">
        <v>0</v>
      </c>
      <c r="AY351" s="1653">
        <v>0</v>
      </c>
      <c r="AZ351" s="1653">
        <v>0</v>
      </c>
      <c r="BA351" s="1653"/>
      <c r="BB351" s="1653">
        <v>0</v>
      </c>
      <c r="BC351" s="1653">
        <v>0</v>
      </c>
      <c r="BD351" s="1653">
        <v>0</v>
      </c>
      <c r="BE351" s="1653">
        <v>0</v>
      </c>
      <c r="BF351" s="1653">
        <v>0</v>
      </c>
      <c r="BG351" s="1653">
        <v>30.941468718134676</v>
      </c>
      <c r="BH351" s="1653">
        <v>0</v>
      </c>
      <c r="BI351" s="1653">
        <v>0</v>
      </c>
      <c r="BJ351" s="1653">
        <v>0</v>
      </c>
      <c r="BK351" s="1653">
        <v>0</v>
      </c>
      <c r="BL351" s="1653">
        <v>0</v>
      </c>
      <c r="BM351" s="1653"/>
      <c r="BN351" s="1653"/>
      <c r="BO351" s="1653"/>
      <c r="BP351" s="1653"/>
      <c r="BQ351" s="1653"/>
      <c r="BR351" s="1653"/>
      <c r="BS351" s="1653"/>
      <c r="BT351" s="1653"/>
      <c r="BU351" s="1653"/>
      <c r="BV351" s="1653">
        <v>5092.6541196412454</v>
      </c>
      <c r="BW351" s="1653"/>
      <c r="BX351" s="1653"/>
      <c r="BY351" s="1653"/>
      <c r="BZ351" s="1653"/>
      <c r="CA351" s="1653"/>
      <c r="CB351" s="1653"/>
      <c r="CC351" s="1653"/>
      <c r="CD351" s="1653"/>
      <c r="CE351" s="1653"/>
      <c r="CF351" s="1653"/>
      <c r="CG351" s="1653"/>
      <c r="CH351" s="1653"/>
      <c r="CI351" s="1653">
        <v>6423.9806999999992</v>
      </c>
      <c r="CJ351" s="1653">
        <v>171.40395999999873</v>
      </c>
      <c r="CK351" s="1653"/>
      <c r="CL351" s="1653"/>
      <c r="CM351" s="1653"/>
      <c r="CN351" s="1653"/>
      <c r="CO351" s="1653">
        <v>-68.60161000000015</v>
      </c>
      <c r="CP351" s="1653">
        <v>240.38299999999998</v>
      </c>
      <c r="CQ351" s="1653">
        <v>30</v>
      </c>
      <c r="CR351" s="1653">
        <v>171.80958598892448</v>
      </c>
      <c r="CS351" s="1653">
        <v>0</v>
      </c>
      <c r="CT351" s="1653">
        <v>0</v>
      </c>
      <c r="CU351" s="1653">
        <v>0</v>
      </c>
      <c r="CV351" s="1653">
        <v>0</v>
      </c>
      <c r="CW351" s="1653">
        <v>0</v>
      </c>
      <c r="CX351" s="1653">
        <v>0</v>
      </c>
      <c r="CY351" s="1653">
        <v>0</v>
      </c>
      <c r="CZ351" s="1653">
        <v>0</v>
      </c>
      <c r="DA351" s="1653">
        <v>0</v>
      </c>
      <c r="DB351" s="1653">
        <v>0</v>
      </c>
      <c r="DC351" s="1653">
        <v>272.67304559430977</v>
      </c>
      <c r="DD351" s="1653">
        <v>0</v>
      </c>
      <c r="DE351" s="1653">
        <v>0</v>
      </c>
      <c r="DF351" s="1653">
        <v>0</v>
      </c>
      <c r="DG351" s="1653">
        <v>1.6668082707139042</v>
      </c>
      <c r="DH351" s="1653">
        <v>0</v>
      </c>
      <c r="DI351" s="1653">
        <v>-61.90893225641139</v>
      </c>
      <c r="DJ351" s="1653"/>
      <c r="DK351" s="1653">
        <v>0</v>
      </c>
      <c r="DL351" s="1653">
        <v>0</v>
      </c>
      <c r="DM351" s="1653">
        <v>0</v>
      </c>
      <c r="DN351" s="1653">
        <v>0</v>
      </c>
      <c r="DO351" s="1653">
        <v>-9.0519369447646909</v>
      </c>
      <c r="DP351" s="1653">
        <v>-1.0590893551690996</v>
      </c>
      <c r="DQ351" s="1653">
        <v>0</v>
      </c>
      <c r="DR351" s="1653">
        <v>-30.510309319755283</v>
      </c>
      <c r="DS351" s="1653"/>
      <c r="DT351" s="1653"/>
      <c r="DU351" s="1653"/>
      <c r="DV351" s="1653">
        <v>0</v>
      </c>
      <c r="DW351" s="1653">
        <v>0</v>
      </c>
      <c r="DX351" s="1653">
        <v>0</v>
      </c>
      <c r="DY351" s="1653">
        <v>-68.601610000000164</v>
      </c>
      <c r="DZ351" s="1653">
        <v>240.38299999999981</v>
      </c>
      <c r="EA351" s="1653">
        <v>0</v>
      </c>
      <c r="EB351" s="1653">
        <v>0</v>
      </c>
      <c r="EC351" s="1653">
        <v>0</v>
      </c>
      <c r="ED351" s="1653">
        <v>0</v>
      </c>
      <c r="EE351" s="1653">
        <v>0</v>
      </c>
      <c r="EF351" s="1653">
        <v>0</v>
      </c>
      <c r="EG351" s="1653">
        <v>0</v>
      </c>
      <c r="EH351" s="1653">
        <v>0</v>
      </c>
      <c r="EI351" s="1653">
        <v>0</v>
      </c>
      <c r="EJ351" s="1653">
        <v>0</v>
      </c>
      <c r="EK351" s="1653">
        <v>0</v>
      </c>
      <c r="EL351" s="1653">
        <v>0</v>
      </c>
      <c r="EM351" s="1653">
        <v>0</v>
      </c>
      <c r="EN351" s="1653">
        <v>0</v>
      </c>
      <c r="EO351" s="1653">
        <v>0</v>
      </c>
      <c r="EP351" s="1653">
        <v>0</v>
      </c>
      <c r="EQ351" s="1653">
        <v>0</v>
      </c>
      <c r="ER351" s="1653">
        <v>0</v>
      </c>
      <c r="ES351" s="1653">
        <v>0</v>
      </c>
      <c r="ET351" s="1653">
        <v>0</v>
      </c>
      <c r="EU351" s="1653">
        <v>0</v>
      </c>
      <c r="EV351" s="1653">
        <v>210</v>
      </c>
      <c r="EW351" s="1653">
        <v>0</v>
      </c>
      <c r="EX351" s="1653">
        <v>0</v>
      </c>
      <c r="EY351" s="1653">
        <v>0</v>
      </c>
      <c r="EZ351" s="1653"/>
      <c r="FA351" s="1653">
        <v>0</v>
      </c>
      <c r="FB351" s="1653"/>
      <c r="FC351" s="1653"/>
      <c r="FD351" s="1653"/>
      <c r="FE351" s="1653"/>
      <c r="FF351" s="1653">
        <v>0</v>
      </c>
      <c r="FG351" s="1653">
        <v>0</v>
      </c>
      <c r="FH351" s="1653">
        <v>0</v>
      </c>
      <c r="FI351" s="1653">
        <v>0</v>
      </c>
    </row>
    <row r="352" spans="1:165">
      <c r="A352" s="1653">
        <v>350</v>
      </c>
      <c r="B352" s="1653" t="s">
        <v>2260</v>
      </c>
      <c r="C352" s="1653" t="s">
        <v>2246</v>
      </c>
      <c r="D352" s="1653" t="s">
        <v>595</v>
      </c>
      <c r="E352" s="1653" t="s">
        <v>997</v>
      </c>
      <c r="F352" s="1653" t="s">
        <v>1323</v>
      </c>
      <c r="G352" s="1653" t="s">
        <v>1323</v>
      </c>
      <c r="H352" s="1653" t="s">
        <v>1323</v>
      </c>
      <c r="I352" s="1653" t="s">
        <v>1323</v>
      </c>
      <c r="J352" s="1653" t="s">
        <v>2242</v>
      </c>
      <c r="K352" s="1654">
        <v>44652</v>
      </c>
      <c r="L352" s="1653">
        <v>215</v>
      </c>
      <c r="M352" s="1653">
        <v>215</v>
      </c>
      <c r="N352" s="1653">
        <v>0</v>
      </c>
      <c r="O352" s="1653">
        <v>0</v>
      </c>
      <c r="P352" s="1653">
        <v>0</v>
      </c>
      <c r="Q352" s="1653">
        <v>0</v>
      </c>
      <c r="R352" s="1653">
        <v>33.6</v>
      </c>
      <c r="S352" s="1653"/>
      <c r="T352" s="1653"/>
      <c r="U352" s="1653">
        <v>7224</v>
      </c>
      <c r="V352" s="1653"/>
      <c r="W352" s="1653">
        <v>7224</v>
      </c>
      <c r="X352" s="1653">
        <v>6828.4000000000005</v>
      </c>
      <c r="Y352" s="1653">
        <v>0</v>
      </c>
      <c r="Z352" s="1653">
        <v>0</v>
      </c>
      <c r="AA352" s="1653">
        <v>0</v>
      </c>
      <c r="AB352" s="1653">
        <v>0</v>
      </c>
      <c r="AC352" s="1653">
        <v>0</v>
      </c>
      <c r="AD352" s="1653">
        <v>3836.7856979005833</v>
      </c>
      <c r="AE352" s="1653">
        <v>3387.3572528023742</v>
      </c>
      <c r="AF352" s="1653"/>
      <c r="AG352" s="1653"/>
      <c r="AH352" s="1653"/>
      <c r="AI352" s="1653">
        <v>0</v>
      </c>
      <c r="AJ352" s="1653">
        <v>0</v>
      </c>
      <c r="AK352" s="1653">
        <v>0</v>
      </c>
      <c r="AL352" s="1653">
        <v>0</v>
      </c>
      <c r="AM352" s="1653"/>
      <c r="AN352" s="1653">
        <v>0</v>
      </c>
      <c r="AO352" s="1653">
        <v>0</v>
      </c>
      <c r="AP352" s="1653">
        <v>0</v>
      </c>
      <c r="AQ352" s="1653">
        <v>0</v>
      </c>
      <c r="AR352" s="1653">
        <v>0</v>
      </c>
      <c r="AS352" s="1653"/>
      <c r="AT352" s="1653"/>
      <c r="AU352" s="1653">
        <v>0</v>
      </c>
      <c r="AV352" s="1653">
        <v>0</v>
      </c>
      <c r="AW352" s="1653">
        <v>0</v>
      </c>
      <c r="AX352" s="1653"/>
      <c r="AY352" s="1653"/>
      <c r="AZ352" s="1653">
        <v>0</v>
      </c>
      <c r="BA352" s="1653"/>
      <c r="BB352" s="1653">
        <v>0</v>
      </c>
      <c r="BC352" s="1653">
        <v>0</v>
      </c>
      <c r="BD352" s="1653">
        <v>0</v>
      </c>
      <c r="BE352" s="1653">
        <v>0</v>
      </c>
      <c r="BF352" s="1653"/>
      <c r="BG352" s="1653">
        <v>0</v>
      </c>
      <c r="BH352" s="1653">
        <v>0</v>
      </c>
      <c r="BI352" s="1653">
        <v>132.96</v>
      </c>
      <c r="BJ352" s="1653">
        <v>613.66999999999996</v>
      </c>
      <c r="BK352" s="1653">
        <v>3284.59</v>
      </c>
      <c r="BL352" s="1653">
        <v>2</v>
      </c>
      <c r="BM352" s="1653"/>
      <c r="BN352" s="1653"/>
      <c r="BO352" s="1653"/>
      <c r="BP352" s="1653"/>
      <c r="BQ352" s="1653"/>
      <c r="BR352" s="1653"/>
      <c r="BS352" s="1653"/>
      <c r="BT352" s="1653"/>
      <c r="BU352" s="1653"/>
      <c r="BV352" s="1653">
        <v>0</v>
      </c>
      <c r="BW352" s="1653"/>
      <c r="BX352" s="1653"/>
      <c r="BY352" s="1653"/>
      <c r="BZ352" s="1653"/>
      <c r="CA352" s="1653"/>
      <c r="CB352" s="1653"/>
      <c r="CC352" s="1653"/>
      <c r="CD352" s="1653"/>
      <c r="CE352" s="1653"/>
      <c r="CF352" s="1653"/>
      <c r="CG352" s="1653"/>
      <c r="CH352" s="1653"/>
      <c r="CI352" s="1653">
        <v>6828.4000000000005</v>
      </c>
      <c r="CJ352" s="1653">
        <v>-395.63000000000011</v>
      </c>
      <c r="CK352" s="1653"/>
      <c r="CL352" s="1653"/>
      <c r="CM352" s="1653"/>
      <c r="CN352" s="1653"/>
      <c r="CO352" s="1653">
        <v>-395.59999999999997</v>
      </c>
      <c r="CP352" s="1653">
        <v>0</v>
      </c>
      <c r="CQ352" s="1653">
        <v>30</v>
      </c>
      <c r="CR352" s="1653">
        <v>141.94559312118008</v>
      </c>
      <c r="CS352" s="1653">
        <v>0</v>
      </c>
      <c r="CT352" s="1653">
        <v>0</v>
      </c>
      <c r="CU352" s="1653">
        <v>0</v>
      </c>
      <c r="CV352" s="1653">
        <v>0</v>
      </c>
      <c r="CW352" s="1653"/>
      <c r="CX352" s="1653"/>
      <c r="CY352" s="1653"/>
      <c r="CZ352" s="1653">
        <v>131.51903641109539</v>
      </c>
      <c r="DA352" s="1653">
        <v>0</v>
      </c>
      <c r="DB352" s="1653">
        <v>0</v>
      </c>
      <c r="DC352" s="1653"/>
      <c r="DD352" s="1653"/>
      <c r="DE352" s="1653">
        <v>0</v>
      </c>
      <c r="DF352" s="1653">
        <v>0</v>
      </c>
      <c r="DG352" s="1653">
        <v>0</v>
      </c>
      <c r="DH352" s="1653">
        <v>0</v>
      </c>
      <c r="DI352" s="1653">
        <v>0</v>
      </c>
      <c r="DJ352" s="1653"/>
      <c r="DK352" s="1653">
        <v>0</v>
      </c>
      <c r="DL352" s="1653">
        <v>0</v>
      </c>
      <c r="DM352" s="1653"/>
      <c r="DN352" s="1653">
        <v>0</v>
      </c>
      <c r="DO352" s="1653">
        <v>0</v>
      </c>
      <c r="DP352" s="1653">
        <v>0</v>
      </c>
      <c r="DQ352" s="1653">
        <v>0</v>
      </c>
      <c r="DR352" s="1653">
        <v>10.426556710084611</v>
      </c>
      <c r="DS352" s="1653"/>
      <c r="DT352" s="1653"/>
      <c r="DU352" s="1653">
        <v>3387.3572528023742</v>
      </c>
      <c r="DV352" s="1653"/>
      <c r="DW352" s="1653">
        <v>0</v>
      </c>
      <c r="DX352" s="1653">
        <v>0</v>
      </c>
      <c r="DY352" s="1653">
        <v>-395.59999999999945</v>
      </c>
      <c r="DZ352" s="1653"/>
      <c r="EA352" s="1653">
        <v>0</v>
      </c>
      <c r="EB352" s="1653"/>
      <c r="EC352" s="1653">
        <v>-538.43053547688214</v>
      </c>
      <c r="ED352" s="1653"/>
      <c r="EE352" s="1653">
        <v>0</v>
      </c>
      <c r="EF352" s="1653">
        <v>0</v>
      </c>
      <c r="EG352" s="1653"/>
      <c r="EH352" s="1653">
        <v>0</v>
      </c>
      <c r="EI352" s="1653">
        <v>0</v>
      </c>
      <c r="EJ352" s="1653">
        <v>0</v>
      </c>
      <c r="EK352" s="1653">
        <v>0</v>
      </c>
      <c r="EL352" s="1653">
        <v>0</v>
      </c>
      <c r="EM352" s="1653"/>
      <c r="EN352" s="1653"/>
      <c r="EO352" s="1653">
        <v>0</v>
      </c>
      <c r="EP352" s="1653">
        <v>0</v>
      </c>
      <c r="EQ352" s="1653"/>
      <c r="ER352" s="1653">
        <v>0</v>
      </c>
      <c r="ES352" s="1653"/>
      <c r="ET352" s="1653">
        <v>0</v>
      </c>
      <c r="EU352" s="1653"/>
      <c r="EV352" s="1653">
        <v>210</v>
      </c>
      <c r="EW352" s="1653"/>
      <c r="EX352" s="1653"/>
      <c r="EY352" s="1653"/>
      <c r="EZ352" s="1653"/>
      <c r="FA352" s="1653">
        <v>0</v>
      </c>
      <c r="FB352" s="1653"/>
      <c r="FC352" s="1653"/>
      <c r="FD352" s="1653"/>
      <c r="FE352" s="1653"/>
      <c r="FF352" s="1653">
        <v>0</v>
      </c>
      <c r="FG352" s="1653">
        <v>0</v>
      </c>
      <c r="FH352" s="1653">
        <v>0</v>
      </c>
      <c r="FI352" s="1653">
        <v>0</v>
      </c>
    </row>
    <row r="353" spans="1:165">
      <c r="A353" s="1653">
        <v>351</v>
      </c>
      <c r="B353" s="1653" t="s">
        <v>2260</v>
      </c>
      <c r="C353" s="1653" t="s">
        <v>2241</v>
      </c>
      <c r="D353" s="1653" t="s">
        <v>2247</v>
      </c>
      <c r="E353" s="1653" t="s">
        <v>973</v>
      </c>
      <c r="F353" s="1653" t="s">
        <v>1323</v>
      </c>
      <c r="G353" s="1653" t="s">
        <v>1323</v>
      </c>
      <c r="H353" s="1653" t="s">
        <v>1323</v>
      </c>
      <c r="I353" s="1653" t="s">
        <v>1323</v>
      </c>
      <c r="J353" s="1653" t="s">
        <v>2242</v>
      </c>
      <c r="K353" s="1654">
        <v>44652</v>
      </c>
      <c r="L353" s="1653">
        <v>0</v>
      </c>
      <c r="M353" s="1653">
        <v>0</v>
      </c>
      <c r="N353" s="1653">
        <v>443.97500000000002</v>
      </c>
      <c r="O353" s="1653">
        <v>443.97500000000002</v>
      </c>
      <c r="P353" s="1653">
        <v>443.97500000000002</v>
      </c>
      <c r="Q353" s="1653">
        <v>443.97500000000002</v>
      </c>
      <c r="R353" s="1653"/>
      <c r="S353" s="1653">
        <v>358.62</v>
      </c>
      <c r="T353" s="1653">
        <v>273.74</v>
      </c>
      <c r="U353" s="1653"/>
      <c r="V353" s="1653">
        <v>280752.03100000002</v>
      </c>
      <c r="W353" s="1653">
        <v>280752.03100000002</v>
      </c>
      <c r="X353" s="1653">
        <v>272218.83150000003</v>
      </c>
      <c r="Y353" s="1653">
        <v>0</v>
      </c>
      <c r="Z353" s="1653">
        <v>26804.729651693502</v>
      </c>
      <c r="AA353" s="1653">
        <v>0</v>
      </c>
      <c r="AB353" s="1653">
        <v>0</v>
      </c>
      <c r="AC353" s="1653">
        <v>0</v>
      </c>
      <c r="AD353" s="1653">
        <v>38221.149645232785</v>
      </c>
      <c r="AE353" s="1653">
        <v>87942.209287578618</v>
      </c>
      <c r="AF353" s="1653">
        <v>121533.38782075542</v>
      </c>
      <c r="AG353" s="1653">
        <v>0</v>
      </c>
      <c r="AH353" s="1653">
        <v>0</v>
      </c>
      <c r="AI353" s="1653">
        <v>0</v>
      </c>
      <c r="AJ353" s="1653">
        <v>0</v>
      </c>
      <c r="AK353" s="1653">
        <v>0</v>
      </c>
      <c r="AL353" s="1653">
        <v>4145.1942718616801</v>
      </c>
      <c r="AM353" s="1653"/>
      <c r="AN353" s="1653">
        <v>472.87394151107179</v>
      </c>
      <c r="AO353" s="1653">
        <v>0</v>
      </c>
      <c r="AP353" s="1653">
        <v>0</v>
      </c>
      <c r="AQ353" s="1653">
        <v>0</v>
      </c>
      <c r="AR353" s="1653">
        <v>0</v>
      </c>
      <c r="AS353" s="1653">
        <v>0</v>
      </c>
      <c r="AT353" s="1653">
        <v>0</v>
      </c>
      <c r="AU353" s="1653">
        <v>0</v>
      </c>
      <c r="AV353" s="1653">
        <v>0</v>
      </c>
      <c r="AW353" s="1653">
        <v>0</v>
      </c>
      <c r="AX353" s="1653">
        <v>0</v>
      </c>
      <c r="AY353" s="1653">
        <v>0</v>
      </c>
      <c r="AZ353" s="1653">
        <v>0</v>
      </c>
      <c r="BA353" s="1653"/>
      <c r="BB353" s="1653">
        <v>0</v>
      </c>
      <c r="BC353" s="1653">
        <v>0</v>
      </c>
      <c r="BD353" s="1653">
        <v>0</v>
      </c>
      <c r="BE353" s="1653">
        <v>0</v>
      </c>
      <c r="BF353" s="1653">
        <v>0</v>
      </c>
      <c r="BG353" s="1653">
        <v>1633.1292890665923</v>
      </c>
      <c r="BH353" s="1653">
        <v>0</v>
      </c>
      <c r="BI353" s="1653">
        <v>858.49</v>
      </c>
      <c r="BJ353" s="1653">
        <v>3973.44</v>
      </c>
      <c r="BK353" s="1653">
        <v>17484.939999999999</v>
      </c>
      <c r="BL353" s="1653">
        <v>1018</v>
      </c>
      <c r="BM353" s="1653"/>
      <c r="BN353" s="1653"/>
      <c r="BO353" s="1653"/>
      <c r="BP353" s="1653"/>
      <c r="BQ353" s="1653"/>
      <c r="BR353" s="1653">
        <v>38110.814000000006</v>
      </c>
      <c r="BS353" s="1653"/>
      <c r="BT353" s="1653"/>
      <c r="BU353" s="1653"/>
      <c r="BV353" s="1653">
        <v>123166.51710982202</v>
      </c>
      <c r="BW353" s="1653"/>
      <c r="BX353" s="1653"/>
      <c r="BY353" s="1653"/>
      <c r="BZ353" s="1653"/>
      <c r="CA353" s="1653"/>
      <c r="CB353" s="1653"/>
      <c r="CC353" s="1653"/>
      <c r="CD353" s="1653"/>
      <c r="CE353" s="1653"/>
      <c r="CF353" s="1653"/>
      <c r="CG353" s="1653"/>
      <c r="CH353" s="1653"/>
      <c r="CI353" s="1653">
        <v>234110.65400000001</v>
      </c>
      <c r="CJ353" s="1653">
        <v>-7340.7400000000489</v>
      </c>
      <c r="CK353" s="1653"/>
      <c r="CL353" s="1653"/>
      <c r="CM353" s="1653"/>
      <c r="CN353" s="1653"/>
      <c r="CO353" s="1653">
        <v>-14304.874500000013</v>
      </c>
      <c r="CP353" s="1653">
        <v>5771.6750000000002</v>
      </c>
      <c r="CQ353" s="1653">
        <v>30</v>
      </c>
      <c r="CR353" s="1653">
        <v>5443.9682766094629</v>
      </c>
      <c r="CS353" s="1653">
        <v>0</v>
      </c>
      <c r="CT353" s="1653">
        <v>0</v>
      </c>
      <c r="CU353" s="1653">
        <v>0</v>
      </c>
      <c r="CV353" s="1653">
        <v>0</v>
      </c>
      <c r="CW353" s="1653">
        <v>0</v>
      </c>
      <c r="CX353" s="1653">
        <v>0</v>
      </c>
      <c r="CY353" s="1653">
        <v>0</v>
      </c>
      <c r="CZ353" s="1653">
        <v>1310.1614652641656</v>
      </c>
      <c r="DA353" s="1653">
        <v>0</v>
      </c>
      <c r="DB353" s="1653">
        <v>0</v>
      </c>
      <c r="DC353" s="1653">
        <v>6546.9696294269525</v>
      </c>
      <c r="DD353" s="1653">
        <v>0</v>
      </c>
      <c r="DE353" s="1653">
        <v>0</v>
      </c>
      <c r="DF353" s="1653">
        <v>0</v>
      </c>
      <c r="DG353" s="1653">
        <v>87.976218290041061</v>
      </c>
      <c r="DH353" s="1653">
        <v>0</v>
      </c>
      <c r="DI353" s="1653">
        <v>-1708.5676472953528</v>
      </c>
      <c r="DJ353" s="1653"/>
      <c r="DK353" s="1653">
        <v>0</v>
      </c>
      <c r="DL353" s="1653">
        <v>0</v>
      </c>
      <c r="DM353" s="1653">
        <v>0</v>
      </c>
      <c r="DN353" s="1653">
        <v>0</v>
      </c>
      <c r="DO353" s="1653">
        <v>-217.33998729392169</v>
      </c>
      <c r="DP353" s="1653">
        <v>-31.19994861190105</v>
      </c>
      <c r="DQ353" s="1653">
        <v>0</v>
      </c>
      <c r="DR353" s="1653">
        <v>-544.03145317055419</v>
      </c>
      <c r="DS353" s="1653"/>
      <c r="DT353" s="1653"/>
      <c r="DU353" s="1653"/>
      <c r="DV353" s="1653">
        <v>87942.209287578618</v>
      </c>
      <c r="DW353" s="1653">
        <v>0</v>
      </c>
      <c r="DX353" s="1653">
        <v>0</v>
      </c>
      <c r="DY353" s="1653">
        <v>-14304.874500000005</v>
      </c>
      <c r="DZ353" s="1653">
        <v>5771.6750000000029</v>
      </c>
      <c r="EA353" s="1653">
        <v>0</v>
      </c>
      <c r="EB353" s="1653">
        <v>0</v>
      </c>
      <c r="EC353" s="1653">
        <v>-13978.676385125378</v>
      </c>
      <c r="ED353" s="1653">
        <v>0</v>
      </c>
      <c r="EE353" s="1653">
        <v>0</v>
      </c>
      <c r="EF353" s="1653">
        <v>0</v>
      </c>
      <c r="EG353" s="1653">
        <v>0</v>
      </c>
      <c r="EH353" s="1653">
        <v>0</v>
      </c>
      <c r="EI353" s="1653">
        <v>0</v>
      </c>
      <c r="EJ353" s="1653">
        <v>0</v>
      </c>
      <c r="EK353" s="1653">
        <v>0</v>
      </c>
      <c r="EL353" s="1653">
        <v>0</v>
      </c>
      <c r="EM353" s="1653">
        <v>0</v>
      </c>
      <c r="EN353" s="1653">
        <v>0</v>
      </c>
      <c r="EO353" s="1653">
        <v>0</v>
      </c>
      <c r="EP353" s="1653">
        <v>0</v>
      </c>
      <c r="EQ353" s="1653">
        <v>0</v>
      </c>
      <c r="ER353" s="1653">
        <v>0</v>
      </c>
      <c r="ES353" s="1653">
        <v>0</v>
      </c>
      <c r="ET353" s="1653">
        <v>0</v>
      </c>
      <c r="EU353" s="1653">
        <v>0</v>
      </c>
      <c r="EV353" s="1653">
        <v>210</v>
      </c>
      <c r="EW353" s="1653">
        <v>0</v>
      </c>
      <c r="EX353" s="1653">
        <v>0</v>
      </c>
      <c r="EY353" s="1653">
        <v>0</v>
      </c>
      <c r="EZ353" s="1653"/>
      <c r="FA353" s="1653">
        <v>0</v>
      </c>
      <c r="FB353" s="1653"/>
      <c r="FC353" s="1653"/>
      <c r="FD353" s="1653"/>
      <c r="FE353" s="1653"/>
      <c r="FF353" s="1653">
        <v>0</v>
      </c>
      <c r="FG353" s="1653">
        <v>0</v>
      </c>
      <c r="FH353" s="1653">
        <v>0</v>
      </c>
      <c r="FI353" s="1653">
        <v>0</v>
      </c>
    </row>
    <row r="354" spans="1:165">
      <c r="A354" s="1653">
        <v>352</v>
      </c>
      <c r="B354" s="1653" t="s">
        <v>2260</v>
      </c>
      <c r="C354" s="1653" t="s">
        <v>2241</v>
      </c>
      <c r="D354" s="1653" t="s">
        <v>2247</v>
      </c>
      <c r="E354" s="1653" t="s">
        <v>973</v>
      </c>
      <c r="F354" s="1653" t="s">
        <v>1323</v>
      </c>
      <c r="G354" s="1653" t="s">
        <v>1323</v>
      </c>
      <c r="H354" s="1653" t="s">
        <v>1323</v>
      </c>
      <c r="I354" s="1653" t="s">
        <v>1323</v>
      </c>
      <c r="J354" s="1653" t="s">
        <v>2242</v>
      </c>
      <c r="K354" s="1654">
        <v>44652</v>
      </c>
      <c r="L354" s="1653">
        <v>0</v>
      </c>
      <c r="M354" s="1653">
        <v>0</v>
      </c>
      <c r="N354" s="1653">
        <v>3.23</v>
      </c>
      <c r="O354" s="1653">
        <v>3.23</v>
      </c>
      <c r="P354" s="1653">
        <v>3.23</v>
      </c>
      <c r="Q354" s="1653">
        <v>3.23</v>
      </c>
      <c r="R354" s="1653"/>
      <c r="S354" s="1653">
        <v>358.62</v>
      </c>
      <c r="T354" s="1653">
        <v>273.74</v>
      </c>
      <c r="U354" s="1653"/>
      <c r="V354" s="1653">
        <v>2042.5228</v>
      </c>
      <c r="W354" s="1653">
        <v>2042.5228</v>
      </c>
      <c r="X354" s="1653">
        <v>1980.4422</v>
      </c>
      <c r="Y354" s="1653">
        <v>0</v>
      </c>
      <c r="Z354" s="1653">
        <v>195.00935137106819</v>
      </c>
      <c r="AA354" s="1653">
        <v>0</v>
      </c>
      <c r="AB354" s="1653">
        <v>0</v>
      </c>
      <c r="AC354" s="1653">
        <v>0</v>
      </c>
      <c r="AD354" s="1653">
        <v>278.06591216645506</v>
      </c>
      <c r="AE354" s="1653">
        <v>639.79579030098296</v>
      </c>
      <c r="AF354" s="1653">
        <v>884.17780879788268</v>
      </c>
      <c r="AG354" s="1653">
        <v>0</v>
      </c>
      <c r="AH354" s="1653">
        <v>0</v>
      </c>
      <c r="AI354" s="1653">
        <v>0</v>
      </c>
      <c r="AJ354" s="1653">
        <v>0</v>
      </c>
      <c r="AK354" s="1653">
        <v>0</v>
      </c>
      <c r="AL354" s="1653">
        <v>30.15705275773011</v>
      </c>
      <c r="AM354" s="1653"/>
      <c r="AN354" s="1653">
        <v>3.4402451288490608</v>
      </c>
      <c r="AO354" s="1653">
        <v>0</v>
      </c>
      <c r="AP354" s="1653">
        <v>0</v>
      </c>
      <c r="AQ354" s="1653">
        <v>0</v>
      </c>
      <c r="AR354" s="1653">
        <v>0</v>
      </c>
      <c r="AS354" s="1653">
        <v>0</v>
      </c>
      <c r="AT354" s="1653">
        <v>0</v>
      </c>
      <c r="AU354" s="1653">
        <v>0</v>
      </c>
      <c r="AV354" s="1653">
        <v>0</v>
      </c>
      <c r="AW354" s="1653">
        <v>0</v>
      </c>
      <c r="AX354" s="1653">
        <v>0</v>
      </c>
      <c r="AY354" s="1653">
        <v>0</v>
      </c>
      <c r="AZ354" s="1653">
        <v>0</v>
      </c>
      <c r="BA354" s="1653"/>
      <c r="BB354" s="1653">
        <v>0</v>
      </c>
      <c r="BC354" s="1653">
        <v>0</v>
      </c>
      <c r="BD354" s="1653">
        <v>0</v>
      </c>
      <c r="BE354" s="1653">
        <v>0</v>
      </c>
      <c r="BF354" s="1653">
        <v>0</v>
      </c>
      <c r="BG354" s="1653">
        <v>11.881316749107704</v>
      </c>
      <c r="BH354" s="1653">
        <v>0</v>
      </c>
      <c r="BI354" s="1653">
        <v>7.17</v>
      </c>
      <c r="BJ354" s="1653">
        <v>33.24</v>
      </c>
      <c r="BK354" s="1653">
        <v>192.76</v>
      </c>
      <c r="BL354" s="1653">
        <v>13</v>
      </c>
      <c r="BM354" s="1653"/>
      <c r="BN354" s="1653"/>
      <c r="BO354" s="1653"/>
      <c r="BP354" s="1653"/>
      <c r="BQ354" s="1653"/>
      <c r="BR354" s="1653">
        <v>277.26319999999998</v>
      </c>
      <c r="BS354" s="1653"/>
      <c r="BT354" s="1653"/>
      <c r="BU354" s="1653"/>
      <c r="BV354" s="1653">
        <v>896.05912554699034</v>
      </c>
      <c r="BW354" s="1653"/>
      <c r="BX354" s="1653"/>
      <c r="BY354" s="1653"/>
      <c r="BZ354" s="1653"/>
      <c r="CA354" s="1653"/>
      <c r="CB354" s="1653"/>
      <c r="CC354" s="1653"/>
      <c r="CD354" s="1653"/>
      <c r="CE354" s="1653"/>
      <c r="CF354" s="1653"/>
      <c r="CG354" s="1653"/>
      <c r="CH354" s="1653"/>
      <c r="CI354" s="1653">
        <v>1703.1790000000001</v>
      </c>
      <c r="CJ354" s="1653">
        <v>-53.454199999999901</v>
      </c>
      <c r="CK354" s="1653"/>
      <c r="CL354" s="1653"/>
      <c r="CM354" s="1653"/>
      <c r="CN354" s="1653"/>
      <c r="CO354" s="1653">
        <v>-104.07060000000008</v>
      </c>
      <c r="CP354" s="1653">
        <v>41.99</v>
      </c>
      <c r="CQ354" s="1653">
        <v>30</v>
      </c>
      <c r="CR354" s="1653">
        <v>39.605873153777793</v>
      </c>
      <c r="CS354" s="1653">
        <v>0</v>
      </c>
      <c r="CT354" s="1653">
        <v>0</v>
      </c>
      <c r="CU354" s="1653">
        <v>0</v>
      </c>
      <c r="CV354" s="1653">
        <v>0</v>
      </c>
      <c r="CW354" s="1653">
        <v>0</v>
      </c>
      <c r="CX354" s="1653">
        <v>0</v>
      </c>
      <c r="CY354" s="1653">
        <v>0</v>
      </c>
      <c r="CZ354" s="1653">
        <v>9.531666271306392</v>
      </c>
      <c r="DA354" s="1653">
        <v>0</v>
      </c>
      <c r="DB354" s="1653">
        <v>0</v>
      </c>
      <c r="DC354" s="1653">
        <v>47.630411403905782</v>
      </c>
      <c r="DD354" s="1653">
        <v>0</v>
      </c>
      <c r="DE354" s="1653">
        <v>0</v>
      </c>
      <c r="DF354" s="1653">
        <v>0</v>
      </c>
      <c r="DG354" s="1653">
        <v>0.64004321206561876</v>
      </c>
      <c r="DH354" s="1653">
        <v>0</v>
      </c>
      <c r="DI354" s="1653">
        <v>-12.430144717076359</v>
      </c>
      <c r="DJ354" s="1653"/>
      <c r="DK354" s="1653">
        <v>0</v>
      </c>
      <c r="DL354" s="1653">
        <v>0</v>
      </c>
      <c r="DM354" s="1653">
        <v>0</v>
      </c>
      <c r="DN354" s="1653">
        <v>0</v>
      </c>
      <c r="DO354" s="1653">
        <v>-1.5811884879990217</v>
      </c>
      <c r="DP354" s="1653">
        <v>-0.22698537984445144</v>
      </c>
      <c r="DQ354" s="1653">
        <v>0</v>
      </c>
      <c r="DR354" s="1653">
        <v>-3.95792914858019</v>
      </c>
      <c r="DS354" s="1653"/>
      <c r="DT354" s="1653"/>
      <c r="DU354" s="1653"/>
      <c r="DV354" s="1653">
        <v>639.79579030098296</v>
      </c>
      <c r="DW354" s="1653">
        <v>0</v>
      </c>
      <c r="DX354" s="1653">
        <v>0</v>
      </c>
      <c r="DY354" s="1653">
        <v>-104.07060000000001</v>
      </c>
      <c r="DZ354" s="1653">
        <v>41.990000000000009</v>
      </c>
      <c r="EA354" s="1653">
        <v>0</v>
      </c>
      <c r="EB354" s="1653">
        <v>0</v>
      </c>
      <c r="EC354" s="1653">
        <v>-101.69744855893896</v>
      </c>
      <c r="ED354" s="1653">
        <v>0</v>
      </c>
      <c r="EE354" s="1653">
        <v>0</v>
      </c>
      <c r="EF354" s="1653">
        <v>0</v>
      </c>
      <c r="EG354" s="1653">
        <v>0</v>
      </c>
      <c r="EH354" s="1653">
        <v>0</v>
      </c>
      <c r="EI354" s="1653">
        <v>0</v>
      </c>
      <c r="EJ354" s="1653">
        <v>0</v>
      </c>
      <c r="EK354" s="1653">
        <v>0</v>
      </c>
      <c r="EL354" s="1653">
        <v>0</v>
      </c>
      <c r="EM354" s="1653">
        <v>0</v>
      </c>
      <c r="EN354" s="1653">
        <v>0</v>
      </c>
      <c r="EO354" s="1653">
        <v>0</v>
      </c>
      <c r="EP354" s="1653">
        <v>0</v>
      </c>
      <c r="EQ354" s="1653">
        <v>0</v>
      </c>
      <c r="ER354" s="1653">
        <v>0</v>
      </c>
      <c r="ES354" s="1653">
        <v>0</v>
      </c>
      <c r="ET354" s="1653">
        <v>0</v>
      </c>
      <c r="EU354" s="1653">
        <v>0</v>
      </c>
      <c r="EV354" s="1653">
        <v>210</v>
      </c>
      <c r="EW354" s="1653">
        <v>0</v>
      </c>
      <c r="EX354" s="1653">
        <v>0</v>
      </c>
      <c r="EY354" s="1653">
        <v>0</v>
      </c>
      <c r="EZ354" s="1653"/>
      <c r="FA354" s="1653">
        <v>0</v>
      </c>
      <c r="FB354" s="1653"/>
      <c r="FC354" s="1653"/>
      <c r="FD354" s="1653"/>
      <c r="FE354" s="1653"/>
      <c r="FF354" s="1653">
        <v>0</v>
      </c>
      <c r="FG354" s="1653">
        <v>0</v>
      </c>
      <c r="FH354" s="1653">
        <v>0</v>
      </c>
      <c r="FI354" s="1653">
        <v>0</v>
      </c>
    </row>
    <row r="355" spans="1:165">
      <c r="A355" s="1653">
        <v>353</v>
      </c>
      <c r="B355" s="1653" t="s">
        <v>2260</v>
      </c>
      <c r="C355" s="1653" t="s">
        <v>2248</v>
      </c>
      <c r="D355" s="1653" t="s">
        <v>2247</v>
      </c>
      <c r="E355" s="1653" t="s">
        <v>973</v>
      </c>
      <c r="F355" s="1653" t="s">
        <v>1323</v>
      </c>
      <c r="G355" s="1653" t="s">
        <v>1323</v>
      </c>
      <c r="H355" s="1653" t="s">
        <v>1323</v>
      </c>
      <c r="I355" s="1653" t="s">
        <v>1323</v>
      </c>
      <c r="J355" s="1653" t="s">
        <v>2242</v>
      </c>
      <c r="K355" s="1654">
        <v>44652</v>
      </c>
      <c r="L355" s="1653">
        <v>0</v>
      </c>
      <c r="M355" s="1653">
        <v>0</v>
      </c>
      <c r="N355" s="1653">
        <v>0</v>
      </c>
      <c r="O355" s="1653">
        <v>0</v>
      </c>
      <c r="P355" s="1653">
        <v>0</v>
      </c>
      <c r="Q355" s="1653">
        <v>0</v>
      </c>
      <c r="R355" s="1653"/>
      <c r="S355" s="1653"/>
      <c r="T355" s="1653"/>
      <c r="U355" s="1653"/>
      <c r="V355" s="1653"/>
      <c r="W355" s="1653"/>
      <c r="X355" s="1653"/>
      <c r="Y355" s="1653"/>
      <c r="Z355" s="1653"/>
      <c r="AA355" s="1653">
        <v>0</v>
      </c>
      <c r="AB355" s="1653"/>
      <c r="AC355" s="1653"/>
      <c r="AD355" s="1653"/>
      <c r="AE355" s="1653"/>
      <c r="AF355" s="1653"/>
      <c r="AG355" s="1653"/>
      <c r="AH355" s="1653"/>
      <c r="AI355" s="1653"/>
      <c r="AJ355" s="1653"/>
      <c r="AK355" s="1653"/>
      <c r="AL355" s="1653"/>
      <c r="AM355" s="1653"/>
      <c r="AN355" s="1653"/>
      <c r="AO355" s="1653"/>
      <c r="AP355" s="1653"/>
      <c r="AQ355" s="1653"/>
      <c r="AR355" s="1653"/>
      <c r="AS355" s="1653"/>
      <c r="AT355" s="1653"/>
      <c r="AU355" s="1653"/>
      <c r="AV355" s="1653"/>
      <c r="AW355" s="1653"/>
      <c r="AX355" s="1653"/>
      <c r="AY355" s="1653"/>
      <c r="AZ355" s="1653">
        <v>0</v>
      </c>
      <c r="BA355" s="1653"/>
      <c r="BB355" s="1653"/>
      <c r="BC355" s="1653"/>
      <c r="BD355" s="1653"/>
      <c r="BE355" s="1653"/>
      <c r="BF355" s="1653"/>
      <c r="BG355" s="1653"/>
      <c r="BH355" s="1653"/>
      <c r="BI355" s="1653">
        <v>0.22</v>
      </c>
      <c r="BJ355" s="1653">
        <v>1.04</v>
      </c>
      <c r="BK355" s="1653">
        <v>0</v>
      </c>
      <c r="BL355" s="1653">
        <v>1</v>
      </c>
      <c r="BM355" s="1653"/>
      <c r="BN355" s="1653"/>
      <c r="BO355" s="1653"/>
      <c r="BP355" s="1653"/>
      <c r="BQ355" s="1653"/>
      <c r="BR355" s="1653"/>
      <c r="BS355" s="1653"/>
      <c r="BT355" s="1653"/>
      <c r="BU355" s="1653"/>
      <c r="BV355" s="1653"/>
      <c r="BW355" s="1653"/>
      <c r="BX355" s="1653"/>
      <c r="BY355" s="1653"/>
      <c r="BZ355" s="1653"/>
      <c r="CA355" s="1653"/>
      <c r="CB355" s="1653"/>
      <c r="CC355" s="1653"/>
      <c r="CD355" s="1653"/>
      <c r="CE355" s="1653"/>
      <c r="CF355" s="1653"/>
      <c r="CG355" s="1653"/>
      <c r="CH355" s="1653"/>
      <c r="CI355" s="1653"/>
      <c r="CJ355" s="1653">
        <v>-0.03</v>
      </c>
      <c r="CK355" s="1653"/>
      <c r="CL355" s="1653"/>
      <c r="CM355" s="1653"/>
      <c r="CN355" s="1653"/>
      <c r="CO355" s="1653">
        <v>0</v>
      </c>
      <c r="CP355" s="1653">
        <v>0</v>
      </c>
      <c r="CQ355" s="1653">
        <v>30</v>
      </c>
      <c r="CR355" s="1653"/>
      <c r="CS355" s="1653"/>
      <c r="CT355" s="1653"/>
      <c r="CU355" s="1653"/>
      <c r="CV355" s="1653"/>
      <c r="CW355" s="1653"/>
      <c r="CX355" s="1653"/>
      <c r="CY355" s="1653"/>
      <c r="CZ355" s="1653"/>
      <c r="DA355" s="1653"/>
      <c r="DB355" s="1653"/>
      <c r="DC355" s="1653"/>
      <c r="DD355" s="1653"/>
      <c r="DE355" s="1653"/>
      <c r="DF355" s="1653"/>
      <c r="DG355" s="1653"/>
      <c r="DH355" s="1653"/>
      <c r="DI355" s="1653"/>
      <c r="DJ355" s="1653"/>
      <c r="DK355" s="1653">
        <v>0</v>
      </c>
      <c r="DL355" s="1653"/>
      <c r="DM355" s="1653"/>
      <c r="DN355" s="1653"/>
      <c r="DO355" s="1653"/>
      <c r="DP355" s="1653"/>
      <c r="DQ355" s="1653"/>
      <c r="DR355" s="1653"/>
      <c r="DS355" s="1653"/>
      <c r="DT355" s="1653"/>
      <c r="DU355" s="1653"/>
      <c r="DV355" s="1653"/>
      <c r="DW355" s="1653"/>
      <c r="DX355" s="1653"/>
      <c r="DY355" s="1653"/>
      <c r="DZ355" s="1653"/>
      <c r="EA355" s="1653"/>
      <c r="EB355" s="1653"/>
      <c r="EC355" s="1653"/>
      <c r="ED355" s="1653"/>
      <c r="EE355" s="1653"/>
      <c r="EF355" s="1653"/>
      <c r="EG355" s="1653"/>
      <c r="EH355" s="1653"/>
      <c r="EI355" s="1653"/>
      <c r="EJ355" s="1653"/>
      <c r="EK355" s="1653"/>
      <c r="EL355" s="1653"/>
      <c r="EM355" s="1653"/>
      <c r="EN355" s="1653"/>
      <c r="EO355" s="1653"/>
      <c r="EP355" s="1653"/>
      <c r="EQ355" s="1653"/>
      <c r="ER355" s="1653"/>
      <c r="ES355" s="1653"/>
      <c r="ET355" s="1653"/>
      <c r="EU355" s="1653"/>
      <c r="EV355" s="1653">
        <v>210</v>
      </c>
      <c r="EW355" s="1653"/>
      <c r="EX355" s="1653"/>
      <c r="EY355" s="1653"/>
      <c r="EZ355" s="1653"/>
      <c r="FA355" s="1653">
        <v>0</v>
      </c>
      <c r="FB355" s="1653"/>
      <c r="FC355" s="1653"/>
      <c r="FD355" s="1653"/>
      <c r="FE355" s="1653"/>
      <c r="FF355" s="1653">
        <v>0</v>
      </c>
      <c r="FG355" s="1653">
        <v>0</v>
      </c>
      <c r="FH355" s="1653">
        <v>0</v>
      </c>
      <c r="FI355" s="1653">
        <v>0</v>
      </c>
    </row>
    <row r="356" spans="1:165">
      <c r="A356" s="1653">
        <v>354</v>
      </c>
      <c r="B356" s="1653" t="s">
        <v>2260</v>
      </c>
      <c r="C356" s="1653" t="s">
        <v>2241</v>
      </c>
      <c r="D356" s="1653" t="s">
        <v>1992</v>
      </c>
      <c r="E356" s="1653" t="s">
        <v>2249</v>
      </c>
      <c r="F356" s="1653" t="s">
        <v>1323</v>
      </c>
      <c r="G356" s="1653" t="s">
        <v>1323</v>
      </c>
      <c r="H356" s="1653" t="s">
        <v>1323</v>
      </c>
      <c r="I356" s="1653" t="s">
        <v>1323</v>
      </c>
      <c r="J356" s="1653" t="s">
        <v>2242</v>
      </c>
      <c r="K356" s="1654">
        <v>44652</v>
      </c>
      <c r="L356" s="1653">
        <v>0</v>
      </c>
      <c r="M356" s="1653">
        <v>0</v>
      </c>
      <c r="N356" s="1653">
        <v>12.324999999999999</v>
      </c>
      <c r="O356" s="1653">
        <v>12.324999999999999</v>
      </c>
      <c r="P356" s="1653">
        <v>12.324999999999999</v>
      </c>
      <c r="Q356" s="1653">
        <v>12.324999999999999</v>
      </c>
      <c r="R356" s="1653"/>
      <c r="S356" s="1653">
        <v>358.62</v>
      </c>
      <c r="T356" s="1653">
        <v>273.74</v>
      </c>
      <c r="U356" s="1653"/>
      <c r="V356" s="1653">
        <v>7793.8369999999995</v>
      </c>
      <c r="W356" s="1653">
        <v>7793.8369999999995</v>
      </c>
      <c r="X356" s="1653">
        <v>7556.950499999999</v>
      </c>
      <c r="Y356" s="1653">
        <v>0</v>
      </c>
      <c r="Z356" s="1653">
        <v>744.11463023170757</v>
      </c>
      <c r="AA356" s="1653">
        <v>0</v>
      </c>
      <c r="AB356" s="1653">
        <v>0</v>
      </c>
      <c r="AC356" s="1653">
        <v>0</v>
      </c>
      <c r="AD356" s="1653">
        <v>1061.0409806351574</v>
      </c>
      <c r="AE356" s="1653">
        <v>2441.3260419379612</v>
      </c>
      <c r="AF356" s="1653">
        <v>3373.8363756761314</v>
      </c>
      <c r="AG356" s="1653">
        <v>0</v>
      </c>
      <c r="AH356" s="1653">
        <v>0</v>
      </c>
      <c r="AI356" s="1653">
        <v>0</v>
      </c>
      <c r="AJ356" s="1653">
        <v>0</v>
      </c>
      <c r="AK356" s="1653">
        <v>0</v>
      </c>
      <c r="AL356" s="1653">
        <v>115.07296447028594</v>
      </c>
      <c r="AM356" s="1653"/>
      <c r="AN356" s="1653">
        <v>13.127251149555626</v>
      </c>
      <c r="AO356" s="1653">
        <v>0</v>
      </c>
      <c r="AP356" s="1653">
        <v>0</v>
      </c>
      <c r="AQ356" s="1653">
        <v>0</v>
      </c>
      <c r="AR356" s="1653">
        <v>0</v>
      </c>
      <c r="AS356" s="1653">
        <v>0</v>
      </c>
      <c r="AT356" s="1653">
        <v>0</v>
      </c>
      <c r="AU356" s="1653">
        <v>0</v>
      </c>
      <c r="AV356" s="1653">
        <v>0</v>
      </c>
      <c r="AW356" s="1653">
        <v>0</v>
      </c>
      <c r="AX356" s="1653">
        <v>0</v>
      </c>
      <c r="AY356" s="1653">
        <v>0</v>
      </c>
      <c r="AZ356" s="1653">
        <v>0</v>
      </c>
      <c r="BA356" s="1653"/>
      <c r="BB356" s="1653">
        <v>0</v>
      </c>
      <c r="BC356" s="1653">
        <v>0</v>
      </c>
      <c r="BD356" s="1653">
        <v>0</v>
      </c>
      <c r="BE356" s="1653">
        <v>0</v>
      </c>
      <c r="BF356" s="1653">
        <v>0</v>
      </c>
      <c r="BG356" s="1653">
        <v>45.336603384753076</v>
      </c>
      <c r="BH356" s="1653">
        <v>0</v>
      </c>
      <c r="BI356" s="1653">
        <v>4.8</v>
      </c>
      <c r="BJ356" s="1653">
        <v>22.17</v>
      </c>
      <c r="BK356" s="1653">
        <v>1886.58</v>
      </c>
      <c r="BL356" s="1653">
        <v>15</v>
      </c>
      <c r="BM356" s="1653"/>
      <c r="BN356" s="1653"/>
      <c r="BO356" s="1653"/>
      <c r="BP356" s="1653"/>
      <c r="BQ356" s="1653"/>
      <c r="BR356" s="1653"/>
      <c r="BS356" s="1653"/>
      <c r="BT356" s="1653"/>
      <c r="BU356" s="1653"/>
      <c r="BV356" s="1653">
        <v>3419.1729790608847</v>
      </c>
      <c r="BW356" s="1653"/>
      <c r="BX356" s="1653"/>
      <c r="BY356" s="1653"/>
      <c r="BZ356" s="1653"/>
      <c r="CA356" s="1653"/>
      <c r="CB356" s="1653"/>
      <c r="CC356" s="1653"/>
      <c r="CD356" s="1653"/>
      <c r="CE356" s="1653"/>
      <c r="CF356" s="1653"/>
      <c r="CG356" s="1653"/>
      <c r="CH356" s="1653"/>
      <c r="CI356" s="1653">
        <v>7560.0162</v>
      </c>
      <c r="CJ356" s="1653">
        <v>-233.85080000000016</v>
      </c>
      <c r="CK356" s="1653"/>
      <c r="CL356" s="1653"/>
      <c r="CM356" s="1653"/>
      <c r="CN356" s="1653"/>
      <c r="CO356" s="1653">
        <v>-397.11150000000032</v>
      </c>
      <c r="CP356" s="1653">
        <v>160.22499999999999</v>
      </c>
      <c r="CQ356" s="1653">
        <v>30</v>
      </c>
      <c r="CR356" s="1653">
        <v>151.12767387625718</v>
      </c>
      <c r="CS356" s="1653">
        <v>0</v>
      </c>
      <c r="CT356" s="1653">
        <v>0</v>
      </c>
      <c r="CU356" s="1653">
        <v>0</v>
      </c>
      <c r="CV356" s="1653">
        <v>0</v>
      </c>
      <c r="CW356" s="1653">
        <v>0</v>
      </c>
      <c r="CX356" s="1653">
        <v>0</v>
      </c>
      <c r="CY356" s="1653">
        <v>0</v>
      </c>
      <c r="CZ356" s="1653">
        <v>36.37083182472179</v>
      </c>
      <c r="DA356" s="1653">
        <v>0</v>
      </c>
      <c r="DB356" s="1653">
        <v>0</v>
      </c>
      <c r="DC356" s="1653">
        <v>181.74762246227192</v>
      </c>
      <c r="DD356" s="1653">
        <v>0</v>
      </c>
      <c r="DE356" s="1653">
        <v>0</v>
      </c>
      <c r="DF356" s="1653">
        <v>0</v>
      </c>
      <c r="DG356" s="1653">
        <v>2.4422701513030205</v>
      </c>
      <c r="DH356" s="1653">
        <v>0</v>
      </c>
      <c r="DI356" s="1653">
        <v>-47.430815367791411</v>
      </c>
      <c r="DJ356" s="1653"/>
      <c r="DK356" s="1653">
        <v>0</v>
      </c>
      <c r="DL356" s="1653">
        <v>0</v>
      </c>
      <c r="DM356" s="1653">
        <v>0</v>
      </c>
      <c r="DN356" s="1653">
        <v>0</v>
      </c>
      <c r="DO356" s="1653">
        <v>-6.0334823884173261</v>
      </c>
      <c r="DP356" s="1653">
        <v>-0.86612842309066984</v>
      </c>
      <c r="DQ356" s="1653">
        <v>0</v>
      </c>
      <c r="DR356" s="1653">
        <v>-15.102624382740199</v>
      </c>
      <c r="DS356" s="1653"/>
      <c r="DT356" s="1653"/>
      <c r="DU356" s="1653"/>
      <c r="DV356" s="1653">
        <v>2441.3260419379612</v>
      </c>
      <c r="DW356" s="1653">
        <v>0</v>
      </c>
      <c r="DX356" s="1653">
        <v>0</v>
      </c>
      <c r="DY356" s="1653">
        <v>-397.11150000000043</v>
      </c>
      <c r="DZ356" s="1653">
        <v>160.22499999999991</v>
      </c>
      <c r="EA356" s="1653">
        <v>0</v>
      </c>
      <c r="EB356" s="1653">
        <v>0</v>
      </c>
      <c r="EC356" s="1653">
        <v>-388.05605371174079</v>
      </c>
      <c r="ED356" s="1653">
        <v>0</v>
      </c>
      <c r="EE356" s="1653">
        <v>0</v>
      </c>
      <c r="EF356" s="1653">
        <v>0</v>
      </c>
      <c r="EG356" s="1653">
        <v>0</v>
      </c>
      <c r="EH356" s="1653">
        <v>0</v>
      </c>
      <c r="EI356" s="1653">
        <v>0</v>
      </c>
      <c r="EJ356" s="1653">
        <v>0</v>
      </c>
      <c r="EK356" s="1653">
        <v>0</v>
      </c>
      <c r="EL356" s="1653">
        <v>0</v>
      </c>
      <c r="EM356" s="1653">
        <v>0</v>
      </c>
      <c r="EN356" s="1653">
        <v>0</v>
      </c>
      <c r="EO356" s="1653">
        <v>0</v>
      </c>
      <c r="EP356" s="1653">
        <v>0</v>
      </c>
      <c r="EQ356" s="1653">
        <v>0</v>
      </c>
      <c r="ER356" s="1653">
        <v>0</v>
      </c>
      <c r="ES356" s="1653">
        <v>0</v>
      </c>
      <c r="ET356" s="1653">
        <v>0</v>
      </c>
      <c r="EU356" s="1653">
        <v>0</v>
      </c>
      <c r="EV356" s="1653">
        <v>210</v>
      </c>
      <c r="EW356" s="1653">
        <v>0</v>
      </c>
      <c r="EX356" s="1653">
        <v>0</v>
      </c>
      <c r="EY356" s="1653">
        <v>0</v>
      </c>
      <c r="EZ356" s="1653"/>
      <c r="FA356" s="1653">
        <v>0</v>
      </c>
      <c r="FB356" s="1653"/>
      <c r="FC356" s="1653"/>
      <c r="FD356" s="1653"/>
      <c r="FE356" s="1653"/>
      <c r="FF356" s="1653">
        <v>0</v>
      </c>
      <c r="FG356" s="1653">
        <v>0</v>
      </c>
      <c r="FH356" s="1653">
        <v>0</v>
      </c>
      <c r="FI356" s="1653">
        <v>0</v>
      </c>
    </row>
    <row r="357" spans="1:165">
      <c r="A357" s="1653">
        <v>355</v>
      </c>
      <c r="B357" s="1653" t="s">
        <v>2260</v>
      </c>
      <c r="C357" s="1653" t="s">
        <v>2241</v>
      </c>
      <c r="D357" s="1653" t="s">
        <v>2250</v>
      </c>
      <c r="E357" s="1653" t="s">
        <v>2251</v>
      </c>
      <c r="F357" s="1653" t="s">
        <v>2252</v>
      </c>
      <c r="G357" s="1653" t="s">
        <v>1323</v>
      </c>
      <c r="H357" s="1653" t="s">
        <v>1323</v>
      </c>
      <c r="I357" s="1653" t="s">
        <v>1323</v>
      </c>
      <c r="J357" s="1653" t="s">
        <v>2242</v>
      </c>
      <c r="K357" s="1654">
        <v>44652</v>
      </c>
      <c r="L357" s="1653">
        <v>0</v>
      </c>
      <c r="M357" s="1653">
        <v>0</v>
      </c>
      <c r="N357" s="1653">
        <v>20.052</v>
      </c>
      <c r="O357" s="1653">
        <v>20.052</v>
      </c>
      <c r="P357" s="1653">
        <v>20.052</v>
      </c>
      <c r="Q357" s="1653">
        <v>20.052</v>
      </c>
      <c r="R357" s="1653"/>
      <c r="S357" s="1653">
        <v>215.17</v>
      </c>
      <c r="T357" s="1653">
        <v>164.24</v>
      </c>
      <c r="U357" s="1653"/>
      <c r="V357" s="1653">
        <v>7607.9293199999993</v>
      </c>
      <c r="W357" s="1653">
        <v>7607.9293199999993</v>
      </c>
      <c r="X357" s="1653">
        <v>7376.9302800000005</v>
      </c>
      <c r="Y357" s="1653">
        <v>0</v>
      </c>
      <c r="Z357" s="1653">
        <v>726.37662793052459</v>
      </c>
      <c r="AA357" s="1653">
        <v>0</v>
      </c>
      <c r="AB357" s="1653">
        <v>0</v>
      </c>
      <c r="AC357" s="1653">
        <v>0</v>
      </c>
      <c r="AD357" s="1653">
        <v>1035.748174135312</v>
      </c>
      <c r="AE357" s="1653">
        <v>2383.1303753155416</v>
      </c>
      <c r="AF357" s="1653">
        <v>3293.4117811792798</v>
      </c>
      <c r="AG357" s="1653">
        <v>0</v>
      </c>
      <c r="AH357" s="1653">
        <v>0</v>
      </c>
      <c r="AI357" s="1653">
        <v>0</v>
      </c>
      <c r="AJ357" s="1653">
        <v>0</v>
      </c>
      <c r="AK357" s="1653">
        <v>0</v>
      </c>
      <c r="AL357" s="1653">
        <v>112.32988642068175</v>
      </c>
      <c r="AM357" s="1653"/>
      <c r="AN357" s="1653">
        <v>12.814327304708593</v>
      </c>
      <c r="AO357" s="1653">
        <v>0</v>
      </c>
      <c r="AP357" s="1653">
        <v>0</v>
      </c>
      <c r="AQ357" s="1653">
        <v>0</v>
      </c>
      <c r="AR357" s="1653">
        <v>0</v>
      </c>
      <c r="AS357" s="1653">
        <v>0</v>
      </c>
      <c r="AT357" s="1653">
        <v>0</v>
      </c>
      <c r="AU357" s="1653">
        <v>0</v>
      </c>
      <c r="AV357" s="1653">
        <v>0</v>
      </c>
      <c r="AW357" s="1653">
        <v>0</v>
      </c>
      <c r="AX357" s="1653">
        <v>0</v>
      </c>
      <c r="AY357" s="1653">
        <v>0</v>
      </c>
      <c r="AZ357" s="1653">
        <v>0</v>
      </c>
      <c r="BA357" s="1653"/>
      <c r="BB357" s="1653">
        <v>0</v>
      </c>
      <c r="BC357" s="1653">
        <v>0</v>
      </c>
      <c r="BD357" s="1653">
        <v>0</v>
      </c>
      <c r="BE357" s="1653">
        <v>0</v>
      </c>
      <c r="BF357" s="1653">
        <v>0</v>
      </c>
      <c r="BG357" s="1653">
        <v>44.255881755995354</v>
      </c>
      <c r="BH357" s="1653">
        <v>0</v>
      </c>
      <c r="BI357" s="1653">
        <v>0</v>
      </c>
      <c r="BJ357" s="1653">
        <v>0</v>
      </c>
      <c r="BK357" s="1653">
        <v>2244.3000000000002</v>
      </c>
      <c r="BL357" s="1653">
        <v>6</v>
      </c>
      <c r="BM357" s="1653"/>
      <c r="BN357" s="1653"/>
      <c r="BO357" s="1653"/>
      <c r="BP357" s="1653"/>
      <c r="BQ357" s="1653"/>
      <c r="BR357" s="1653"/>
      <c r="BS357" s="1653"/>
      <c r="BT357" s="1653"/>
      <c r="BU357" s="1653"/>
      <c r="BV357" s="1653">
        <v>3337.6676629352751</v>
      </c>
      <c r="BW357" s="1653"/>
      <c r="BX357" s="1653"/>
      <c r="BY357" s="1653"/>
      <c r="BZ357" s="1653"/>
      <c r="CA357" s="1653"/>
      <c r="CB357" s="1653"/>
      <c r="CC357" s="1653"/>
      <c r="CD357" s="1653"/>
      <c r="CE357" s="1653"/>
      <c r="CF357" s="1653"/>
      <c r="CG357" s="1653"/>
      <c r="CH357" s="1653"/>
      <c r="CI357" s="1653">
        <v>7376.1945000000005</v>
      </c>
      <c r="CJ357" s="1653">
        <v>-231.76481999999942</v>
      </c>
      <c r="CK357" s="1653"/>
      <c r="CL357" s="1653"/>
      <c r="CM357" s="1653"/>
      <c r="CN357" s="1653"/>
      <c r="CO357" s="1653">
        <v>-387.60515999999967</v>
      </c>
      <c r="CP357" s="1653">
        <v>156.60612000000003</v>
      </c>
      <c r="CQ357" s="1653">
        <v>30</v>
      </c>
      <c r="CR357" s="1653">
        <v>147.52513346369142</v>
      </c>
      <c r="CS357" s="1653">
        <v>0</v>
      </c>
      <c r="CT357" s="1653">
        <v>0</v>
      </c>
      <c r="CU357" s="1653">
        <v>0</v>
      </c>
      <c r="CV357" s="1653">
        <v>0</v>
      </c>
      <c r="CW357" s="1653">
        <v>0</v>
      </c>
      <c r="CX357" s="1653">
        <v>0</v>
      </c>
      <c r="CY357" s="1653">
        <v>0</v>
      </c>
      <c r="CZ357" s="1653">
        <v>35.503833821466515</v>
      </c>
      <c r="DA357" s="1653">
        <v>0</v>
      </c>
      <c r="DB357" s="1653">
        <v>0</v>
      </c>
      <c r="DC357" s="1653">
        <v>177.41517203797866</v>
      </c>
      <c r="DD357" s="1653">
        <v>0</v>
      </c>
      <c r="DE357" s="1653">
        <v>0</v>
      </c>
      <c r="DF357" s="1653">
        <v>0</v>
      </c>
      <c r="DG357" s="1653">
        <v>2.3840519792581176</v>
      </c>
      <c r="DH357" s="1653">
        <v>0</v>
      </c>
      <c r="DI357" s="1653">
        <v>-46.300172482999415</v>
      </c>
      <c r="DJ357" s="1653"/>
      <c r="DK357" s="1653">
        <v>0</v>
      </c>
      <c r="DL357" s="1653">
        <v>0</v>
      </c>
      <c r="DM357" s="1653">
        <v>0</v>
      </c>
      <c r="DN357" s="1653">
        <v>0</v>
      </c>
      <c r="DO357" s="1653">
        <v>-5.8896578751743789</v>
      </c>
      <c r="DP357" s="1653">
        <v>-0.84548188915927547</v>
      </c>
      <c r="DQ357" s="1653">
        <v>0</v>
      </c>
      <c r="DR357" s="1653">
        <v>-14.742612127677354</v>
      </c>
      <c r="DS357" s="1653"/>
      <c r="DT357" s="1653"/>
      <c r="DU357" s="1653"/>
      <c r="DV357" s="1653">
        <v>2383.1303753155416</v>
      </c>
      <c r="DW357" s="1653">
        <v>0</v>
      </c>
      <c r="DX357" s="1653">
        <v>0</v>
      </c>
      <c r="DY357" s="1653">
        <v>-387.60515999999961</v>
      </c>
      <c r="DZ357" s="1653">
        <v>156.60611999999992</v>
      </c>
      <c r="EA357" s="1653">
        <v>0</v>
      </c>
      <c r="EB357" s="1653">
        <v>0</v>
      </c>
      <c r="EC357" s="1653">
        <v>-378.80567897904029</v>
      </c>
      <c r="ED357" s="1653">
        <v>0</v>
      </c>
      <c r="EE357" s="1653">
        <v>0</v>
      </c>
      <c r="EF357" s="1653">
        <v>0</v>
      </c>
      <c r="EG357" s="1653">
        <v>0</v>
      </c>
      <c r="EH357" s="1653">
        <v>0</v>
      </c>
      <c r="EI357" s="1653">
        <v>0</v>
      </c>
      <c r="EJ357" s="1653">
        <v>0</v>
      </c>
      <c r="EK357" s="1653">
        <v>0</v>
      </c>
      <c r="EL357" s="1653">
        <v>0</v>
      </c>
      <c r="EM357" s="1653">
        <v>0</v>
      </c>
      <c r="EN357" s="1653">
        <v>0</v>
      </c>
      <c r="EO357" s="1653">
        <v>0</v>
      </c>
      <c r="EP357" s="1653">
        <v>0</v>
      </c>
      <c r="EQ357" s="1653">
        <v>0</v>
      </c>
      <c r="ER357" s="1653">
        <v>0</v>
      </c>
      <c r="ES357" s="1653">
        <v>0</v>
      </c>
      <c r="ET357" s="1653">
        <v>0</v>
      </c>
      <c r="EU357" s="1653">
        <v>0</v>
      </c>
      <c r="EV357" s="1653">
        <v>210</v>
      </c>
      <c r="EW357" s="1653">
        <v>0</v>
      </c>
      <c r="EX357" s="1653">
        <v>0</v>
      </c>
      <c r="EY357" s="1653">
        <v>0</v>
      </c>
      <c r="EZ357" s="1653"/>
      <c r="FA357" s="1653">
        <v>0</v>
      </c>
      <c r="FB357" s="1653"/>
      <c r="FC357" s="1653"/>
      <c r="FD357" s="1653"/>
      <c r="FE357" s="1653"/>
      <c r="FF357" s="1653">
        <v>0</v>
      </c>
      <c r="FG357" s="1653">
        <v>0</v>
      </c>
      <c r="FH357" s="1653">
        <v>0</v>
      </c>
      <c r="FI357" s="1653">
        <v>0</v>
      </c>
    </row>
    <row r="358" spans="1:165">
      <c r="A358" s="1653">
        <v>356</v>
      </c>
      <c r="B358" s="1653" t="s">
        <v>2260</v>
      </c>
      <c r="C358" s="1653" t="s">
        <v>2241</v>
      </c>
      <c r="D358" s="1653" t="s">
        <v>1992</v>
      </c>
      <c r="E358" s="1653" t="s">
        <v>1000</v>
      </c>
      <c r="F358" s="1653" t="s">
        <v>2253</v>
      </c>
      <c r="G358" s="1653" t="s">
        <v>1323</v>
      </c>
      <c r="H358" s="1653" t="s">
        <v>1323</v>
      </c>
      <c r="I358" s="1653" t="s">
        <v>1323</v>
      </c>
      <c r="J358" s="1653" t="s">
        <v>2242</v>
      </c>
      <c r="K358" s="1654">
        <v>44652</v>
      </c>
      <c r="L358" s="1653">
        <v>0</v>
      </c>
      <c r="M358" s="1653">
        <v>0</v>
      </c>
      <c r="N358" s="1653">
        <v>2.7570000000000001</v>
      </c>
      <c r="O358" s="1653">
        <v>2.59158</v>
      </c>
      <c r="P358" s="1653">
        <v>2.7570000000000001</v>
      </c>
      <c r="Q358" s="1653">
        <v>2.59158</v>
      </c>
      <c r="R358" s="1653"/>
      <c r="S358" s="1653">
        <v>358.62</v>
      </c>
      <c r="T358" s="1653">
        <v>273.74</v>
      </c>
      <c r="U358" s="1653"/>
      <c r="V358" s="1653">
        <v>1743.4165200000002</v>
      </c>
      <c r="W358" s="1653">
        <v>1743.4165200000002</v>
      </c>
      <c r="X358" s="1653">
        <v>1690.42698</v>
      </c>
      <c r="Y358" s="1653">
        <v>0</v>
      </c>
      <c r="Z358" s="1653">
        <v>166.4522544055836</v>
      </c>
      <c r="AA358" s="1653">
        <v>0</v>
      </c>
      <c r="AB358" s="1653">
        <v>0</v>
      </c>
      <c r="AC358" s="1653">
        <v>0</v>
      </c>
      <c r="AD358" s="1653">
        <v>237.34604329502062</v>
      </c>
      <c r="AE358" s="1653">
        <v>546.10433246433752</v>
      </c>
      <c r="AF358" s="1653">
        <v>754.69913896463243</v>
      </c>
      <c r="AG358" s="1653">
        <v>0</v>
      </c>
      <c r="AH358" s="1653">
        <v>0</v>
      </c>
      <c r="AI358" s="1653">
        <v>0</v>
      </c>
      <c r="AJ358" s="1653">
        <v>0</v>
      </c>
      <c r="AK358" s="1653">
        <v>0</v>
      </c>
      <c r="AL358" s="1653">
        <v>25.740865155746725</v>
      </c>
      <c r="AM358" s="1653"/>
      <c r="AN358" s="1653">
        <v>2.9364569102900497</v>
      </c>
      <c r="AO358" s="1653">
        <v>0</v>
      </c>
      <c r="AP358" s="1653">
        <v>0</v>
      </c>
      <c r="AQ358" s="1653">
        <v>0</v>
      </c>
      <c r="AR358" s="1653">
        <v>0</v>
      </c>
      <c r="AS358" s="1653">
        <v>0</v>
      </c>
      <c r="AT358" s="1653">
        <v>0</v>
      </c>
      <c r="AU358" s="1653">
        <v>0</v>
      </c>
      <c r="AV358" s="1653">
        <v>0</v>
      </c>
      <c r="AW358" s="1653">
        <v>0</v>
      </c>
      <c r="AX358" s="1653">
        <v>0</v>
      </c>
      <c r="AY358" s="1653">
        <v>0</v>
      </c>
      <c r="AZ358" s="1653">
        <v>0</v>
      </c>
      <c r="BA358" s="1653"/>
      <c r="BB358" s="1653">
        <v>0</v>
      </c>
      <c r="BC358" s="1653">
        <v>0</v>
      </c>
      <c r="BD358" s="1653">
        <v>0</v>
      </c>
      <c r="BE358" s="1653">
        <v>0</v>
      </c>
      <c r="BF358" s="1653">
        <v>0</v>
      </c>
      <c r="BG358" s="1653">
        <v>10.141421138479858</v>
      </c>
      <c r="BH358" s="1653">
        <v>0</v>
      </c>
      <c r="BI358" s="1653">
        <v>0</v>
      </c>
      <c r="BJ358" s="1653">
        <v>0</v>
      </c>
      <c r="BK358" s="1653">
        <v>388.43</v>
      </c>
      <c r="BL358" s="1653">
        <v>3</v>
      </c>
      <c r="BM358" s="1653"/>
      <c r="BN358" s="1653"/>
      <c r="BO358" s="1653"/>
      <c r="BP358" s="1653"/>
      <c r="BQ358" s="1653">
        <v>101.42561880000008</v>
      </c>
      <c r="BR358" s="1653"/>
      <c r="BS358" s="1653"/>
      <c r="BT358" s="1653"/>
      <c r="BU358" s="1653"/>
      <c r="BV358" s="1653">
        <v>764.84056010311224</v>
      </c>
      <c r="BW358" s="1653"/>
      <c r="BX358" s="1653"/>
      <c r="BY358" s="1653"/>
      <c r="BZ358" s="1653"/>
      <c r="CA358" s="1653"/>
      <c r="CB358" s="1653"/>
      <c r="CC358" s="1653"/>
      <c r="CD358" s="1653"/>
      <c r="CE358" s="1653"/>
      <c r="CF358" s="1653"/>
      <c r="CG358" s="1653"/>
      <c r="CH358" s="1653"/>
      <c r="CI358" s="1653">
        <v>1588.0326</v>
      </c>
      <c r="CJ358" s="1653">
        <v>-50.808928799999876</v>
      </c>
      <c r="CK358" s="1653"/>
      <c r="CL358" s="1653"/>
      <c r="CM358" s="1653"/>
      <c r="CN358" s="1653"/>
      <c r="CO358" s="1653">
        <v>-88.830540000000084</v>
      </c>
      <c r="CP358" s="1653">
        <v>35.841000000000001</v>
      </c>
      <c r="CQ358" s="1653">
        <v>30</v>
      </c>
      <c r="CR358" s="1653">
        <v>33.806003803395242</v>
      </c>
      <c r="CS358" s="1653">
        <v>0</v>
      </c>
      <c r="CT358" s="1653">
        <v>0</v>
      </c>
      <c r="CU358" s="1653">
        <v>0</v>
      </c>
      <c r="CV358" s="1653">
        <v>0</v>
      </c>
      <c r="CW358" s="1653">
        <v>0</v>
      </c>
      <c r="CX358" s="1653">
        <v>0</v>
      </c>
      <c r="CY358" s="1653">
        <v>0</v>
      </c>
      <c r="CZ358" s="1653">
        <v>8.1358526037126353</v>
      </c>
      <c r="DA358" s="1653">
        <v>0</v>
      </c>
      <c r="DB358" s="1653">
        <v>0</v>
      </c>
      <c r="DC358" s="1653">
        <v>40.655431653426717</v>
      </c>
      <c r="DD358" s="1653">
        <v>0</v>
      </c>
      <c r="DE358" s="1653">
        <v>0</v>
      </c>
      <c r="DF358" s="1653">
        <v>0</v>
      </c>
      <c r="DG358" s="1653">
        <v>0.54631552187768051</v>
      </c>
      <c r="DH358" s="1653">
        <v>0</v>
      </c>
      <c r="DI358" s="1653">
        <v>-10.609878942718126</v>
      </c>
      <c r="DJ358" s="1653"/>
      <c r="DK358" s="1653">
        <v>0</v>
      </c>
      <c r="DL358" s="1653">
        <v>0</v>
      </c>
      <c r="DM358" s="1653">
        <v>0</v>
      </c>
      <c r="DN358" s="1653">
        <v>0</v>
      </c>
      <c r="DO358" s="1653">
        <v>-1.3496398332548942</v>
      </c>
      <c r="DP358" s="1653">
        <v>-0.19374572514896338</v>
      </c>
      <c r="DQ358" s="1653">
        <v>0</v>
      </c>
      <c r="DR358" s="1653">
        <v>-3.3783314745001807</v>
      </c>
      <c r="DS358" s="1653"/>
      <c r="DT358" s="1653"/>
      <c r="DU358" s="1653"/>
      <c r="DV358" s="1653">
        <v>546.10433246433752</v>
      </c>
      <c r="DW358" s="1653">
        <v>0</v>
      </c>
      <c r="DX358" s="1653">
        <v>0</v>
      </c>
      <c r="DY358" s="1653">
        <v>-88.830540000000155</v>
      </c>
      <c r="DZ358" s="1653">
        <v>35.841000000000008</v>
      </c>
      <c r="EA358" s="1653">
        <v>0</v>
      </c>
      <c r="EB358" s="1653">
        <v>0</v>
      </c>
      <c r="EC358" s="1653">
        <v>-86.804911974301831</v>
      </c>
      <c r="ED358" s="1653">
        <v>0</v>
      </c>
      <c r="EE358" s="1653">
        <v>0</v>
      </c>
      <c r="EF358" s="1653">
        <v>0</v>
      </c>
      <c r="EG358" s="1653">
        <v>0</v>
      </c>
      <c r="EH358" s="1653">
        <v>0</v>
      </c>
      <c r="EI358" s="1653">
        <v>0</v>
      </c>
      <c r="EJ358" s="1653">
        <v>0</v>
      </c>
      <c r="EK358" s="1653">
        <v>0</v>
      </c>
      <c r="EL358" s="1653">
        <v>0</v>
      </c>
      <c r="EM358" s="1653">
        <v>0</v>
      </c>
      <c r="EN358" s="1653">
        <v>0</v>
      </c>
      <c r="EO358" s="1653">
        <v>0</v>
      </c>
      <c r="EP358" s="1653">
        <v>0</v>
      </c>
      <c r="EQ358" s="1653">
        <v>0</v>
      </c>
      <c r="ER358" s="1653">
        <v>0</v>
      </c>
      <c r="ES358" s="1653">
        <v>0</v>
      </c>
      <c r="ET358" s="1653">
        <v>0</v>
      </c>
      <c r="EU358" s="1653">
        <v>0</v>
      </c>
      <c r="EV358" s="1653">
        <v>210</v>
      </c>
      <c r="EW358" s="1653">
        <v>0</v>
      </c>
      <c r="EX358" s="1653">
        <v>0</v>
      </c>
      <c r="EY358" s="1653">
        <v>0</v>
      </c>
      <c r="EZ358" s="1653"/>
      <c r="FA358" s="1653">
        <v>0</v>
      </c>
      <c r="FB358" s="1653"/>
      <c r="FC358" s="1653"/>
      <c r="FD358" s="1653"/>
      <c r="FE358" s="1653"/>
      <c r="FF358" s="1653">
        <v>0</v>
      </c>
      <c r="FG358" s="1653">
        <v>0</v>
      </c>
      <c r="FH358" s="1653">
        <v>0</v>
      </c>
      <c r="FI358" s="1653">
        <v>0</v>
      </c>
    </row>
    <row r="359" spans="1:165">
      <c r="A359" s="1653">
        <v>357</v>
      </c>
      <c r="B359" s="1653" t="s">
        <v>2260</v>
      </c>
      <c r="C359" s="1653" t="s">
        <v>2246</v>
      </c>
      <c r="D359" s="1653" t="s">
        <v>595</v>
      </c>
      <c r="E359" s="1653" t="s">
        <v>1000</v>
      </c>
      <c r="F359" s="1653" t="s">
        <v>2253</v>
      </c>
      <c r="G359" s="1653" t="s">
        <v>1323</v>
      </c>
      <c r="H359" s="1653" t="s">
        <v>1323</v>
      </c>
      <c r="I359" s="1653" t="s">
        <v>972</v>
      </c>
      <c r="J359" s="1653" t="s">
        <v>2242</v>
      </c>
      <c r="K359" s="1654">
        <v>44652</v>
      </c>
      <c r="L359" s="1653">
        <v>0</v>
      </c>
      <c r="M359" s="1653">
        <v>0</v>
      </c>
      <c r="N359" s="1653">
        <v>7.1740000000000004</v>
      </c>
      <c r="O359" s="1653">
        <v>6.7435599999999996</v>
      </c>
      <c r="P359" s="1653">
        <v>7.1740000000000004</v>
      </c>
      <c r="Q359" s="1653">
        <v>6.7435599999999996</v>
      </c>
      <c r="R359" s="1653"/>
      <c r="S359" s="1653">
        <v>1856.88</v>
      </c>
      <c r="T359" s="1653">
        <v>273.74</v>
      </c>
      <c r="U359" s="1653"/>
      <c r="V359" s="1653">
        <v>15285.067880000002</v>
      </c>
      <c r="W359" s="1653">
        <v>15285.067880000002</v>
      </c>
      <c r="X359" s="1653">
        <v>14005.58498</v>
      </c>
      <c r="Y359" s="1653">
        <v>0</v>
      </c>
      <c r="Z359" s="1653">
        <v>376.81964874933658</v>
      </c>
      <c r="AA359" s="1653">
        <v>0</v>
      </c>
      <c r="AB359" s="1653">
        <v>0</v>
      </c>
      <c r="AC359" s="1653">
        <v>0</v>
      </c>
      <c r="AD359" s="1653">
        <v>3515.9190784314324</v>
      </c>
      <c r="AE359" s="1653">
        <v>9343.2850313705549</v>
      </c>
      <c r="AF359" s="1653">
        <v>1963.8054490142449</v>
      </c>
      <c r="AG359" s="1653">
        <v>0</v>
      </c>
      <c r="AH359" s="1653">
        <v>0</v>
      </c>
      <c r="AI359" s="1653">
        <v>0</v>
      </c>
      <c r="AJ359" s="1653">
        <v>0</v>
      </c>
      <c r="AK359" s="1653">
        <v>0</v>
      </c>
      <c r="AL359" s="1653">
        <v>66.980401388221622</v>
      </c>
      <c r="AM359" s="1653"/>
      <c r="AN359" s="1653">
        <v>6.227662667540641</v>
      </c>
      <c r="AO359" s="1653">
        <v>0</v>
      </c>
      <c r="AP359" s="1653">
        <v>0</v>
      </c>
      <c r="AQ359" s="1653">
        <v>0</v>
      </c>
      <c r="AR359" s="1653">
        <v>0</v>
      </c>
      <c r="AS359" s="1653">
        <v>0</v>
      </c>
      <c r="AT359" s="1653">
        <v>0</v>
      </c>
      <c r="AU359" s="1653">
        <v>0</v>
      </c>
      <c r="AV359" s="1653">
        <v>0</v>
      </c>
      <c r="AW359" s="1653">
        <v>0</v>
      </c>
      <c r="AX359" s="1653">
        <v>0</v>
      </c>
      <c r="AY359" s="1653">
        <v>0</v>
      </c>
      <c r="AZ359" s="1653">
        <v>0</v>
      </c>
      <c r="BA359" s="1653"/>
      <c r="BB359" s="1653">
        <v>0</v>
      </c>
      <c r="BC359" s="1653">
        <v>0</v>
      </c>
      <c r="BD359" s="1653">
        <v>0</v>
      </c>
      <c r="BE359" s="1653">
        <v>0</v>
      </c>
      <c r="BF359" s="1653">
        <v>0</v>
      </c>
      <c r="BG359" s="1653">
        <v>12.004439813092757</v>
      </c>
      <c r="BH359" s="1653">
        <v>0</v>
      </c>
      <c r="BI359" s="1653">
        <v>0</v>
      </c>
      <c r="BJ359" s="1653">
        <v>0</v>
      </c>
      <c r="BK359" s="1653">
        <v>0</v>
      </c>
      <c r="BL359" s="1653">
        <v>0</v>
      </c>
      <c r="BM359" s="1653"/>
      <c r="BN359" s="1653"/>
      <c r="BO359" s="1653"/>
      <c r="BP359" s="1653"/>
      <c r="BQ359" s="1653">
        <v>840.33509880000156</v>
      </c>
      <c r="BR359" s="1653"/>
      <c r="BS359" s="1653"/>
      <c r="BT359" s="1653"/>
      <c r="BU359" s="1653"/>
      <c r="BV359" s="1653">
        <v>1975.8098888273378</v>
      </c>
      <c r="BW359" s="1653"/>
      <c r="BX359" s="1653"/>
      <c r="BY359" s="1653"/>
      <c r="BZ359" s="1653"/>
      <c r="CA359" s="1653"/>
      <c r="CB359" s="1653"/>
      <c r="CC359" s="1653"/>
      <c r="CD359" s="1653"/>
      <c r="CE359" s="1653"/>
      <c r="CF359" s="1653"/>
      <c r="CG359" s="1653"/>
      <c r="CH359" s="1653"/>
      <c r="CI359" s="1653">
        <v>13158.299800000001</v>
      </c>
      <c r="CJ359" s="1653">
        <v>-1209.6940071999998</v>
      </c>
      <c r="CK359" s="1653"/>
      <c r="CL359" s="1653"/>
      <c r="CM359" s="1653"/>
      <c r="CN359" s="1653"/>
      <c r="CO359" s="1653">
        <v>-1372.7449000000011</v>
      </c>
      <c r="CP359" s="1653">
        <v>93.262</v>
      </c>
      <c r="CQ359" s="1653">
        <v>30</v>
      </c>
      <c r="CR359" s="1653">
        <v>205.73723024873834</v>
      </c>
      <c r="CS359" s="1653">
        <v>0</v>
      </c>
      <c r="CT359" s="1653">
        <v>0</v>
      </c>
      <c r="CU359" s="1653">
        <v>0</v>
      </c>
      <c r="CV359" s="1653">
        <v>0</v>
      </c>
      <c r="CW359" s="1653">
        <v>0</v>
      </c>
      <c r="CX359" s="1653">
        <v>0</v>
      </c>
      <c r="CY359" s="1653">
        <v>0</v>
      </c>
      <c r="CZ359" s="1653">
        <v>120.52022857251632</v>
      </c>
      <c r="DA359" s="1653">
        <v>0</v>
      </c>
      <c r="DB359" s="1653">
        <v>0</v>
      </c>
      <c r="DC359" s="1653">
        <v>105.78965059183292</v>
      </c>
      <c r="DD359" s="1653">
        <v>0</v>
      </c>
      <c r="DE359" s="1653">
        <v>0</v>
      </c>
      <c r="DF359" s="1653">
        <v>0</v>
      </c>
      <c r="DG359" s="1653">
        <v>0.64667581710570232</v>
      </c>
      <c r="DH359" s="1653">
        <v>0</v>
      </c>
      <c r="DI359" s="1653">
        <v>-24.018964902249536</v>
      </c>
      <c r="DJ359" s="1653"/>
      <c r="DK359" s="1653">
        <v>0</v>
      </c>
      <c r="DL359" s="1653">
        <v>0</v>
      </c>
      <c r="DM359" s="1653">
        <v>0</v>
      </c>
      <c r="DN359" s="1653">
        <v>0</v>
      </c>
      <c r="DO359" s="1653">
        <v>-3.5119028522925717</v>
      </c>
      <c r="DP359" s="1653">
        <v>-0.41089757362950152</v>
      </c>
      <c r="DQ359" s="1653">
        <v>0</v>
      </c>
      <c r="DR359" s="1653">
        <v>6.7224405954538682</v>
      </c>
      <c r="DS359" s="1653"/>
      <c r="DT359" s="1653"/>
      <c r="DU359" s="1653"/>
      <c r="DV359" s="1653">
        <v>9343.2850313705549</v>
      </c>
      <c r="DW359" s="1653">
        <v>0</v>
      </c>
      <c r="DX359" s="1653">
        <v>0</v>
      </c>
      <c r="DY359" s="1653">
        <v>-1372.7449000000015</v>
      </c>
      <c r="DZ359" s="1653">
        <v>93.261999999999944</v>
      </c>
      <c r="EA359" s="1653">
        <v>0</v>
      </c>
      <c r="EB359" s="1653">
        <v>0</v>
      </c>
      <c r="EC359" s="1653">
        <v>-1485.1430147770488</v>
      </c>
      <c r="ED359" s="1653">
        <v>0</v>
      </c>
      <c r="EE359" s="1653">
        <v>0</v>
      </c>
      <c r="EF359" s="1653">
        <v>0</v>
      </c>
      <c r="EG359" s="1653">
        <v>0</v>
      </c>
      <c r="EH359" s="1653">
        <v>0</v>
      </c>
      <c r="EI359" s="1653">
        <v>0</v>
      </c>
      <c r="EJ359" s="1653">
        <v>0</v>
      </c>
      <c r="EK359" s="1653">
        <v>0</v>
      </c>
      <c r="EL359" s="1653">
        <v>0</v>
      </c>
      <c r="EM359" s="1653">
        <v>0</v>
      </c>
      <c r="EN359" s="1653">
        <v>0</v>
      </c>
      <c r="EO359" s="1653">
        <v>0</v>
      </c>
      <c r="EP359" s="1653">
        <v>0</v>
      </c>
      <c r="EQ359" s="1653">
        <v>0</v>
      </c>
      <c r="ER359" s="1653">
        <v>0</v>
      </c>
      <c r="ES359" s="1653">
        <v>0</v>
      </c>
      <c r="ET359" s="1653">
        <v>0</v>
      </c>
      <c r="EU359" s="1653">
        <v>0</v>
      </c>
      <c r="EV359" s="1653">
        <v>210</v>
      </c>
      <c r="EW359" s="1653">
        <v>0</v>
      </c>
      <c r="EX359" s="1653">
        <v>0</v>
      </c>
      <c r="EY359" s="1653">
        <v>0</v>
      </c>
      <c r="EZ359" s="1653"/>
      <c r="FA359" s="1653">
        <v>0</v>
      </c>
      <c r="FB359" s="1653"/>
      <c r="FC359" s="1653"/>
      <c r="FD359" s="1653"/>
      <c r="FE359" s="1653"/>
      <c r="FF359" s="1653">
        <v>0</v>
      </c>
      <c r="FG359" s="1653">
        <v>0</v>
      </c>
      <c r="FH359" s="1653">
        <v>0</v>
      </c>
      <c r="FI359" s="1653">
        <v>0</v>
      </c>
    </row>
    <row r="360" spans="1:165">
      <c r="A360" s="1653">
        <v>358</v>
      </c>
      <c r="B360" s="1653" t="s">
        <v>2260</v>
      </c>
      <c r="C360" s="1653" t="s">
        <v>2246</v>
      </c>
      <c r="D360" s="1653" t="s">
        <v>595</v>
      </c>
      <c r="E360" s="1653" t="s">
        <v>1000</v>
      </c>
      <c r="F360" s="1653" t="s">
        <v>2253</v>
      </c>
      <c r="G360" s="1653" t="s">
        <v>1323</v>
      </c>
      <c r="H360" s="1653" t="s">
        <v>1323</v>
      </c>
      <c r="I360" s="1653" t="s">
        <v>2234</v>
      </c>
      <c r="J360" s="1653" t="s">
        <v>2242</v>
      </c>
      <c r="K360" s="1654">
        <v>44652</v>
      </c>
      <c r="L360" s="1653">
        <v>0</v>
      </c>
      <c r="M360" s="1653">
        <v>0</v>
      </c>
      <c r="N360" s="1653">
        <v>65.638999999999996</v>
      </c>
      <c r="O360" s="1653">
        <v>61.700659999999992</v>
      </c>
      <c r="P360" s="1653">
        <v>65.638999999999996</v>
      </c>
      <c r="Q360" s="1653">
        <v>61.700659999999992</v>
      </c>
      <c r="R360" s="1653"/>
      <c r="S360" s="1653">
        <v>64.400000000000006</v>
      </c>
      <c r="T360" s="1653">
        <v>273.74</v>
      </c>
      <c r="U360" s="1653"/>
      <c r="V360" s="1653">
        <v>22195.171460000001</v>
      </c>
      <c r="W360" s="1653">
        <v>22195.171460000001</v>
      </c>
      <c r="X360" s="1653">
        <v>22804.957770000001</v>
      </c>
      <c r="Y360" s="1653">
        <v>0</v>
      </c>
      <c r="Z360" s="1653">
        <v>3447.736956266755</v>
      </c>
      <c r="AA360" s="1653">
        <v>0</v>
      </c>
      <c r="AB360" s="1653">
        <v>0</v>
      </c>
      <c r="AC360" s="1653">
        <v>0</v>
      </c>
      <c r="AD360" s="1653">
        <v>0</v>
      </c>
      <c r="AE360" s="1653">
        <v>0</v>
      </c>
      <c r="AF360" s="1653">
        <v>17967.971266775301</v>
      </c>
      <c r="AG360" s="1653">
        <v>0</v>
      </c>
      <c r="AH360" s="1653">
        <v>0</v>
      </c>
      <c r="AI360" s="1653">
        <v>0</v>
      </c>
      <c r="AJ360" s="1653">
        <v>0</v>
      </c>
      <c r="AK360" s="1653">
        <v>0</v>
      </c>
      <c r="AL360" s="1653">
        <v>612.84172940081942</v>
      </c>
      <c r="AM360" s="1653"/>
      <c r="AN360" s="1653">
        <v>56.980422335475339</v>
      </c>
      <c r="AO360" s="1653">
        <v>0</v>
      </c>
      <c r="AP360" s="1653">
        <v>0</v>
      </c>
      <c r="AQ360" s="1653">
        <v>0</v>
      </c>
      <c r="AR360" s="1653">
        <v>0</v>
      </c>
      <c r="AS360" s="1653">
        <v>0</v>
      </c>
      <c r="AT360" s="1653">
        <v>0</v>
      </c>
      <c r="AU360" s="1653">
        <v>0</v>
      </c>
      <c r="AV360" s="1653">
        <v>0</v>
      </c>
      <c r="AW360" s="1653">
        <v>0</v>
      </c>
      <c r="AX360" s="1653">
        <v>0</v>
      </c>
      <c r="AY360" s="1653">
        <v>0</v>
      </c>
      <c r="AZ360" s="1653">
        <v>0</v>
      </c>
      <c r="BA360" s="1653"/>
      <c r="BB360" s="1653">
        <v>0</v>
      </c>
      <c r="BC360" s="1653">
        <v>0</v>
      </c>
      <c r="BD360" s="1653">
        <v>0</v>
      </c>
      <c r="BE360" s="1653">
        <v>0</v>
      </c>
      <c r="BF360" s="1653">
        <v>0</v>
      </c>
      <c r="BG360" s="1653">
        <v>109.83543697959234</v>
      </c>
      <c r="BH360" s="1653">
        <v>0</v>
      </c>
      <c r="BI360" s="1653">
        <v>0</v>
      </c>
      <c r="BJ360" s="1653">
        <v>0</v>
      </c>
      <c r="BK360" s="1653">
        <v>0</v>
      </c>
      <c r="BL360" s="1653">
        <v>0</v>
      </c>
      <c r="BM360" s="1653"/>
      <c r="BN360" s="1653"/>
      <c r="BO360" s="1653"/>
      <c r="BP360" s="1653"/>
      <c r="BQ360" s="1653">
        <v>1368.2974662000013</v>
      </c>
      <c r="BR360" s="1653"/>
      <c r="BS360" s="1653"/>
      <c r="BT360" s="1653"/>
      <c r="BU360" s="1653"/>
      <c r="BV360" s="1653">
        <v>18077.806703754894</v>
      </c>
      <c r="BW360" s="1653"/>
      <c r="BX360" s="1653"/>
      <c r="BY360" s="1653"/>
      <c r="BZ360" s="1653"/>
      <c r="CA360" s="1653"/>
      <c r="CB360" s="1653"/>
      <c r="CC360" s="1653"/>
      <c r="CD360" s="1653"/>
      <c r="CE360" s="1653"/>
      <c r="CF360" s="1653"/>
      <c r="CG360" s="1653"/>
      <c r="CH360" s="1653"/>
      <c r="CI360" s="1653">
        <v>21436.431</v>
      </c>
      <c r="CJ360" s="1653">
        <v>572.9398276000029</v>
      </c>
      <c r="CK360" s="1653"/>
      <c r="CL360" s="1653"/>
      <c r="CM360" s="1653"/>
      <c r="CN360" s="1653"/>
      <c r="CO360" s="1653">
        <v>-243.52069000000051</v>
      </c>
      <c r="CP360" s="1653">
        <v>853.3069999999999</v>
      </c>
      <c r="CQ360" s="1653">
        <v>30</v>
      </c>
      <c r="CR360" s="1653">
        <v>609.88639958503336</v>
      </c>
      <c r="CS360" s="1653">
        <v>0</v>
      </c>
      <c r="CT360" s="1653">
        <v>0</v>
      </c>
      <c r="CU360" s="1653">
        <v>0</v>
      </c>
      <c r="CV360" s="1653">
        <v>0</v>
      </c>
      <c r="CW360" s="1653">
        <v>0</v>
      </c>
      <c r="CX360" s="1653">
        <v>0</v>
      </c>
      <c r="CY360" s="1653">
        <v>0</v>
      </c>
      <c r="CZ360" s="1653">
        <v>0</v>
      </c>
      <c r="DA360" s="1653">
        <v>0</v>
      </c>
      <c r="DB360" s="1653">
        <v>0</v>
      </c>
      <c r="DC360" s="1653">
        <v>967.92958951732726</v>
      </c>
      <c r="DD360" s="1653">
        <v>0</v>
      </c>
      <c r="DE360" s="1653">
        <v>0</v>
      </c>
      <c r="DF360" s="1653">
        <v>0</v>
      </c>
      <c r="DG360" s="1653">
        <v>5.9168042875663645</v>
      </c>
      <c r="DH360" s="1653">
        <v>0</v>
      </c>
      <c r="DI360" s="1653">
        <v>-219.76314987716114</v>
      </c>
      <c r="DJ360" s="1653"/>
      <c r="DK360" s="1653">
        <v>0</v>
      </c>
      <c r="DL360" s="1653">
        <v>0</v>
      </c>
      <c r="DM360" s="1653">
        <v>0</v>
      </c>
      <c r="DN360" s="1653">
        <v>0</v>
      </c>
      <c r="DO360" s="1653">
        <v>-32.132393549154131</v>
      </c>
      <c r="DP360" s="1653">
        <v>-3.7595352433045548</v>
      </c>
      <c r="DQ360" s="1653">
        <v>0</v>
      </c>
      <c r="DR360" s="1653">
        <v>-108.30491555023616</v>
      </c>
      <c r="DS360" s="1653"/>
      <c r="DT360" s="1653"/>
      <c r="DU360" s="1653"/>
      <c r="DV360" s="1653">
        <v>0</v>
      </c>
      <c r="DW360" s="1653">
        <v>0</v>
      </c>
      <c r="DX360" s="1653">
        <v>0</v>
      </c>
      <c r="DY360" s="1653">
        <v>-243.52069000000074</v>
      </c>
      <c r="DZ360" s="1653">
        <v>853.3070000000007</v>
      </c>
      <c r="EA360" s="1653">
        <v>0</v>
      </c>
      <c r="EB360" s="1653">
        <v>0</v>
      </c>
      <c r="EC360" s="1653">
        <v>0</v>
      </c>
      <c r="ED360" s="1653">
        <v>0</v>
      </c>
      <c r="EE360" s="1653">
        <v>0</v>
      </c>
      <c r="EF360" s="1653">
        <v>0</v>
      </c>
      <c r="EG360" s="1653">
        <v>0</v>
      </c>
      <c r="EH360" s="1653">
        <v>0</v>
      </c>
      <c r="EI360" s="1653">
        <v>0</v>
      </c>
      <c r="EJ360" s="1653">
        <v>0</v>
      </c>
      <c r="EK360" s="1653">
        <v>0</v>
      </c>
      <c r="EL360" s="1653">
        <v>0</v>
      </c>
      <c r="EM360" s="1653">
        <v>0</v>
      </c>
      <c r="EN360" s="1653">
        <v>0</v>
      </c>
      <c r="EO360" s="1653">
        <v>0</v>
      </c>
      <c r="EP360" s="1653">
        <v>0</v>
      </c>
      <c r="EQ360" s="1653">
        <v>0</v>
      </c>
      <c r="ER360" s="1653">
        <v>0</v>
      </c>
      <c r="ES360" s="1653">
        <v>0</v>
      </c>
      <c r="ET360" s="1653">
        <v>0</v>
      </c>
      <c r="EU360" s="1653">
        <v>0</v>
      </c>
      <c r="EV360" s="1653">
        <v>210</v>
      </c>
      <c r="EW360" s="1653">
        <v>0</v>
      </c>
      <c r="EX360" s="1653">
        <v>0</v>
      </c>
      <c r="EY360" s="1653">
        <v>0</v>
      </c>
      <c r="EZ360" s="1653"/>
      <c r="FA360" s="1653">
        <v>0</v>
      </c>
      <c r="FB360" s="1653"/>
      <c r="FC360" s="1653"/>
      <c r="FD360" s="1653"/>
      <c r="FE360" s="1653"/>
      <c r="FF360" s="1653">
        <v>0</v>
      </c>
      <c r="FG360" s="1653">
        <v>0</v>
      </c>
      <c r="FH360" s="1653">
        <v>0</v>
      </c>
      <c r="FI360" s="1653">
        <v>0</v>
      </c>
    </row>
    <row r="361" spans="1:165">
      <c r="A361" s="1653">
        <v>359</v>
      </c>
      <c r="B361" s="1653" t="s">
        <v>2260</v>
      </c>
      <c r="C361" s="1653" t="s">
        <v>2246</v>
      </c>
      <c r="D361" s="1653" t="s">
        <v>595</v>
      </c>
      <c r="E361" s="1653" t="s">
        <v>1000</v>
      </c>
      <c r="F361" s="1653" t="s">
        <v>2253</v>
      </c>
      <c r="G361" s="1653" t="s">
        <v>1323</v>
      </c>
      <c r="H361" s="1653" t="s">
        <v>1323</v>
      </c>
      <c r="I361" s="1653" t="s">
        <v>1323</v>
      </c>
      <c r="J361" s="1653" t="s">
        <v>2242</v>
      </c>
      <c r="K361" s="1654">
        <v>44652</v>
      </c>
      <c r="L361" s="1653">
        <v>140</v>
      </c>
      <c r="M361" s="1653">
        <v>131.6</v>
      </c>
      <c r="N361" s="1653">
        <v>0</v>
      </c>
      <c r="O361" s="1653">
        <v>0</v>
      </c>
      <c r="P361" s="1653">
        <v>0</v>
      </c>
      <c r="Q361" s="1653">
        <v>0</v>
      </c>
      <c r="R361" s="1653">
        <v>33.6</v>
      </c>
      <c r="S361" s="1653"/>
      <c r="T361" s="1653"/>
      <c r="U361" s="1653">
        <v>4704</v>
      </c>
      <c r="V361" s="1653"/>
      <c r="W361" s="1653">
        <v>4704</v>
      </c>
      <c r="X361" s="1653">
        <v>4446.4000000000005</v>
      </c>
      <c r="Y361" s="1653">
        <v>0</v>
      </c>
      <c r="Z361" s="1653">
        <v>0</v>
      </c>
      <c r="AA361" s="1653">
        <v>0</v>
      </c>
      <c r="AB361" s="1653">
        <v>0</v>
      </c>
      <c r="AC361" s="1653">
        <v>0</v>
      </c>
      <c r="AD361" s="1653">
        <v>2498.3720823538683</v>
      </c>
      <c r="AE361" s="1653">
        <v>2205.721001824802</v>
      </c>
      <c r="AF361" s="1653"/>
      <c r="AG361" s="1653"/>
      <c r="AH361" s="1653"/>
      <c r="AI361" s="1653">
        <v>0</v>
      </c>
      <c r="AJ361" s="1653">
        <v>0</v>
      </c>
      <c r="AK361" s="1653">
        <v>0</v>
      </c>
      <c r="AL361" s="1653">
        <v>0</v>
      </c>
      <c r="AM361" s="1653"/>
      <c r="AN361" s="1653">
        <v>0</v>
      </c>
      <c r="AO361" s="1653">
        <v>0</v>
      </c>
      <c r="AP361" s="1653">
        <v>0</v>
      </c>
      <c r="AQ361" s="1653">
        <v>0</v>
      </c>
      <c r="AR361" s="1653">
        <v>0</v>
      </c>
      <c r="AS361" s="1653"/>
      <c r="AT361" s="1653"/>
      <c r="AU361" s="1653">
        <v>0</v>
      </c>
      <c r="AV361" s="1653">
        <v>0</v>
      </c>
      <c r="AW361" s="1653">
        <v>0</v>
      </c>
      <c r="AX361" s="1653"/>
      <c r="AY361" s="1653"/>
      <c r="AZ361" s="1653">
        <v>0</v>
      </c>
      <c r="BA361" s="1653"/>
      <c r="BB361" s="1653">
        <v>0</v>
      </c>
      <c r="BC361" s="1653">
        <v>0</v>
      </c>
      <c r="BD361" s="1653">
        <v>0</v>
      </c>
      <c r="BE361" s="1653">
        <v>0</v>
      </c>
      <c r="BF361" s="1653"/>
      <c r="BG361" s="1653">
        <v>0</v>
      </c>
      <c r="BH361" s="1653">
        <v>0</v>
      </c>
      <c r="BI361" s="1653">
        <v>0</v>
      </c>
      <c r="BJ361" s="1653">
        <v>0</v>
      </c>
      <c r="BK361" s="1653">
        <v>9914.2900000000009</v>
      </c>
      <c r="BL361" s="1653">
        <v>1</v>
      </c>
      <c r="BM361" s="1653"/>
      <c r="BN361" s="1653"/>
      <c r="BO361" s="1653"/>
      <c r="BP361" s="1653"/>
      <c r="BQ361" s="1653">
        <v>266.78400000000022</v>
      </c>
      <c r="BR361" s="1653"/>
      <c r="BS361" s="1653"/>
      <c r="BT361" s="1653"/>
      <c r="BU361" s="1653"/>
      <c r="BV361" s="1653">
        <v>0</v>
      </c>
      <c r="BW361" s="1653"/>
      <c r="BX361" s="1653"/>
      <c r="BY361" s="1653"/>
      <c r="BZ361" s="1653"/>
      <c r="CA361" s="1653"/>
      <c r="CB361" s="1653"/>
      <c r="CC361" s="1653"/>
      <c r="CD361" s="1653"/>
      <c r="CE361" s="1653"/>
      <c r="CF361" s="1653"/>
      <c r="CG361" s="1653"/>
      <c r="CH361" s="1653"/>
      <c r="CI361" s="1653">
        <v>4179.616</v>
      </c>
      <c r="CJ361" s="1653">
        <v>-242.17400000000089</v>
      </c>
      <c r="CK361" s="1653"/>
      <c r="CL361" s="1653"/>
      <c r="CM361" s="1653"/>
      <c r="CN361" s="1653"/>
      <c r="CO361" s="1653">
        <v>-257.59999999999997</v>
      </c>
      <c r="CP361" s="1653">
        <v>0</v>
      </c>
      <c r="CQ361" s="1653">
        <v>30</v>
      </c>
      <c r="CR361" s="1653">
        <v>92.429688544023975</v>
      </c>
      <c r="CS361" s="1653">
        <v>0</v>
      </c>
      <c r="CT361" s="1653">
        <v>0</v>
      </c>
      <c r="CU361" s="1653">
        <v>0</v>
      </c>
      <c r="CV361" s="1653">
        <v>0</v>
      </c>
      <c r="CW361" s="1653"/>
      <c r="CX361" s="1653"/>
      <c r="CY361" s="1653"/>
      <c r="CZ361" s="1653">
        <v>85.640302779317608</v>
      </c>
      <c r="DA361" s="1653">
        <v>0</v>
      </c>
      <c r="DB361" s="1653">
        <v>0</v>
      </c>
      <c r="DC361" s="1653"/>
      <c r="DD361" s="1653"/>
      <c r="DE361" s="1653">
        <v>0</v>
      </c>
      <c r="DF361" s="1653">
        <v>0</v>
      </c>
      <c r="DG361" s="1653">
        <v>0</v>
      </c>
      <c r="DH361" s="1653">
        <v>0</v>
      </c>
      <c r="DI361" s="1653">
        <v>0</v>
      </c>
      <c r="DJ361" s="1653"/>
      <c r="DK361" s="1653">
        <v>0</v>
      </c>
      <c r="DL361" s="1653">
        <v>0</v>
      </c>
      <c r="DM361" s="1653"/>
      <c r="DN361" s="1653">
        <v>0</v>
      </c>
      <c r="DO361" s="1653">
        <v>0</v>
      </c>
      <c r="DP361" s="1653">
        <v>0</v>
      </c>
      <c r="DQ361" s="1653">
        <v>0</v>
      </c>
      <c r="DR361" s="1653">
        <v>6.7893857647062585</v>
      </c>
      <c r="DS361" s="1653"/>
      <c r="DT361" s="1653"/>
      <c r="DU361" s="1653">
        <v>2205.721001824802</v>
      </c>
      <c r="DV361" s="1653"/>
      <c r="DW361" s="1653">
        <v>0</v>
      </c>
      <c r="DX361" s="1653">
        <v>0</v>
      </c>
      <c r="DY361" s="1653">
        <v>-257.59999999999945</v>
      </c>
      <c r="DZ361" s="1653"/>
      <c r="EA361" s="1653">
        <v>0</v>
      </c>
      <c r="EB361" s="1653"/>
      <c r="EC361" s="1653">
        <v>-350.60593007797002</v>
      </c>
      <c r="ED361" s="1653"/>
      <c r="EE361" s="1653">
        <v>0</v>
      </c>
      <c r="EF361" s="1653">
        <v>0</v>
      </c>
      <c r="EG361" s="1653"/>
      <c r="EH361" s="1653">
        <v>0</v>
      </c>
      <c r="EI361" s="1653">
        <v>0</v>
      </c>
      <c r="EJ361" s="1653">
        <v>0</v>
      </c>
      <c r="EK361" s="1653">
        <v>0</v>
      </c>
      <c r="EL361" s="1653">
        <v>0</v>
      </c>
      <c r="EM361" s="1653"/>
      <c r="EN361" s="1653"/>
      <c r="EO361" s="1653">
        <v>0</v>
      </c>
      <c r="EP361" s="1653">
        <v>0</v>
      </c>
      <c r="EQ361" s="1653"/>
      <c r="ER361" s="1653">
        <v>0</v>
      </c>
      <c r="ES361" s="1653"/>
      <c r="ET361" s="1653">
        <v>0</v>
      </c>
      <c r="EU361" s="1653"/>
      <c r="EV361" s="1653">
        <v>210</v>
      </c>
      <c r="EW361" s="1653"/>
      <c r="EX361" s="1653"/>
      <c r="EY361" s="1653"/>
      <c r="EZ361" s="1653"/>
      <c r="FA361" s="1653">
        <v>0</v>
      </c>
      <c r="FB361" s="1653"/>
      <c r="FC361" s="1653"/>
      <c r="FD361" s="1653"/>
      <c r="FE361" s="1653"/>
      <c r="FF361" s="1653">
        <v>0</v>
      </c>
      <c r="FG361" s="1653">
        <v>0</v>
      </c>
      <c r="FH361" s="1653">
        <v>0</v>
      </c>
      <c r="FI361" s="1653">
        <v>0</v>
      </c>
    </row>
    <row r="362" spans="1:165">
      <c r="A362" s="1653">
        <v>360</v>
      </c>
      <c r="B362" s="1653" t="s">
        <v>2260</v>
      </c>
      <c r="C362" s="1653" t="s">
        <v>2241</v>
      </c>
      <c r="D362" s="1653" t="s">
        <v>2247</v>
      </c>
      <c r="E362" s="1653" t="s">
        <v>973</v>
      </c>
      <c r="F362" s="1653" t="s">
        <v>2254</v>
      </c>
      <c r="G362" s="1653" t="s">
        <v>2255</v>
      </c>
      <c r="H362" s="1653" t="s">
        <v>1323</v>
      </c>
      <c r="I362" s="1653" t="s">
        <v>1323</v>
      </c>
      <c r="J362" s="1653" t="s">
        <v>2242</v>
      </c>
      <c r="K362" s="1654">
        <v>44652</v>
      </c>
      <c r="L362" s="1653">
        <v>0</v>
      </c>
      <c r="M362" s="1653">
        <v>0</v>
      </c>
      <c r="N362" s="1653">
        <v>0</v>
      </c>
      <c r="O362" s="1653">
        <v>0</v>
      </c>
      <c r="P362" s="1653">
        <v>0</v>
      </c>
      <c r="Q362" s="1653">
        <v>0</v>
      </c>
      <c r="R362" s="1653"/>
      <c r="S362" s="1653"/>
      <c r="T362" s="1653"/>
      <c r="U362" s="1653"/>
      <c r="V362" s="1653"/>
      <c r="W362" s="1653"/>
      <c r="X362" s="1653"/>
      <c r="Y362" s="1653"/>
      <c r="Z362" s="1653"/>
      <c r="AA362" s="1653">
        <v>0</v>
      </c>
      <c r="AB362" s="1653"/>
      <c r="AC362" s="1653"/>
      <c r="AD362" s="1653"/>
      <c r="AE362" s="1653"/>
      <c r="AF362" s="1653"/>
      <c r="AG362" s="1653"/>
      <c r="AH362" s="1653"/>
      <c r="AI362" s="1653"/>
      <c r="AJ362" s="1653"/>
      <c r="AK362" s="1653"/>
      <c r="AL362" s="1653"/>
      <c r="AM362" s="1653"/>
      <c r="AN362" s="1653"/>
      <c r="AO362" s="1653"/>
      <c r="AP362" s="1653"/>
      <c r="AQ362" s="1653"/>
      <c r="AR362" s="1653"/>
      <c r="AS362" s="1653"/>
      <c r="AT362" s="1653"/>
      <c r="AU362" s="1653"/>
      <c r="AV362" s="1653"/>
      <c r="AW362" s="1653"/>
      <c r="AX362" s="1653"/>
      <c r="AY362" s="1653"/>
      <c r="AZ362" s="1653">
        <v>0</v>
      </c>
      <c r="BA362" s="1653"/>
      <c r="BB362" s="1653"/>
      <c r="BC362" s="1653"/>
      <c r="BD362" s="1653"/>
      <c r="BE362" s="1653"/>
      <c r="BF362" s="1653"/>
      <c r="BG362" s="1653"/>
      <c r="BH362" s="1653"/>
      <c r="BI362" s="1653">
        <v>29.21</v>
      </c>
      <c r="BJ362" s="1653">
        <v>135.24</v>
      </c>
      <c r="BK362" s="1653">
        <v>596.12</v>
      </c>
      <c r="BL362" s="1653">
        <v>34</v>
      </c>
      <c r="BM362" s="1653"/>
      <c r="BN362" s="1653"/>
      <c r="BO362" s="1653"/>
      <c r="BP362" s="1653"/>
      <c r="BQ362" s="1653"/>
      <c r="BR362" s="1653"/>
      <c r="BS362" s="1653"/>
      <c r="BT362" s="1653"/>
      <c r="BU362" s="1653"/>
      <c r="BV362" s="1653"/>
      <c r="BW362" s="1653"/>
      <c r="BX362" s="1653"/>
      <c r="BY362" s="1653"/>
      <c r="BZ362" s="1653"/>
      <c r="CA362" s="1653"/>
      <c r="CB362" s="1653"/>
      <c r="CC362" s="1653"/>
      <c r="CD362" s="1653"/>
      <c r="CE362" s="1653"/>
      <c r="CF362" s="1653"/>
      <c r="CG362" s="1653"/>
      <c r="CH362" s="1653"/>
      <c r="CI362" s="1653"/>
      <c r="CJ362" s="1653">
        <v>-0.03</v>
      </c>
      <c r="CK362" s="1653"/>
      <c r="CL362" s="1653"/>
      <c r="CM362" s="1653"/>
      <c r="CN362" s="1653"/>
      <c r="CO362" s="1653">
        <v>0</v>
      </c>
      <c r="CP362" s="1653">
        <v>0</v>
      </c>
      <c r="CQ362" s="1653">
        <v>30</v>
      </c>
      <c r="CR362" s="1653"/>
      <c r="CS362" s="1653"/>
      <c r="CT362" s="1653"/>
      <c r="CU362" s="1653"/>
      <c r="CV362" s="1653"/>
      <c r="CW362" s="1653"/>
      <c r="CX362" s="1653"/>
      <c r="CY362" s="1653"/>
      <c r="CZ362" s="1653"/>
      <c r="DA362" s="1653"/>
      <c r="DB362" s="1653"/>
      <c r="DC362" s="1653"/>
      <c r="DD362" s="1653"/>
      <c r="DE362" s="1653"/>
      <c r="DF362" s="1653"/>
      <c r="DG362" s="1653"/>
      <c r="DH362" s="1653"/>
      <c r="DI362" s="1653"/>
      <c r="DJ362" s="1653"/>
      <c r="DK362" s="1653">
        <v>0</v>
      </c>
      <c r="DL362" s="1653"/>
      <c r="DM362" s="1653"/>
      <c r="DN362" s="1653"/>
      <c r="DO362" s="1653"/>
      <c r="DP362" s="1653"/>
      <c r="DQ362" s="1653"/>
      <c r="DR362" s="1653"/>
      <c r="DS362" s="1653"/>
      <c r="DT362" s="1653"/>
      <c r="DU362" s="1653"/>
      <c r="DV362" s="1653"/>
      <c r="DW362" s="1653"/>
      <c r="DX362" s="1653"/>
      <c r="DY362" s="1653"/>
      <c r="DZ362" s="1653"/>
      <c r="EA362" s="1653"/>
      <c r="EB362" s="1653"/>
      <c r="EC362" s="1653"/>
      <c r="ED362" s="1653"/>
      <c r="EE362" s="1653"/>
      <c r="EF362" s="1653"/>
      <c r="EG362" s="1653"/>
      <c r="EH362" s="1653"/>
      <c r="EI362" s="1653"/>
      <c r="EJ362" s="1653"/>
      <c r="EK362" s="1653"/>
      <c r="EL362" s="1653"/>
      <c r="EM362" s="1653"/>
      <c r="EN362" s="1653"/>
      <c r="EO362" s="1653"/>
      <c r="EP362" s="1653"/>
      <c r="EQ362" s="1653"/>
      <c r="ER362" s="1653"/>
      <c r="ES362" s="1653"/>
      <c r="ET362" s="1653"/>
      <c r="EU362" s="1653"/>
      <c r="EV362" s="1653">
        <v>210</v>
      </c>
      <c r="EW362" s="1653"/>
      <c r="EX362" s="1653"/>
      <c r="EY362" s="1653"/>
      <c r="EZ362" s="1653"/>
      <c r="FA362" s="1653">
        <v>0</v>
      </c>
      <c r="FB362" s="1653"/>
      <c r="FC362" s="1653"/>
      <c r="FD362" s="1653"/>
      <c r="FE362" s="1653"/>
      <c r="FF362" s="1653">
        <v>0</v>
      </c>
      <c r="FG362" s="1653">
        <v>0</v>
      </c>
      <c r="FH362" s="1653">
        <v>0</v>
      </c>
      <c r="FI362" s="1653">
        <v>0</v>
      </c>
    </row>
    <row r="363" spans="1:165">
      <c r="A363" s="1653">
        <v>361</v>
      </c>
      <c r="B363" s="1653" t="s">
        <v>2260</v>
      </c>
      <c r="C363" s="1653" t="s">
        <v>2241</v>
      </c>
      <c r="D363" s="1653" t="s">
        <v>2247</v>
      </c>
      <c r="E363" s="1653" t="s">
        <v>973</v>
      </c>
      <c r="F363" s="1653" t="s">
        <v>2254</v>
      </c>
      <c r="G363" s="1653" t="s">
        <v>2255</v>
      </c>
      <c r="H363" s="1653" t="s">
        <v>1323</v>
      </c>
      <c r="I363" s="1653" t="s">
        <v>1323</v>
      </c>
      <c r="J363" s="1653" t="s">
        <v>2242</v>
      </c>
      <c r="K363" s="1654">
        <v>44652</v>
      </c>
      <c r="L363" s="1653">
        <v>0</v>
      </c>
      <c r="M363" s="1653">
        <v>0</v>
      </c>
      <c r="N363" s="1653">
        <v>14.849</v>
      </c>
      <c r="O363" s="1653">
        <v>14.849</v>
      </c>
      <c r="P363" s="1653">
        <v>14.849</v>
      </c>
      <c r="Q363" s="1653">
        <v>14.849</v>
      </c>
      <c r="R363" s="1653"/>
      <c r="S363" s="1653">
        <v>358.62</v>
      </c>
      <c r="T363" s="1653">
        <v>273.74</v>
      </c>
      <c r="U363" s="1653"/>
      <c r="V363" s="1653">
        <v>9389.9136400000007</v>
      </c>
      <c r="W363" s="1653">
        <v>9389.9136400000007</v>
      </c>
      <c r="X363" s="1653">
        <v>9104.5158599999995</v>
      </c>
      <c r="Y363" s="1653">
        <v>0</v>
      </c>
      <c r="Z363" s="1653">
        <v>896.49964659721104</v>
      </c>
      <c r="AA363" s="1653">
        <v>0</v>
      </c>
      <c r="AB363" s="1653">
        <v>0</v>
      </c>
      <c r="AC363" s="1653">
        <v>0</v>
      </c>
      <c r="AD363" s="1653">
        <v>1278.328399306406</v>
      </c>
      <c r="AE363" s="1653">
        <v>2941.2779226561292</v>
      </c>
      <c r="AF363" s="1653">
        <v>4064.754267133053</v>
      </c>
      <c r="AG363" s="1653">
        <v>0</v>
      </c>
      <c r="AH363" s="1653">
        <v>0</v>
      </c>
      <c r="AI363" s="1653">
        <v>0</v>
      </c>
      <c r="AJ363" s="1653">
        <v>0</v>
      </c>
      <c r="AK363" s="1653">
        <v>0</v>
      </c>
      <c r="AL363" s="1653">
        <v>138.63841374598587</v>
      </c>
      <c r="AM363" s="1653"/>
      <c r="AN363" s="1653">
        <v>15.815541770365234</v>
      </c>
      <c r="AO363" s="1653">
        <v>0</v>
      </c>
      <c r="AP363" s="1653">
        <v>0</v>
      </c>
      <c r="AQ363" s="1653">
        <v>0</v>
      </c>
      <c r="AR363" s="1653">
        <v>0</v>
      </c>
      <c r="AS363" s="1653">
        <v>0</v>
      </c>
      <c r="AT363" s="1653">
        <v>0</v>
      </c>
      <c r="AU363" s="1653">
        <v>0</v>
      </c>
      <c r="AV363" s="1653">
        <v>0</v>
      </c>
      <c r="AW363" s="1653">
        <v>0</v>
      </c>
      <c r="AX363" s="1653">
        <v>0</v>
      </c>
      <c r="AY363" s="1653">
        <v>0</v>
      </c>
      <c r="AZ363" s="1653">
        <v>0</v>
      </c>
      <c r="BA363" s="1653"/>
      <c r="BB363" s="1653">
        <v>0</v>
      </c>
      <c r="BC363" s="1653">
        <v>0</v>
      </c>
      <c r="BD363" s="1653">
        <v>0</v>
      </c>
      <c r="BE363" s="1653">
        <v>0</v>
      </c>
      <c r="BF363" s="1653">
        <v>0</v>
      </c>
      <c r="BG363" s="1653">
        <v>54.620951209752413</v>
      </c>
      <c r="BH363" s="1653">
        <v>0</v>
      </c>
      <c r="BI363" s="1653">
        <v>0</v>
      </c>
      <c r="BJ363" s="1653">
        <v>0</v>
      </c>
      <c r="BK363" s="1653">
        <v>0</v>
      </c>
      <c r="BL363" s="1653">
        <v>0</v>
      </c>
      <c r="BM363" s="1653"/>
      <c r="BN363" s="1653"/>
      <c r="BO363" s="1653"/>
      <c r="BP363" s="1653"/>
      <c r="BQ363" s="1653"/>
      <c r="BR363" s="1653">
        <v>1274.63816</v>
      </c>
      <c r="BS363" s="1653"/>
      <c r="BT363" s="1653"/>
      <c r="BU363" s="1653"/>
      <c r="BV363" s="1653">
        <v>4119.3752183428051</v>
      </c>
      <c r="BW363" s="1653"/>
      <c r="BX363" s="1653"/>
      <c r="BY363" s="1653"/>
      <c r="BZ363" s="1653"/>
      <c r="CA363" s="1653"/>
      <c r="CB363" s="1653"/>
      <c r="CC363" s="1653"/>
      <c r="CD363" s="1653"/>
      <c r="CE363" s="1653"/>
      <c r="CF363" s="1653"/>
      <c r="CG363" s="1653"/>
      <c r="CH363" s="1653"/>
      <c r="CI363" s="1653">
        <v>7830.4049999999988</v>
      </c>
      <c r="CJ363" s="1653">
        <v>-245.10516000000098</v>
      </c>
      <c r="CK363" s="1653"/>
      <c r="CL363" s="1653"/>
      <c r="CM363" s="1653"/>
      <c r="CN363" s="1653"/>
      <c r="CO363" s="1653">
        <v>-478.43478000000039</v>
      </c>
      <c r="CP363" s="1653">
        <v>193.03700000000001</v>
      </c>
      <c r="CQ363" s="1653">
        <v>30</v>
      </c>
      <c r="CR363" s="1653">
        <v>182.07665958527741</v>
      </c>
      <c r="CS363" s="1653">
        <v>0</v>
      </c>
      <c r="CT363" s="1653">
        <v>0</v>
      </c>
      <c r="CU363" s="1653">
        <v>0</v>
      </c>
      <c r="CV363" s="1653">
        <v>0</v>
      </c>
      <c r="CW363" s="1653">
        <v>0</v>
      </c>
      <c r="CX363" s="1653">
        <v>0</v>
      </c>
      <c r="CY363" s="1653">
        <v>0</v>
      </c>
      <c r="CZ363" s="1653">
        <v>43.819106025581732</v>
      </c>
      <c r="DA363" s="1653">
        <v>0</v>
      </c>
      <c r="DB363" s="1653">
        <v>0</v>
      </c>
      <c r="DC363" s="1653">
        <v>218.96717614136105</v>
      </c>
      <c r="DD363" s="1653">
        <v>0</v>
      </c>
      <c r="DE363" s="1653">
        <v>0</v>
      </c>
      <c r="DF363" s="1653">
        <v>0</v>
      </c>
      <c r="DG363" s="1653">
        <v>2.9424153733629623</v>
      </c>
      <c r="DH363" s="1653">
        <v>0</v>
      </c>
      <c r="DI363" s="1653">
        <v>-57.1440306203923</v>
      </c>
      <c r="DJ363" s="1653"/>
      <c r="DK363" s="1653">
        <v>0</v>
      </c>
      <c r="DL363" s="1653">
        <v>0</v>
      </c>
      <c r="DM363" s="1653">
        <v>0</v>
      </c>
      <c r="DN363" s="1653">
        <v>0</v>
      </c>
      <c r="DO363" s="1653">
        <v>-7.2690612564388459</v>
      </c>
      <c r="DP363" s="1653">
        <v>-1.0435002802818154</v>
      </c>
      <c r="DQ363" s="1653">
        <v>0</v>
      </c>
      <c r="DR363" s="1653">
        <v>-18.195445797915553</v>
      </c>
      <c r="DS363" s="1653"/>
      <c r="DT363" s="1653"/>
      <c r="DU363" s="1653"/>
      <c r="DV363" s="1653">
        <v>2941.2779226561292</v>
      </c>
      <c r="DW363" s="1653">
        <v>0</v>
      </c>
      <c r="DX363" s="1653">
        <v>0</v>
      </c>
      <c r="DY363" s="1653">
        <v>-478.4347800000005</v>
      </c>
      <c r="DZ363" s="1653">
        <v>193.03700000000026</v>
      </c>
      <c r="EA363" s="1653">
        <v>0</v>
      </c>
      <c r="EB363" s="1653">
        <v>0</v>
      </c>
      <c r="EC363" s="1653">
        <v>-467.52489586739512</v>
      </c>
      <c r="ED363" s="1653">
        <v>0</v>
      </c>
      <c r="EE363" s="1653">
        <v>0</v>
      </c>
      <c r="EF363" s="1653">
        <v>0</v>
      </c>
      <c r="EG363" s="1653">
        <v>0</v>
      </c>
      <c r="EH363" s="1653">
        <v>0</v>
      </c>
      <c r="EI363" s="1653">
        <v>0</v>
      </c>
      <c r="EJ363" s="1653">
        <v>0</v>
      </c>
      <c r="EK363" s="1653">
        <v>0</v>
      </c>
      <c r="EL363" s="1653">
        <v>0</v>
      </c>
      <c r="EM363" s="1653">
        <v>0</v>
      </c>
      <c r="EN363" s="1653">
        <v>0</v>
      </c>
      <c r="EO363" s="1653">
        <v>0</v>
      </c>
      <c r="EP363" s="1653">
        <v>0</v>
      </c>
      <c r="EQ363" s="1653">
        <v>0</v>
      </c>
      <c r="ER363" s="1653">
        <v>0</v>
      </c>
      <c r="ES363" s="1653">
        <v>0</v>
      </c>
      <c r="ET363" s="1653">
        <v>0</v>
      </c>
      <c r="EU363" s="1653">
        <v>0</v>
      </c>
      <c r="EV363" s="1653">
        <v>210</v>
      </c>
      <c r="EW363" s="1653">
        <v>0</v>
      </c>
      <c r="EX363" s="1653">
        <v>0</v>
      </c>
      <c r="EY363" s="1653">
        <v>0</v>
      </c>
      <c r="EZ363" s="1653"/>
      <c r="FA363" s="1653">
        <v>0</v>
      </c>
      <c r="FB363" s="1653"/>
      <c r="FC363" s="1653"/>
      <c r="FD363" s="1653"/>
      <c r="FE363" s="1653"/>
      <c r="FF363" s="1653">
        <v>0</v>
      </c>
      <c r="FG363" s="1653">
        <v>0</v>
      </c>
      <c r="FH363" s="1653">
        <v>0</v>
      </c>
      <c r="FI363" s="1653">
        <v>0</v>
      </c>
    </row>
    <row r="364" spans="1:165">
      <c r="A364" s="1653">
        <v>362</v>
      </c>
      <c r="B364" s="1653" t="s">
        <v>2260</v>
      </c>
      <c r="C364" s="1653" t="s">
        <v>2241</v>
      </c>
      <c r="D364" s="1653" t="s">
        <v>2247</v>
      </c>
      <c r="E364" s="1653" t="s">
        <v>973</v>
      </c>
      <c r="F364" s="1653" t="s">
        <v>2254</v>
      </c>
      <c r="G364" s="1653" t="s">
        <v>2256</v>
      </c>
      <c r="H364" s="1653" t="s">
        <v>1323</v>
      </c>
      <c r="I364" s="1653" t="s">
        <v>1323</v>
      </c>
      <c r="J364" s="1653" t="s">
        <v>2242</v>
      </c>
      <c r="K364" s="1654">
        <v>44652</v>
      </c>
      <c r="L364" s="1653">
        <v>0</v>
      </c>
      <c r="M364" s="1653">
        <v>0</v>
      </c>
      <c r="N364" s="1653">
        <v>4.907</v>
      </c>
      <c r="O364" s="1653">
        <v>1.9628000000000001</v>
      </c>
      <c r="P364" s="1653">
        <v>4.907</v>
      </c>
      <c r="Q364" s="1653">
        <v>1.9628000000000001</v>
      </c>
      <c r="R364" s="1653"/>
      <c r="S364" s="1653">
        <v>358.62</v>
      </c>
      <c r="T364" s="1653">
        <v>273.74</v>
      </c>
      <c r="U364" s="1653"/>
      <c r="V364" s="1653">
        <v>3102.9905200000003</v>
      </c>
      <c r="W364" s="1653">
        <v>3102.9905200000003</v>
      </c>
      <c r="X364" s="1653">
        <v>3008.6779799999999</v>
      </c>
      <c r="Y364" s="1653">
        <v>0</v>
      </c>
      <c r="Z364" s="1653">
        <v>296.25724061233177</v>
      </c>
      <c r="AA364" s="1653">
        <v>0</v>
      </c>
      <c r="AB364" s="1653">
        <v>0</v>
      </c>
      <c r="AC364" s="1653">
        <v>0</v>
      </c>
      <c r="AD364" s="1653">
        <v>422.43635634699535</v>
      </c>
      <c r="AE364" s="1653">
        <v>971.97459535818075</v>
      </c>
      <c r="AF364" s="1653">
        <v>1343.2385472975884</v>
      </c>
      <c r="AG364" s="1653">
        <v>0</v>
      </c>
      <c r="AH364" s="1653">
        <v>0</v>
      </c>
      <c r="AI364" s="1653">
        <v>0</v>
      </c>
      <c r="AJ364" s="1653">
        <v>0</v>
      </c>
      <c r="AK364" s="1653">
        <v>0</v>
      </c>
      <c r="AL364" s="1653">
        <v>45.81444516476212</v>
      </c>
      <c r="AM364" s="1653"/>
      <c r="AN364" s="1653">
        <v>5.2264033582855545</v>
      </c>
      <c r="AO364" s="1653">
        <v>0</v>
      </c>
      <c r="AP364" s="1653">
        <v>0</v>
      </c>
      <c r="AQ364" s="1653">
        <v>0</v>
      </c>
      <c r="AR364" s="1653">
        <v>0</v>
      </c>
      <c r="AS364" s="1653">
        <v>0</v>
      </c>
      <c r="AT364" s="1653">
        <v>0</v>
      </c>
      <c r="AU364" s="1653">
        <v>0</v>
      </c>
      <c r="AV364" s="1653">
        <v>0</v>
      </c>
      <c r="AW364" s="1653">
        <v>0</v>
      </c>
      <c r="AX364" s="1653">
        <v>0</v>
      </c>
      <c r="AY364" s="1653">
        <v>0</v>
      </c>
      <c r="AZ364" s="1653">
        <v>0</v>
      </c>
      <c r="BA364" s="1653"/>
      <c r="BB364" s="1653">
        <v>0</v>
      </c>
      <c r="BC364" s="1653">
        <v>0</v>
      </c>
      <c r="BD364" s="1653">
        <v>0</v>
      </c>
      <c r="BE364" s="1653">
        <v>0</v>
      </c>
      <c r="BF364" s="1653">
        <v>0</v>
      </c>
      <c r="BG364" s="1653">
        <v>18.050037550424612</v>
      </c>
      <c r="BH364" s="1653">
        <v>0</v>
      </c>
      <c r="BI364" s="1653">
        <v>0</v>
      </c>
      <c r="BJ364" s="1653">
        <v>0</v>
      </c>
      <c r="BK364" s="1653">
        <v>0</v>
      </c>
      <c r="BL364" s="1653">
        <v>0</v>
      </c>
      <c r="BM364" s="1653"/>
      <c r="BN364" s="1653"/>
      <c r="BO364" s="1653"/>
      <c r="BP364" s="1653"/>
      <c r="BQ364" s="1653"/>
      <c r="BR364" s="1653"/>
      <c r="BS364" s="1653">
        <v>1973.69354</v>
      </c>
      <c r="BT364" s="1653"/>
      <c r="BU364" s="1653"/>
      <c r="BV364" s="1653">
        <v>1361.288584848013</v>
      </c>
      <c r="BW364" s="1653"/>
      <c r="BX364" s="1653"/>
      <c r="BY364" s="1653"/>
      <c r="BZ364" s="1653"/>
      <c r="CA364" s="1653"/>
      <c r="CB364" s="1653"/>
      <c r="CC364" s="1653"/>
      <c r="CD364" s="1653"/>
      <c r="CE364" s="1653"/>
      <c r="CF364" s="1653"/>
      <c r="CG364" s="1653"/>
      <c r="CH364" s="1653"/>
      <c r="CI364" s="1653">
        <v>1033.5079999999998</v>
      </c>
      <c r="CJ364" s="1653">
        <v>-33.971152000000302</v>
      </c>
      <c r="CK364" s="1653"/>
      <c r="CL364" s="1653"/>
      <c r="CM364" s="1653"/>
      <c r="CN364" s="1653"/>
      <c r="CO364" s="1653">
        <v>-158.10354000000012</v>
      </c>
      <c r="CP364" s="1653">
        <v>63.790999999999997</v>
      </c>
      <c r="CQ364" s="1653">
        <v>30</v>
      </c>
      <c r="CR364" s="1653">
        <v>60.169046305135453</v>
      </c>
      <c r="CS364" s="1653">
        <v>0</v>
      </c>
      <c r="CT364" s="1653">
        <v>0</v>
      </c>
      <c r="CU364" s="1653">
        <v>0</v>
      </c>
      <c r="CV364" s="1653">
        <v>0</v>
      </c>
      <c r="CW364" s="1653">
        <v>0</v>
      </c>
      <c r="CX364" s="1653">
        <v>0</v>
      </c>
      <c r="CY364" s="1653">
        <v>0</v>
      </c>
      <c r="CZ364" s="1653">
        <v>14.480460183684386</v>
      </c>
      <c r="DA364" s="1653">
        <v>0</v>
      </c>
      <c r="DB364" s="1653">
        <v>0</v>
      </c>
      <c r="DC364" s="1653">
        <v>72.359885064695163</v>
      </c>
      <c r="DD364" s="1653">
        <v>0</v>
      </c>
      <c r="DE364" s="1653">
        <v>0</v>
      </c>
      <c r="DF364" s="1653">
        <v>0</v>
      </c>
      <c r="DG364" s="1653">
        <v>0.97235047727739854</v>
      </c>
      <c r="DH364" s="1653">
        <v>0</v>
      </c>
      <c r="DI364" s="1653">
        <v>-18.883814280710112</v>
      </c>
      <c r="DJ364" s="1653"/>
      <c r="DK364" s="1653">
        <v>0</v>
      </c>
      <c r="DL364" s="1653">
        <v>0</v>
      </c>
      <c r="DM364" s="1653">
        <v>0</v>
      </c>
      <c r="DN364" s="1653">
        <v>0</v>
      </c>
      <c r="DO364" s="1653">
        <v>-2.402133718455481</v>
      </c>
      <c r="DP364" s="1653">
        <v>-0.34483506467390779</v>
      </c>
      <c r="DQ364" s="1653">
        <v>0</v>
      </c>
      <c r="DR364" s="1653">
        <v>-6.0128663566820411</v>
      </c>
      <c r="DS364" s="1653"/>
      <c r="DT364" s="1653"/>
      <c r="DU364" s="1653"/>
      <c r="DV364" s="1653">
        <v>971.97459535818075</v>
      </c>
      <c r="DW364" s="1653">
        <v>0</v>
      </c>
      <c r="DX364" s="1653">
        <v>0</v>
      </c>
      <c r="DY364" s="1653">
        <v>-158.10354000000029</v>
      </c>
      <c r="DZ364" s="1653">
        <v>63.791000000000167</v>
      </c>
      <c r="EA364" s="1653">
        <v>0</v>
      </c>
      <c r="EB364" s="1653">
        <v>0</v>
      </c>
      <c r="EC364" s="1653">
        <v>-154.49826008628918</v>
      </c>
      <c r="ED364" s="1653">
        <v>0</v>
      </c>
      <c r="EE364" s="1653">
        <v>0</v>
      </c>
      <c r="EF364" s="1653">
        <v>0</v>
      </c>
      <c r="EG364" s="1653">
        <v>0</v>
      </c>
      <c r="EH364" s="1653">
        <v>0</v>
      </c>
      <c r="EI364" s="1653">
        <v>0</v>
      </c>
      <c r="EJ364" s="1653">
        <v>0</v>
      </c>
      <c r="EK364" s="1653">
        <v>0</v>
      </c>
      <c r="EL364" s="1653">
        <v>0</v>
      </c>
      <c r="EM364" s="1653">
        <v>0</v>
      </c>
      <c r="EN364" s="1653">
        <v>0</v>
      </c>
      <c r="EO364" s="1653">
        <v>0</v>
      </c>
      <c r="EP364" s="1653">
        <v>0</v>
      </c>
      <c r="EQ364" s="1653">
        <v>0</v>
      </c>
      <c r="ER364" s="1653">
        <v>0</v>
      </c>
      <c r="ES364" s="1653">
        <v>0</v>
      </c>
      <c r="ET364" s="1653">
        <v>0</v>
      </c>
      <c r="EU364" s="1653">
        <v>0</v>
      </c>
      <c r="EV364" s="1653">
        <v>210</v>
      </c>
      <c r="EW364" s="1653">
        <v>0</v>
      </c>
      <c r="EX364" s="1653">
        <v>0</v>
      </c>
      <c r="EY364" s="1653">
        <v>0</v>
      </c>
      <c r="EZ364" s="1653"/>
      <c r="FA364" s="1653">
        <v>0</v>
      </c>
      <c r="FB364" s="1653"/>
      <c r="FC364" s="1653"/>
      <c r="FD364" s="1653"/>
      <c r="FE364" s="1653"/>
      <c r="FF364" s="1653">
        <v>0</v>
      </c>
      <c r="FG364" s="1653">
        <v>0</v>
      </c>
      <c r="FH364" s="1653">
        <v>0</v>
      </c>
      <c r="FI364" s="1653">
        <v>0</v>
      </c>
    </row>
    <row r="365" spans="1:165">
      <c r="A365" s="409">
        <v>363</v>
      </c>
      <c r="B365" s="409" t="s">
        <v>1035</v>
      </c>
      <c r="C365" s="409" t="s">
        <v>2246</v>
      </c>
      <c r="D365" s="409" t="s">
        <v>595</v>
      </c>
      <c r="E365" s="409" t="s">
        <v>969</v>
      </c>
      <c r="F365" s="409" t="s">
        <v>1323</v>
      </c>
      <c r="G365" s="409" t="s">
        <v>2261</v>
      </c>
      <c r="H365" s="409" t="s">
        <v>1323</v>
      </c>
      <c r="I365" s="409" t="s">
        <v>972</v>
      </c>
      <c r="J365" s="409" t="s">
        <v>2262</v>
      </c>
      <c r="K365" s="838">
        <v>44317</v>
      </c>
      <c r="L365" s="409">
        <v>0</v>
      </c>
      <c r="M365" s="409">
        <v>0</v>
      </c>
      <c r="N365" s="409">
        <v>276.61399999999998</v>
      </c>
      <c r="O365" s="409">
        <v>138.49227882334</v>
      </c>
      <c r="P365" s="409">
        <v>0</v>
      </c>
      <c r="Q365" s="409">
        <v>0</v>
      </c>
      <c r="R365" s="409"/>
      <c r="S365" s="409">
        <v>1856.88</v>
      </c>
      <c r="T365" s="409"/>
      <c r="U365" s="409"/>
      <c r="V365" s="409">
        <v>513639.00432000001</v>
      </c>
      <c r="W365" s="409">
        <v>513639.00432000001</v>
      </c>
      <c r="X365" s="409">
        <v>460708.91541999998</v>
      </c>
      <c r="Y365" s="409">
        <v>0</v>
      </c>
      <c r="Z365" s="409">
        <v>14529.354658370361</v>
      </c>
      <c r="AA365" s="409">
        <v>0</v>
      </c>
      <c r="AB365" s="409">
        <v>0</v>
      </c>
      <c r="AC365" s="409">
        <v>0</v>
      </c>
      <c r="AD365" s="409">
        <v>135566.27264583664</v>
      </c>
      <c r="AE365" s="409">
        <v>360256.96203896496</v>
      </c>
      <c r="AF365" s="409"/>
      <c r="AG365" s="409"/>
      <c r="AH365" s="409"/>
      <c r="AI365" s="409">
        <v>0</v>
      </c>
      <c r="AJ365" s="409">
        <v>0</v>
      </c>
      <c r="AK365" s="409">
        <v>0</v>
      </c>
      <c r="AL365" s="409">
        <v>2582.6201212157139</v>
      </c>
      <c r="AM365" s="409"/>
      <c r="AN365" s="409">
        <v>240.12526918303408</v>
      </c>
      <c r="AO365" s="409">
        <v>0</v>
      </c>
      <c r="AP365" s="409">
        <v>0</v>
      </c>
      <c r="AQ365" s="409">
        <v>0</v>
      </c>
      <c r="AR365" s="409">
        <v>0</v>
      </c>
      <c r="AS365" s="409"/>
      <c r="AT365" s="409"/>
      <c r="AU365" s="409">
        <v>0</v>
      </c>
      <c r="AV365" s="409">
        <v>0</v>
      </c>
      <c r="AW365" s="409">
        <v>0</v>
      </c>
      <c r="AX365" s="409"/>
      <c r="AY365" s="409"/>
      <c r="AZ365" s="409">
        <v>0</v>
      </c>
      <c r="BA365" s="409"/>
      <c r="BB365" s="409">
        <v>0</v>
      </c>
      <c r="BC365" s="409">
        <v>0</v>
      </c>
      <c r="BD365" s="409">
        <v>0</v>
      </c>
      <c r="BE365" s="409">
        <v>0</v>
      </c>
      <c r="BF365" s="409"/>
      <c r="BG365" s="409">
        <v>462.86536304137712</v>
      </c>
      <c r="BH365" s="409">
        <v>0</v>
      </c>
      <c r="BI365" s="409">
        <v>0</v>
      </c>
      <c r="BJ365" s="409">
        <v>0</v>
      </c>
      <c r="BK365" s="409">
        <v>0</v>
      </c>
      <c r="BL365" s="409">
        <v>0</v>
      </c>
      <c r="BM365" s="409"/>
      <c r="BN365" s="409">
        <v>230045.87027136248</v>
      </c>
      <c r="BO365" s="409"/>
      <c r="BP365" s="409"/>
      <c r="BQ365" s="409"/>
      <c r="BR365" s="409"/>
      <c r="BS365" s="409"/>
      <c r="BT365" s="409"/>
      <c r="BU365" s="409"/>
      <c r="BV365" s="409">
        <v>462.86536304137712</v>
      </c>
      <c r="BW365" s="409"/>
      <c r="BX365" s="409"/>
      <c r="BY365" s="409"/>
      <c r="BZ365" s="409"/>
      <c r="CA365" s="409"/>
      <c r="CB365" s="409"/>
      <c r="CC365" s="409"/>
      <c r="CD365" s="409"/>
      <c r="CE365" s="409"/>
      <c r="CF365" s="409"/>
      <c r="CG365" s="409"/>
      <c r="CH365" s="409"/>
      <c r="CI365" s="409">
        <v>230659.24970000001</v>
      </c>
      <c r="CJ365" s="409">
        <v>-26504.323001483601</v>
      </c>
      <c r="CK365" s="409"/>
      <c r="CL365" s="409"/>
      <c r="CM365" s="409"/>
      <c r="CN365" s="409"/>
      <c r="CO365" s="409">
        <v>-52930.088900000032</v>
      </c>
      <c r="CP365" s="409">
        <v>0</v>
      </c>
      <c r="CQ365" s="409">
        <v>31</v>
      </c>
      <c r="CR365" s="409">
        <v>4335.8912652923609</v>
      </c>
      <c r="CS365" s="409">
        <v>0</v>
      </c>
      <c r="CT365" s="409">
        <v>0</v>
      </c>
      <c r="CU365" s="409">
        <v>0</v>
      </c>
      <c r="CV365" s="409">
        <v>0</v>
      </c>
      <c r="CW365" s="409"/>
      <c r="CX365" s="409"/>
      <c r="CY365" s="409"/>
      <c r="CZ365" s="409">
        <v>4647.000628151407</v>
      </c>
      <c r="DA365" s="409">
        <v>0</v>
      </c>
      <c r="DB365" s="409">
        <v>0</v>
      </c>
      <c r="DC365" s="409"/>
      <c r="DD365" s="409"/>
      <c r="DE365" s="409">
        <v>0</v>
      </c>
      <c r="DF365" s="409">
        <v>0</v>
      </c>
      <c r="DG365" s="409">
        <v>24.934427721337727</v>
      </c>
      <c r="DH365" s="409">
        <v>0</v>
      </c>
      <c r="DI365" s="409">
        <v>-926.1195926220862</v>
      </c>
      <c r="DJ365" s="409"/>
      <c r="DK365" s="409">
        <v>0</v>
      </c>
      <c r="DL365" s="409">
        <v>0</v>
      </c>
      <c r="DM365" s="409"/>
      <c r="DN365" s="409">
        <v>0</v>
      </c>
      <c r="DO365" s="409">
        <v>-135.41141560970937</v>
      </c>
      <c r="DP365" s="409">
        <v>-15.843326098682866</v>
      </c>
      <c r="DQ365" s="409">
        <v>0</v>
      </c>
      <c r="DR365" s="409">
        <v>741.33054375010875</v>
      </c>
      <c r="DS365" s="409"/>
      <c r="DT365" s="409"/>
      <c r="DU365" s="409"/>
      <c r="DV365" s="409">
        <v>360256.96203896496</v>
      </c>
      <c r="DW365" s="409">
        <v>0</v>
      </c>
      <c r="DX365" s="409">
        <v>0</v>
      </c>
      <c r="DY365" s="409">
        <v>-52930.088900000032</v>
      </c>
      <c r="DZ365" s="409"/>
      <c r="EA365" s="409">
        <v>0</v>
      </c>
      <c r="EB365" s="409"/>
      <c r="EC365" s="409">
        <v>-57263.918300744204</v>
      </c>
      <c r="ED365" s="409"/>
      <c r="EE365" s="409">
        <v>0</v>
      </c>
      <c r="EF365" s="409">
        <v>0</v>
      </c>
      <c r="EG365" s="409"/>
      <c r="EH365" s="409">
        <v>0</v>
      </c>
      <c r="EI365" s="409">
        <v>0</v>
      </c>
      <c r="EJ365" s="409">
        <v>0</v>
      </c>
      <c r="EK365" s="409">
        <v>0</v>
      </c>
      <c r="EL365" s="409">
        <v>0</v>
      </c>
      <c r="EM365" s="409"/>
      <c r="EN365" s="409"/>
      <c r="EO365" s="409">
        <v>0</v>
      </c>
      <c r="EP365" s="409">
        <v>0</v>
      </c>
      <c r="EQ365" s="409"/>
      <c r="ER365" s="409">
        <v>0</v>
      </c>
      <c r="ES365" s="409"/>
      <c r="ET365" s="409">
        <v>0</v>
      </c>
      <c r="EU365" s="409"/>
      <c r="EV365" s="409">
        <v>210</v>
      </c>
      <c r="EW365" s="409"/>
      <c r="EX365" s="409"/>
      <c r="EY365" s="409"/>
      <c r="EZ365" s="409"/>
      <c r="FA365" s="409">
        <v>0</v>
      </c>
      <c r="FB365" s="409"/>
      <c r="FC365" s="409"/>
      <c r="FD365" s="409"/>
      <c r="FE365" s="409"/>
      <c r="FF365" s="409">
        <v>0</v>
      </c>
      <c r="FG365" s="409">
        <v>0</v>
      </c>
      <c r="FH365" s="409">
        <v>0</v>
      </c>
      <c r="FI365" s="409">
        <v>0</v>
      </c>
    </row>
    <row r="366" spans="1:165">
      <c r="A366" s="409">
        <v>364</v>
      </c>
      <c r="B366" s="409" t="s">
        <v>1035</v>
      </c>
      <c r="C366" s="409" t="s">
        <v>2246</v>
      </c>
      <c r="D366" s="409" t="s">
        <v>595</v>
      </c>
      <c r="E366" s="409" t="s">
        <v>969</v>
      </c>
      <c r="F366" s="409" t="s">
        <v>1323</v>
      </c>
      <c r="G366" s="409" t="s">
        <v>2261</v>
      </c>
      <c r="H366" s="409" t="s">
        <v>1323</v>
      </c>
      <c r="I366" s="409" t="s">
        <v>2234</v>
      </c>
      <c r="J366" s="409" t="s">
        <v>2262</v>
      </c>
      <c r="K366" s="838">
        <v>44317</v>
      </c>
      <c r="L366" s="409">
        <v>0</v>
      </c>
      <c r="M366" s="409">
        <v>0</v>
      </c>
      <c r="N366" s="409">
        <v>2666.26</v>
      </c>
      <c r="O366" s="409">
        <v>2666.26</v>
      </c>
      <c r="P366" s="409">
        <v>0</v>
      </c>
      <c r="Q366" s="409">
        <v>0</v>
      </c>
      <c r="R366" s="409"/>
      <c r="S366" s="409">
        <v>64.400000000000006</v>
      </c>
      <c r="T366" s="409"/>
      <c r="U366" s="409"/>
      <c r="V366" s="409">
        <v>171707.14400000003</v>
      </c>
      <c r="W366" s="409">
        <v>171707.14400000003</v>
      </c>
      <c r="X366" s="409">
        <v>161815.31940000001</v>
      </c>
      <c r="Y366" s="409">
        <v>0</v>
      </c>
      <c r="Z366" s="409">
        <v>140047.27581187707</v>
      </c>
      <c r="AA366" s="409">
        <v>0</v>
      </c>
      <c r="AB366" s="409">
        <v>0</v>
      </c>
      <c r="AC366" s="409">
        <v>0</v>
      </c>
      <c r="AD366" s="409">
        <v>0</v>
      </c>
      <c r="AE366" s="409">
        <v>0</v>
      </c>
      <c r="AF366" s="409"/>
      <c r="AG366" s="409"/>
      <c r="AH366" s="409"/>
      <c r="AI366" s="409">
        <v>0</v>
      </c>
      <c r="AJ366" s="409">
        <v>0</v>
      </c>
      <c r="AK366" s="409">
        <v>0</v>
      </c>
      <c r="AL366" s="409">
        <v>24893.666713877861</v>
      </c>
      <c r="AM366" s="409"/>
      <c r="AN366" s="409">
        <v>2314.5480713628253</v>
      </c>
      <c r="AO366" s="409">
        <v>0</v>
      </c>
      <c r="AP366" s="409">
        <v>0</v>
      </c>
      <c r="AQ366" s="409">
        <v>0</v>
      </c>
      <c r="AR366" s="409">
        <v>0</v>
      </c>
      <c r="AS366" s="409"/>
      <c r="AT366" s="409"/>
      <c r="AU366" s="409">
        <v>0</v>
      </c>
      <c r="AV366" s="409">
        <v>0</v>
      </c>
      <c r="AW366" s="409">
        <v>0</v>
      </c>
      <c r="AX366" s="409"/>
      <c r="AY366" s="409"/>
      <c r="AZ366" s="409">
        <v>0</v>
      </c>
      <c r="BA366" s="409"/>
      <c r="BB366" s="409">
        <v>0</v>
      </c>
      <c r="BC366" s="409">
        <v>0</v>
      </c>
      <c r="BD366" s="409">
        <v>0</v>
      </c>
      <c r="BE366" s="409">
        <v>0</v>
      </c>
      <c r="BF366" s="409"/>
      <c r="BG366" s="409">
        <v>4461.5218422158769</v>
      </c>
      <c r="BH366" s="409">
        <v>0</v>
      </c>
      <c r="BI366" s="409">
        <v>0</v>
      </c>
      <c r="BJ366" s="409">
        <v>0</v>
      </c>
      <c r="BK366" s="409">
        <v>0</v>
      </c>
      <c r="BL366" s="409">
        <v>0</v>
      </c>
      <c r="BM366" s="409"/>
      <c r="BN366" s="409"/>
      <c r="BO366" s="409"/>
      <c r="BP366" s="409"/>
      <c r="BQ366" s="409"/>
      <c r="BR366" s="409"/>
      <c r="BS366" s="409"/>
      <c r="BT366" s="409"/>
      <c r="BU366" s="409"/>
      <c r="BV366" s="409">
        <v>4461.5218422158769</v>
      </c>
      <c r="BW366" s="409"/>
      <c r="BX366" s="409"/>
      <c r="BY366" s="409"/>
      <c r="BZ366" s="409"/>
      <c r="CA366" s="409"/>
      <c r="CB366" s="409"/>
      <c r="CC366" s="409"/>
      <c r="CD366" s="409"/>
      <c r="CE366" s="409"/>
      <c r="CF366" s="409"/>
      <c r="CG366" s="409"/>
      <c r="CH366" s="409"/>
      <c r="CI366" s="409">
        <v>161815.31940000001</v>
      </c>
      <c r="CJ366" s="409">
        <v>-9891.8546000000497</v>
      </c>
      <c r="CK366" s="409"/>
      <c r="CL366" s="409"/>
      <c r="CM366" s="409"/>
      <c r="CN366" s="409"/>
      <c r="CO366" s="409">
        <v>-9891.8246000000217</v>
      </c>
      <c r="CP366" s="409">
        <v>0</v>
      </c>
      <c r="CQ366" s="409">
        <v>31</v>
      </c>
      <c r="CR366" s="409">
        <v>-9896.5452356144378</v>
      </c>
      <c r="CS366" s="409">
        <v>0</v>
      </c>
      <c r="CT366" s="409">
        <v>0</v>
      </c>
      <c r="CU366" s="409">
        <v>0</v>
      </c>
      <c r="CV366" s="409">
        <v>0</v>
      </c>
      <c r="CW366" s="409"/>
      <c r="CX366" s="409"/>
      <c r="CY366" s="409"/>
      <c r="CZ366" s="409">
        <v>0</v>
      </c>
      <c r="DA366" s="409">
        <v>0</v>
      </c>
      <c r="DB366" s="409">
        <v>0</v>
      </c>
      <c r="DC366" s="409"/>
      <c r="DD366" s="409"/>
      <c r="DE366" s="409">
        <v>0</v>
      </c>
      <c r="DF366" s="409">
        <v>0</v>
      </c>
      <c r="DG366" s="409">
        <v>240.34093450184628</v>
      </c>
      <c r="DH366" s="409">
        <v>0</v>
      </c>
      <c r="DI366" s="409">
        <v>-8926.7919375901402</v>
      </c>
      <c r="DJ366" s="409"/>
      <c r="DK366" s="409">
        <v>0</v>
      </c>
      <c r="DL366" s="409">
        <v>0</v>
      </c>
      <c r="DM366" s="409"/>
      <c r="DN366" s="409">
        <v>0</v>
      </c>
      <c r="DO366" s="409">
        <v>-1305.2196959790344</v>
      </c>
      <c r="DP366" s="409">
        <v>-152.71254037711105</v>
      </c>
      <c r="DQ366" s="409">
        <v>0</v>
      </c>
      <c r="DR366" s="409">
        <v>247.83800383003239</v>
      </c>
      <c r="DS366" s="409"/>
      <c r="DT366" s="409"/>
      <c r="DU366" s="409"/>
      <c r="DV366" s="409">
        <v>0</v>
      </c>
      <c r="DW366" s="409">
        <v>0</v>
      </c>
      <c r="DX366" s="409">
        <v>0</v>
      </c>
      <c r="DY366" s="409">
        <v>-9891.8246000000217</v>
      </c>
      <c r="DZ366" s="409"/>
      <c r="EA366" s="409">
        <v>0</v>
      </c>
      <c r="EB366" s="409"/>
      <c r="EC366" s="409">
        <v>0</v>
      </c>
      <c r="ED366" s="409"/>
      <c r="EE366" s="409">
        <v>0</v>
      </c>
      <c r="EF366" s="409">
        <v>0</v>
      </c>
      <c r="EG366" s="409"/>
      <c r="EH366" s="409">
        <v>0</v>
      </c>
      <c r="EI366" s="409">
        <v>0</v>
      </c>
      <c r="EJ366" s="409">
        <v>0</v>
      </c>
      <c r="EK366" s="409">
        <v>0</v>
      </c>
      <c r="EL366" s="409">
        <v>0</v>
      </c>
      <c r="EM366" s="409"/>
      <c r="EN366" s="409"/>
      <c r="EO366" s="409">
        <v>0</v>
      </c>
      <c r="EP366" s="409">
        <v>0</v>
      </c>
      <c r="EQ366" s="409"/>
      <c r="ER366" s="409">
        <v>0</v>
      </c>
      <c r="ES366" s="409"/>
      <c r="ET366" s="409">
        <v>0</v>
      </c>
      <c r="EU366" s="409"/>
      <c r="EV366" s="409">
        <v>210</v>
      </c>
      <c r="EW366" s="409"/>
      <c r="EX366" s="409"/>
      <c r="EY366" s="409"/>
      <c r="EZ366" s="409"/>
      <c r="FA366" s="409">
        <v>0</v>
      </c>
      <c r="FB366" s="409"/>
      <c r="FC366" s="409"/>
      <c r="FD366" s="409"/>
      <c r="FE366" s="409"/>
      <c r="FF366" s="409">
        <v>0</v>
      </c>
      <c r="FG366" s="409">
        <v>0</v>
      </c>
      <c r="FH366" s="409">
        <v>0</v>
      </c>
      <c r="FI366" s="409">
        <v>0</v>
      </c>
    </row>
    <row r="367" spans="1:165">
      <c r="A367" s="409">
        <v>365</v>
      </c>
      <c r="B367" s="409" t="s">
        <v>1035</v>
      </c>
      <c r="C367" s="409" t="s">
        <v>2246</v>
      </c>
      <c r="D367" s="409" t="s">
        <v>595</v>
      </c>
      <c r="E367" s="409" t="s">
        <v>969</v>
      </c>
      <c r="F367" s="409" t="s">
        <v>1323</v>
      </c>
      <c r="G367" s="409" t="s">
        <v>2261</v>
      </c>
      <c r="H367" s="409" t="s">
        <v>1323</v>
      </c>
      <c r="I367" s="409" t="s">
        <v>1323</v>
      </c>
      <c r="J367" s="409" t="s">
        <v>2262</v>
      </c>
      <c r="K367" s="838">
        <v>44317</v>
      </c>
      <c r="L367" s="409">
        <v>9540</v>
      </c>
      <c r="M367" s="409">
        <v>4776.3899873999999</v>
      </c>
      <c r="N367" s="409">
        <v>0</v>
      </c>
      <c r="O367" s="409">
        <v>0</v>
      </c>
      <c r="P367" s="409">
        <v>0</v>
      </c>
      <c r="Q367" s="409">
        <v>0</v>
      </c>
      <c r="R367" s="409">
        <v>33.6</v>
      </c>
      <c r="S367" s="409"/>
      <c r="T367" s="409"/>
      <c r="U367" s="409">
        <v>320544</v>
      </c>
      <c r="V367" s="409"/>
      <c r="W367" s="409">
        <v>320544</v>
      </c>
      <c r="X367" s="409">
        <v>302990.40000000002</v>
      </c>
      <c r="Y367" s="409">
        <v>0</v>
      </c>
      <c r="Z367" s="409">
        <v>0</v>
      </c>
      <c r="AA367" s="409">
        <v>0</v>
      </c>
      <c r="AB367" s="409">
        <v>0</v>
      </c>
      <c r="AC367" s="409">
        <v>0</v>
      </c>
      <c r="AD367" s="409">
        <v>170246.21189754215</v>
      </c>
      <c r="AE367" s="409">
        <v>150304.13112434722</v>
      </c>
      <c r="AF367" s="409"/>
      <c r="AG367" s="409"/>
      <c r="AH367" s="409"/>
      <c r="AI367" s="409">
        <v>0</v>
      </c>
      <c r="AJ367" s="409">
        <v>0</v>
      </c>
      <c r="AK367" s="409">
        <v>0</v>
      </c>
      <c r="AL367" s="409">
        <v>0</v>
      </c>
      <c r="AM367" s="409"/>
      <c r="AN367" s="409">
        <v>0</v>
      </c>
      <c r="AO367" s="409">
        <v>0</v>
      </c>
      <c r="AP367" s="409">
        <v>0</v>
      </c>
      <c r="AQ367" s="409">
        <v>0</v>
      </c>
      <c r="AR367" s="409">
        <v>0</v>
      </c>
      <c r="AS367" s="409"/>
      <c r="AT367" s="409"/>
      <c r="AU367" s="409">
        <v>0</v>
      </c>
      <c r="AV367" s="409">
        <v>0</v>
      </c>
      <c r="AW367" s="409">
        <v>0</v>
      </c>
      <c r="AX367" s="409"/>
      <c r="AY367" s="409"/>
      <c r="AZ367" s="409">
        <v>0</v>
      </c>
      <c r="BA367" s="409"/>
      <c r="BB367" s="409">
        <v>0</v>
      </c>
      <c r="BC367" s="409">
        <v>0</v>
      </c>
      <c r="BD367" s="409">
        <v>0</v>
      </c>
      <c r="BE367" s="409">
        <v>0</v>
      </c>
      <c r="BF367" s="409"/>
      <c r="BG367" s="409">
        <v>0</v>
      </c>
      <c r="BH367" s="409">
        <v>0</v>
      </c>
      <c r="BI367" s="409">
        <v>0</v>
      </c>
      <c r="BJ367" s="409">
        <v>0</v>
      </c>
      <c r="BK367" s="409">
        <v>183677.93</v>
      </c>
      <c r="BL367" s="409">
        <v>3</v>
      </c>
      <c r="BM367" s="409"/>
      <c r="BN367" s="409">
        <v>151292.25400017601</v>
      </c>
      <c r="BO367" s="409"/>
      <c r="BP367" s="409"/>
      <c r="BQ367" s="409"/>
      <c r="BR367" s="409"/>
      <c r="BS367" s="409"/>
      <c r="BT367" s="409"/>
      <c r="BU367" s="409"/>
      <c r="BV367" s="409">
        <v>0</v>
      </c>
      <c r="BW367" s="409"/>
      <c r="BX367" s="409"/>
      <c r="BY367" s="409"/>
      <c r="BZ367" s="409"/>
      <c r="CA367" s="409"/>
      <c r="CB367" s="409"/>
      <c r="CC367" s="409"/>
      <c r="CD367" s="409"/>
      <c r="CE367" s="409"/>
      <c r="CF367" s="409"/>
      <c r="CG367" s="409"/>
      <c r="CH367" s="409"/>
      <c r="CI367" s="409">
        <v>151698.14640000003</v>
      </c>
      <c r="CJ367" s="409">
        <v>-8788.5871766399941</v>
      </c>
      <c r="CK367" s="409"/>
      <c r="CL367" s="409"/>
      <c r="CM367" s="409"/>
      <c r="CN367" s="409"/>
      <c r="CO367" s="409">
        <v>-17553.599999999999</v>
      </c>
      <c r="CP367" s="409">
        <v>0</v>
      </c>
      <c r="CQ367" s="409">
        <v>31</v>
      </c>
      <c r="CR367" s="409">
        <v>6298.4230622142495</v>
      </c>
      <c r="CS367" s="409">
        <v>0</v>
      </c>
      <c r="CT367" s="409">
        <v>0</v>
      </c>
      <c r="CU367" s="409">
        <v>0</v>
      </c>
      <c r="CV367" s="409">
        <v>0</v>
      </c>
      <c r="CW367" s="409"/>
      <c r="CX367" s="409"/>
      <c r="CY367" s="409"/>
      <c r="CZ367" s="409">
        <v>5835.7749179621169</v>
      </c>
      <c r="DA367" s="409">
        <v>0</v>
      </c>
      <c r="DB367" s="409">
        <v>0</v>
      </c>
      <c r="DC367" s="409"/>
      <c r="DD367" s="409"/>
      <c r="DE367" s="409">
        <v>0</v>
      </c>
      <c r="DF367" s="409">
        <v>0</v>
      </c>
      <c r="DG367" s="409">
        <v>0</v>
      </c>
      <c r="DH367" s="409">
        <v>0</v>
      </c>
      <c r="DI367" s="409">
        <v>0</v>
      </c>
      <c r="DJ367" s="409"/>
      <c r="DK367" s="409">
        <v>0</v>
      </c>
      <c r="DL367" s="409">
        <v>0</v>
      </c>
      <c r="DM367" s="409"/>
      <c r="DN367" s="409">
        <v>0</v>
      </c>
      <c r="DO367" s="409">
        <v>0</v>
      </c>
      <c r="DP367" s="409">
        <v>0</v>
      </c>
      <c r="DQ367" s="409">
        <v>0</v>
      </c>
      <c r="DR367" s="409">
        <v>462.64814425212649</v>
      </c>
      <c r="DS367" s="409"/>
      <c r="DT367" s="409"/>
      <c r="DU367" s="409">
        <v>150304.13112434722</v>
      </c>
      <c r="DV367" s="409"/>
      <c r="DW367" s="409">
        <v>0</v>
      </c>
      <c r="DX367" s="409">
        <v>0</v>
      </c>
      <c r="DY367" s="409">
        <v>-17553.599999999977</v>
      </c>
      <c r="DZ367" s="409"/>
      <c r="EA367" s="409">
        <v>0</v>
      </c>
      <c r="EB367" s="409"/>
      <c r="EC367" s="409">
        <v>-23891.289806741668</v>
      </c>
      <c r="ED367" s="409"/>
      <c r="EE367" s="409">
        <v>0</v>
      </c>
      <c r="EF367" s="409">
        <v>0</v>
      </c>
      <c r="EG367" s="409"/>
      <c r="EH367" s="409">
        <v>0</v>
      </c>
      <c r="EI367" s="409">
        <v>0</v>
      </c>
      <c r="EJ367" s="409">
        <v>0</v>
      </c>
      <c r="EK367" s="409">
        <v>0</v>
      </c>
      <c r="EL367" s="409">
        <v>0</v>
      </c>
      <c r="EM367" s="409"/>
      <c r="EN367" s="409"/>
      <c r="EO367" s="409">
        <v>0</v>
      </c>
      <c r="EP367" s="409">
        <v>0</v>
      </c>
      <c r="EQ367" s="409"/>
      <c r="ER367" s="409">
        <v>0</v>
      </c>
      <c r="ES367" s="409"/>
      <c r="ET367" s="409">
        <v>0</v>
      </c>
      <c r="EU367" s="409"/>
      <c r="EV367" s="409">
        <v>210</v>
      </c>
      <c r="EW367" s="409"/>
      <c r="EX367" s="409"/>
      <c r="EY367" s="409"/>
      <c r="EZ367" s="409"/>
      <c r="FA367" s="409">
        <v>0</v>
      </c>
      <c r="FB367" s="409"/>
      <c r="FC367" s="409"/>
      <c r="FD367" s="409"/>
      <c r="FE367" s="409"/>
      <c r="FF367" s="409">
        <v>0</v>
      </c>
      <c r="FG367" s="409">
        <v>0</v>
      </c>
      <c r="FH367" s="409">
        <v>0</v>
      </c>
      <c r="FI367" s="409">
        <v>0</v>
      </c>
    </row>
    <row r="368" spans="1:165">
      <c r="A368" s="409">
        <v>366</v>
      </c>
      <c r="B368" s="409" t="s">
        <v>1035</v>
      </c>
      <c r="C368" s="409" t="s">
        <v>2246</v>
      </c>
      <c r="D368" s="409" t="s">
        <v>595</v>
      </c>
      <c r="E368" s="409" t="s">
        <v>969</v>
      </c>
      <c r="F368" s="409" t="s">
        <v>1323</v>
      </c>
      <c r="G368" s="409" t="s">
        <v>2261</v>
      </c>
      <c r="H368" s="409" t="s">
        <v>1323</v>
      </c>
      <c r="I368" s="409" t="s">
        <v>972</v>
      </c>
      <c r="J368" s="409" t="s">
        <v>2262</v>
      </c>
      <c r="K368" s="838">
        <v>44348</v>
      </c>
      <c r="L368" s="409">
        <v>0</v>
      </c>
      <c r="M368" s="409">
        <v>0</v>
      </c>
      <c r="N368" s="409">
        <v>292.87200000000001</v>
      </c>
      <c r="O368" s="409">
        <v>146.57586980976001</v>
      </c>
      <c r="P368" s="409">
        <v>0</v>
      </c>
      <c r="Q368" s="409">
        <v>0</v>
      </c>
      <c r="R368" s="409"/>
      <c r="S368" s="409">
        <v>1856.88</v>
      </c>
      <c r="T368" s="409"/>
      <c r="U368" s="409"/>
      <c r="V368" s="409">
        <v>543828.15936000005</v>
      </c>
      <c r="W368" s="409">
        <v>543828.15936000005</v>
      </c>
      <c r="X368" s="409">
        <v>487787.10216000001</v>
      </c>
      <c r="Y368" s="409">
        <v>0</v>
      </c>
      <c r="Z368" s="409">
        <v>15383.318116603805</v>
      </c>
      <c r="AA368" s="409">
        <v>0</v>
      </c>
      <c r="AB368" s="409">
        <v>0</v>
      </c>
      <c r="AC368" s="409">
        <v>0</v>
      </c>
      <c r="AD368" s="409">
        <v>143534.18627521192</v>
      </c>
      <c r="AE368" s="409">
        <v>381431.08080674062</v>
      </c>
      <c r="AF368" s="409"/>
      <c r="AG368" s="409"/>
      <c r="AH368" s="409"/>
      <c r="AI368" s="409">
        <v>0</v>
      </c>
      <c r="AJ368" s="409">
        <v>0</v>
      </c>
      <c r="AK368" s="409">
        <v>0</v>
      </c>
      <c r="AL368" s="409">
        <v>2734.4137322792362</v>
      </c>
      <c r="AM368" s="409"/>
      <c r="AN368" s="409">
        <v>254.23864242653505</v>
      </c>
      <c r="AO368" s="409">
        <v>0</v>
      </c>
      <c r="AP368" s="409">
        <v>0</v>
      </c>
      <c r="AQ368" s="409">
        <v>0</v>
      </c>
      <c r="AR368" s="409">
        <v>0</v>
      </c>
      <c r="AS368" s="409"/>
      <c r="AT368" s="409"/>
      <c r="AU368" s="409">
        <v>0</v>
      </c>
      <c r="AV368" s="409">
        <v>0</v>
      </c>
      <c r="AW368" s="409">
        <v>0</v>
      </c>
      <c r="AX368" s="409"/>
      <c r="AY368" s="409"/>
      <c r="AZ368" s="409">
        <v>0</v>
      </c>
      <c r="BA368" s="409"/>
      <c r="BB368" s="409">
        <v>0</v>
      </c>
      <c r="BC368" s="409">
        <v>0</v>
      </c>
      <c r="BD368" s="409">
        <v>0</v>
      </c>
      <c r="BE368" s="409">
        <v>0</v>
      </c>
      <c r="BF368" s="409"/>
      <c r="BG368" s="409">
        <v>490.07029508504354</v>
      </c>
      <c r="BH368" s="409">
        <v>0</v>
      </c>
      <c r="BI368" s="409">
        <v>0</v>
      </c>
      <c r="BJ368" s="409">
        <v>0</v>
      </c>
      <c r="BK368" s="409">
        <v>0</v>
      </c>
      <c r="BL368" s="409">
        <v>0</v>
      </c>
      <c r="BM368" s="409"/>
      <c r="BN368" s="409">
        <v>243660.59371575044</v>
      </c>
      <c r="BO368" s="409"/>
      <c r="BP368" s="409"/>
      <c r="BQ368" s="409"/>
      <c r="BR368" s="409"/>
      <c r="BS368" s="409"/>
      <c r="BT368" s="409"/>
      <c r="BU368" s="409"/>
      <c r="BV368" s="409">
        <v>490.07029508504354</v>
      </c>
      <c r="BW368" s="409"/>
      <c r="BX368" s="409"/>
      <c r="BY368" s="409"/>
      <c r="BZ368" s="409"/>
      <c r="CA368" s="409"/>
      <c r="CB368" s="409"/>
      <c r="CC368" s="409"/>
      <c r="CD368" s="409"/>
      <c r="CE368" s="409"/>
      <c r="CF368" s="409"/>
      <c r="CG368" s="409"/>
      <c r="CH368" s="409"/>
      <c r="CI368" s="409">
        <v>244133.38740000001</v>
      </c>
      <c r="CJ368" s="409">
        <v>-28040.443732347223</v>
      </c>
      <c r="CK368" s="409"/>
      <c r="CL368" s="409"/>
      <c r="CM368" s="409"/>
      <c r="CN368" s="409"/>
      <c r="CO368" s="409">
        <v>-56041.057200000039</v>
      </c>
      <c r="CP368" s="409">
        <v>0</v>
      </c>
      <c r="CQ368" s="409">
        <v>30</v>
      </c>
      <c r="CR368" s="409">
        <v>4590.7334648597171</v>
      </c>
      <c r="CS368" s="409">
        <v>0</v>
      </c>
      <c r="CT368" s="409">
        <v>0</v>
      </c>
      <c r="CU368" s="409">
        <v>0</v>
      </c>
      <c r="CV368" s="409">
        <v>0</v>
      </c>
      <c r="CW368" s="409"/>
      <c r="CX368" s="409"/>
      <c r="CY368" s="409"/>
      <c r="CZ368" s="409">
        <v>4920.1282941859681</v>
      </c>
      <c r="DA368" s="409">
        <v>0</v>
      </c>
      <c r="DB368" s="409">
        <v>0</v>
      </c>
      <c r="DC368" s="409"/>
      <c r="DD368" s="409"/>
      <c r="DE368" s="409">
        <v>0</v>
      </c>
      <c r="DF368" s="409">
        <v>0</v>
      </c>
      <c r="DG368" s="409">
        <v>26.399949805879714</v>
      </c>
      <c r="DH368" s="409">
        <v>0</v>
      </c>
      <c r="DI368" s="409">
        <v>-980.55231235734755</v>
      </c>
      <c r="DJ368" s="409"/>
      <c r="DK368" s="409">
        <v>0</v>
      </c>
      <c r="DL368" s="409">
        <v>0</v>
      </c>
      <c r="DM368" s="409"/>
      <c r="DN368" s="409">
        <v>0</v>
      </c>
      <c r="DO368" s="409">
        <v>-143.37022750998449</v>
      </c>
      <c r="DP368" s="409">
        <v>-16.774518286035601</v>
      </c>
      <c r="DQ368" s="409">
        <v>0</v>
      </c>
      <c r="DR368" s="409">
        <v>784.90227902124218</v>
      </c>
      <c r="DS368" s="409"/>
      <c r="DT368" s="409"/>
      <c r="DU368" s="409"/>
      <c r="DV368" s="409">
        <v>381431.08080674062</v>
      </c>
      <c r="DW368" s="409">
        <v>0</v>
      </c>
      <c r="DX368" s="409">
        <v>0</v>
      </c>
      <c r="DY368" s="409">
        <v>-56041.057200000039</v>
      </c>
      <c r="DZ368" s="409"/>
      <c r="EA368" s="409">
        <v>0</v>
      </c>
      <c r="EB368" s="409"/>
      <c r="EC368" s="409">
        <v>-60629.607614132168</v>
      </c>
      <c r="ED368" s="409"/>
      <c r="EE368" s="409">
        <v>0</v>
      </c>
      <c r="EF368" s="409">
        <v>0</v>
      </c>
      <c r="EG368" s="409"/>
      <c r="EH368" s="409">
        <v>0</v>
      </c>
      <c r="EI368" s="409">
        <v>0</v>
      </c>
      <c r="EJ368" s="409">
        <v>0</v>
      </c>
      <c r="EK368" s="409">
        <v>0</v>
      </c>
      <c r="EL368" s="409">
        <v>0</v>
      </c>
      <c r="EM368" s="409"/>
      <c r="EN368" s="409"/>
      <c r="EO368" s="409">
        <v>0</v>
      </c>
      <c r="EP368" s="409">
        <v>0</v>
      </c>
      <c r="EQ368" s="409"/>
      <c r="ER368" s="409">
        <v>0</v>
      </c>
      <c r="ES368" s="409"/>
      <c r="ET368" s="409">
        <v>0</v>
      </c>
      <c r="EU368" s="409"/>
      <c r="EV368" s="409">
        <v>210</v>
      </c>
      <c r="EW368" s="409"/>
      <c r="EX368" s="409"/>
      <c r="EY368" s="409"/>
      <c r="EZ368" s="409"/>
      <c r="FA368" s="409">
        <v>0</v>
      </c>
      <c r="FB368" s="409"/>
      <c r="FC368" s="409"/>
      <c r="FD368" s="409"/>
      <c r="FE368" s="409"/>
      <c r="FF368" s="409">
        <v>0</v>
      </c>
      <c r="FG368" s="409">
        <v>0</v>
      </c>
      <c r="FH368" s="409">
        <v>0</v>
      </c>
      <c r="FI368" s="409">
        <v>0</v>
      </c>
    </row>
    <row r="369" spans="1:165">
      <c r="A369" s="409">
        <v>367</v>
      </c>
      <c r="B369" s="409" t="s">
        <v>1035</v>
      </c>
      <c r="C369" s="409" t="s">
        <v>2246</v>
      </c>
      <c r="D369" s="409" t="s">
        <v>595</v>
      </c>
      <c r="E369" s="409" t="s">
        <v>969</v>
      </c>
      <c r="F369" s="409" t="s">
        <v>1323</v>
      </c>
      <c r="G369" s="409" t="s">
        <v>2261</v>
      </c>
      <c r="H369" s="409" t="s">
        <v>1323</v>
      </c>
      <c r="I369" s="409" t="s">
        <v>2234</v>
      </c>
      <c r="J369" s="409" t="s">
        <v>2262</v>
      </c>
      <c r="K369" s="838">
        <v>44348</v>
      </c>
      <c r="L369" s="409">
        <v>0</v>
      </c>
      <c r="M369" s="409">
        <v>0</v>
      </c>
      <c r="N369" s="409">
        <v>3173.5630000000001</v>
      </c>
      <c r="O369" s="409">
        <v>3173.5630000000001</v>
      </c>
      <c r="P369" s="409">
        <v>0</v>
      </c>
      <c r="Q369" s="409">
        <v>0</v>
      </c>
      <c r="R369" s="409"/>
      <c r="S369" s="409">
        <v>64.400000000000006</v>
      </c>
      <c r="T369" s="409"/>
      <c r="U369" s="409"/>
      <c r="V369" s="409">
        <v>204377.45720000003</v>
      </c>
      <c r="W369" s="409">
        <v>204377.45720000003</v>
      </c>
      <c r="X369" s="409">
        <v>192603.53847</v>
      </c>
      <c r="Y369" s="409">
        <v>0</v>
      </c>
      <c r="Z369" s="409">
        <v>166693.74058320193</v>
      </c>
      <c r="AA369" s="409">
        <v>0</v>
      </c>
      <c r="AB369" s="409">
        <v>0</v>
      </c>
      <c r="AC369" s="409">
        <v>0</v>
      </c>
      <c r="AD369" s="409">
        <v>0</v>
      </c>
      <c r="AE369" s="409">
        <v>0</v>
      </c>
      <c r="AF369" s="409"/>
      <c r="AG369" s="409"/>
      <c r="AH369" s="409"/>
      <c r="AI369" s="409">
        <v>0</v>
      </c>
      <c r="AJ369" s="409">
        <v>0</v>
      </c>
      <c r="AK369" s="409">
        <v>0</v>
      </c>
      <c r="AL369" s="409">
        <v>29630.125950767877</v>
      </c>
      <c r="AM369" s="409"/>
      <c r="AN369" s="409">
        <v>2754.9316724544574</v>
      </c>
      <c r="AO369" s="409">
        <v>0</v>
      </c>
      <c r="AP369" s="409">
        <v>0</v>
      </c>
      <c r="AQ369" s="409">
        <v>0</v>
      </c>
      <c r="AR369" s="409">
        <v>0</v>
      </c>
      <c r="AS369" s="409"/>
      <c r="AT369" s="409"/>
      <c r="AU369" s="409">
        <v>0</v>
      </c>
      <c r="AV369" s="409">
        <v>0</v>
      </c>
      <c r="AW369" s="409">
        <v>0</v>
      </c>
      <c r="AX369" s="409"/>
      <c r="AY369" s="409"/>
      <c r="AZ369" s="409">
        <v>0</v>
      </c>
      <c r="BA369" s="409"/>
      <c r="BB369" s="409">
        <v>0</v>
      </c>
      <c r="BC369" s="409">
        <v>0</v>
      </c>
      <c r="BD369" s="409">
        <v>0</v>
      </c>
      <c r="BE369" s="409">
        <v>0</v>
      </c>
      <c r="BF369" s="409"/>
      <c r="BG369" s="409">
        <v>5310.4050775798842</v>
      </c>
      <c r="BH369" s="409">
        <v>0</v>
      </c>
      <c r="BI369" s="409">
        <v>0</v>
      </c>
      <c r="BJ369" s="409">
        <v>0</v>
      </c>
      <c r="BK369" s="409">
        <v>0</v>
      </c>
      <c r="BL369" s="409">
        <v>0</v>
      </c>
      <c r="BM369" s="409"/>
      <c r="BN369" s="409"/>
      <c r="BO369" s="409"/>
      <c r="BP369" s="409"/>
      <c r="BQ369" s="409"/>
      <c r="BR369" s="409"/>
      <c r="BS369" s="409"/>
      <c r="BT369" s="409"/>
      <c r="BU369" s="409"/>
      <c r="BV369" s="409">
        <v>5310.4050775798842</v>
      </c>
      <c r="BW369" s="409"/>
      <c r="BX369" s="409"/>
      <c r="BY369" s="409"/>
      <c r="BZ369" s="409"/>
      <c r="CA369" s="409"/>
      <c r="CB369" s="409"/>
      <c r="CC369" s="409"/>
      <c r="CD369" s="409"/>
      <c r="CE369" s="409"/>
      <c r="CF369" s="409"/>
      <c r="CG369" s="409"/>
      <c r="CH369" s="409"/>
      <c r="CI369" s="409">
        <v>192603.35639999999</v>
      </c>
      <c r="CJ369" s="409">
        <v>-11774.130800000072</v>
      </c>
      <c r="CK369" s="409"/>
      <c r="CL369" s="409"/>
      <c r="CM369" s="409"/>
      <c r="CN369" s="409"/>
      <c r="CO369" s="409">
        <v>-11773.918730000025</v>
      </c>
      <c r="CP369" s="409">
        <v>0</v>
      </c>
      <c r="CQ369" s="409">
        <v>30</v>
      </c>
      <c r="CR369" s="409">
        <v>-11779.537549815956</v>
      </c>
      <c r="CS369" s="409">
        <v>0</v>
      </c>
      <c r="CT369" s="409">
        <v>0</v>
      </c>
      <c r="CU369" s="409">
        <v>0</v>
      </c>
      <c r="CV369" s="409">
        <v>0</v>
      </c>
      <c r="CW369" s="409"/>
      <c r="CX369" s="409"/>
      <c r="CY369" s="409"/>
      <c r="CZ369" s="409">
        <v>0</v>
      </c>
      <c r="DA369" s="409">
        <v>0</v>
      </c>
      <c r="DB369" s="409">
        <v>0</v>
      </c>
      <c r="DC369" s="409"/>
      <c r="DD369" s="409"/>
      <c r="DE369" s="409">
        <v>0</v>
      </c>
      <c r="DF369" s="409">
        <v>0</v>
      </c>
      <c r="DG369" s="409">
        <v>286.07003710083973</v>
      </c>
      <c r="DH369" s="409">
        <v>0</v>
      </c>
      <c r="DI369" s="409">
        <v>-10625.271579603781</v>
      </c>
      <c r="DJ369" s="409"/>
      <c r="DK369" s="409">
        <v>0</v>
      </c>
      <c r="DL369" s="409">
        <v>0</v>
      </c>
      <c r="DM369" s="409"/>
      <c r="DN369" s="409">
        <v>0</v>
      </c>
      <c r="DO369" s="409">
        <v>-1553.5607682785267</v>
      </c>
      <c r="DP369" s="409">
        <v>-181.76879515756355</v>
      </c>
      <c r="DQ369" s="409">
        <v>0</v>
      </c>
      <c r="DR369" s="409">
        <v>294.99355612312718</v>
      </c>
      <c r="DS369" s="409"/>
      <c r="DT369" s="409"/>
      <c r="DU369" s="409"/>
      <c r="DV369" s="409">
        <v>0</v>
      </c>
      <c r="DW369" s="409">
        <v>0</v>
      </c>
      <c r="DX369" s="409">
        <v>0</v>
      </c>
      <c r="DY369" s="409">
        <v>-11773.918730000034</v>
      </c>
      <c r="DZ369" s="409"/>
      <c r="EA369" s="409">
        <v>0</v>
      </c>
      <c r="EB369" s="409"/>
      <c r="EC369" s="409">
        <v>0</v>
      </c>
      <c r="ED369" s="409"/>
      <c r="EE369" s="409">
        <v>0</v>
      </c>
      <c r="EF369" s="409">
        <v>0</v>
      </c>
      <c r="EG369" s="409"/>
      <c r="EH369" s="409">
        <v>0</v>
      </c>
      <c r="EI369" s="409">
        <v>0</v>
      </c>
      <c r="EJ369" s="409">
        <v>0</v>
      </c>
      <c r="EK369" s="409">
        <v>0</v>
      </c>
      <c r="EL369" s="409">
        <v>0</v>
      </c>
      <c r="EM369" s="409"/>
      <c r="EN369" s="409"/>
      <c r="EO369" s="409">
        <v>0</v>
      </c>
      <c r="EP369" s="409">
        <v>0</v>
      </c>
      <c r="EQ369" s="409"/>
      <c r="ER369" s="409">
        <v>0</v>
      </c>
      <c r="ES369" s="409"/>
      <c r="ET369" s="409">
        <v>0</v>
      </c>
      <c r="EU369" s="409"/>
      <c r="EV369" s="409">
        <v>210</v>
      </c>
      <c r="EW369" s="409"/>
      <c r="EX369" s="409"/>
      <c r="EY369" s="409"/>
      <c r="EZ369" s="409"/>
      <c r="FA369" s="409">
        <v>0</v>
      </c>
      <c r="FB369" s="409"/>
      <c r="FC369" s="409"/>
      <c r="FD369" s="409"/>
      <c r="FE369" s="409"/>
      <c r="FF369" s="409">
        <v>0</v>
      </c>
      <c r="FG369" s="409">
        <v>0</v>
      </c>
      <c r="FH369" s="409">
        <v>0</v>
      </c>
      <c r="FI369" s="409">
        <v>0</v>
      </c>
    </row>
    <row r="370" spans="1:165">
      <c r="A370" s="409">
        <v>368</v>
      </c>
      <c r="B370" s="409" t="s">
        <v>1035</v>
      </c>
      <c r="C370" s="409" t="s">
        <v>2246</v>
      </c>
      <c r="D370" s="409" t="s">
        <v>595</v>
      </c>
      <c r="E370" s="409" t="s">
        <v>969</v>
      </c>
      <c r="F370" s="409" t="s">
        <v>1323</v>
      </c>
      <c r="G370" s="409" t="s">
        <v>2261</v>
      </c>
      <c r="H370" s="409" t="s">
        <v>1323</v>
      </c>
      <c r="I370" s="409" t="s">
        <v>1323</v>
      </c>
      <c r="J370" s="409" t="s">
        <v>2262</v>
      </c>
      <c r="K370" s="838">
        <v>44348</v>
      </c>
      <c r="L370" s="409">
        <v>9540</v>
      </c>
      <c r="M370" s="409">
        <v>4774.5561132000003</v>
      </c>
      <c r="N370" s="409">
        <v>0</v>
      </c>
      <c r="O370" s="409">
        <v>0</v>
      </c>
      <c r="P370" s="409">
        <v>0</v>
      </c>
      <c r="Q370" s="409">
        <v>0</v>
      </c>
      <c r="R370" s="409">
        <v>33.6</v>
      </c>
      <c r="S370" s="409"/>
      <c r="T370" s="409"/>
      <c r="U370" s="409">
        <v>320544</v>
      </c>
      <c r="V370" s="409"/>
      <c r="W370" s="409">
        <v>320544</v>
      </c>
      <c r="X370" s="409">
        <v>302990.40000000002</v>
      </c>
      <c r="Y370" s="409">
        <v>0</v>
      </c>
      <c r="Z370" s="409">
        <v>0</v>
      </c>
      <c r="AA370" s="409">
        <v>0</v>
      </c>
      <c r="AB370" s="409">
        <v>0</v>
      </c>
      <c r="AC370" s="409">
        <v>0</v>
      </c>
      <c r="AD370" s="409">
        <v>170246.21189754215</v>
      </c>
      <c r="AE370" s="409">
        <v>150304.13112434722</v>
      </c>
      <c r="AF370" s="409"/>
      <c r="AG370" s="409"/>
      <c r="AH370" s="409"/>
      <c r="AI370" s="409">
        <v>0</v>
      </c>
      <c r="AJ370" s="409">
        <v>0</v>
      </c>
      <c r="AK370" s="409">
        <v>0</v>
      </c>
      <c r="AL370" s="409">
        <v>0</v>
      </c>
      <c r="AM370" s="409"/>
      <c r="AN370" s="409">
        <v>0</v>
      </c>
      <c r="AO370" s="409">
        <v>0</v>
      </c>
      <c r="AP370" s="409">
        <v>0</v>
      </c>
      <c r="AQ370" s="409">
        <v>0</v>
      </c>
      <c r="AR370" s="409">
        <v>0</v>
      </c>
      <c r="AS370" s="409"/>
      <c r="AT370" s="409"/>
      <c r="AU370" s="409">
        <v>0</v>
      </c>
      <c r="AV370" s="409">
        <v>0</v>
      </c>
      <c r="AW370" s="409">
        <v>0</v>
      </c>
      <c r="AX370" s="409"/>
      <c r="AY370" s="409"/>
      <c r="AZ370" s="409">
        <v>0</v>
      </c>
      <c r="BA370" s="409"/>
      <c r="BB370" s="409">
        <v>0</v>
      </c>
      <c r="BC370" s="409">
        <v>0</v>
      </c>
      <c r="BD370" s="409">
        <v>0</v>
      </c>
      <c r="BE370" s="409">
        <v>0</v>
      </c>
      <c r="BF370" s="409"/>
      <c r="BG370" s="409">
        <v>0</v>
      </c>
      <c r="BH370" s="409">
        <v>0</v>
      </c>
      <c r="BI370" s="409">
        <v>0</v>
      </c>
      <c r="BJ370" s="409">
        <v>0</v>
      </c>
      <c r="BK370" s="409">
        <v>196282.02</v>
      </c>
      <c r="BL370" s="409">
        <v>3</v>
      </c>
      <c r="BM370" s="409"/>
      <c r="BN370" s="409">
        <v>151350.49784476799</v>
      </c>
      <c r="BO370" s="409"/>
      <c r="BP370" s="409"/>
      <c r="BQ370" s="409"/>
      <c r="BR370" s="409"/>
      <c r="BS370" s="409"/>
      <c r="BT370" s="409"/>
      <c r="BU370" s="409"/>
      <c r="BV370" s="409">
        <v>0</v>
      </c>
      <c r="BW370" s="409"/>
      <c r="BX370" s="409"/>
      <c r="BY370" s="409"/>
      <c r="BZ370" s="409"/>
      <c r="CA370" s="409"/>
      <c r="CB370" s="409"/>
      <c r="CC370" s="409"/>
      <c r="CD370" s="409"/>
      <c r="CE370" s="409"/>
      <c r="CF370" s="409"/>
      <c r="CG370" s="409"/>
      <c r="CH370" s="409"/>
      <c r="CI370" s="409">
        <v>151640.02560000002</v>
      </c>
      <c r="CJ370" s="409">
        <v>-8785.089803520008</v>
      </c>
      <c r="CK370" s="409"/>
      <c r="CL370" s="409"/>
      <c r="CM370" s="409"/>
      <c r="CN370" s="409"/>
      <c r="CO370" s="409">
        <v>-17553.599999999999</v>
      </c>
      <c r="CP370" s="409">
        <v>0</v>
      </c>
      <c r="CQ370" s="409">
        <v>30</v>
      </c>
      <c r="CR370" s="409">
        <v>6298.4230622142495</v>
      </c>
      <c r="CS370" s="409">
        <v>0</v>
      </c>
      <c r="CT370" s="409">
        <v>0</v>
      </c>
      <c r="CU370" s="409">
        <v>0</v>
      </c>
      <c r="CV370" s="409">
        <v>0</v>
      </c>
      <c r="CW370" s="409"/>
      <c r="CX370" s="409"/>
      <c r="CY370" s="409"/>
      <c r="CZ370" s="409">
        <v>5835.7749179621169</v>
      </c>
      <c r="DA370" s="409">
        <v>0</v>
      </c>
      <c r="DB370" s="409">
        <v>0</v>
      </c>
      <c r="DC370" s="409"/>
      <c r="DD370" s="409"/>
      <c r="DE370" s="409">
        <v>0</v>
      </c>
      <c r="DF370" s="409">
        <v>0</v>
      </c>
      <c r="DG370" s="409">
        <v>0</v>
      </c>
      <c r="DH370" s="409">
        <v>0</v>
      </c>
      <c r="DI370" s="409">
        <v>0</v>
      </c>
      <c r="DJ370" s="409"/>
      <c r="DK370" s="409">
        <v>0</v>
      </c>
      <c r="DL370" s="409">
        <v>0</v>
      </c>
      <c r="DM370" s="409"/>
      <c r="DN370" s="409">
        <v>0</v>
      </c>
      <c r="DO370" s="409">
        <v>0</v>
      </c>
      <c r="DP370" s="409">
        <v>0</v>
      </c>
      <c r="DQ370" s="409">
        <v>0</v>
      </c>
      <c r="DR370" s="409">
        <v>462.64814425212649</v>
      </c>
      <c r="DS370" s="409"/>
      <c r="DT370" s="409"/>
      <c r="DU370" s="409">
        <v>150304.13112434722</v>
      </c>
      <c r="DV370" s="409"/>
      <c r="DW370" s="409">
        <v>0</v>
      </c>
      <c r="DX370" s="409">
        <v>0</v>
      </c>
      <c r="DY370" s="409">
        <v>-17553.599999999977</v>
      </c>
      <c r="DZ370" s="409"/>
      <c r="EA370" s="409">
        <v>0</v>
      </c>
      <c r="EB370" s="409"/>
      <c r="EC370" s="409">
        <v>-23891.289806741668</v>
      </c>
      <c r="ED370" s="409"/>
      <c r="EE370" s="409">
        <v>0</v>
      </c>
      <c r="EF370" s="409">
        <v>0</v>
      </c>
      <c r="EG370" s="409"/>
      <c r="EH370" s="409">
        <v>0</v>
      </c>
      <c r="EI370" s="409">
        <v>0</v>
      </c>
      <c r="EJ370" s="409">
        <v>0</v>
      </c>
      <c r="EK370" s="409">
        <v>0</v>
      </c>
      <c r="EL370" s="409">
        <v>0</v>
      </c>
      <c r="EM370" s="409"/>
      <c r="EN370" s="409"/>
      <c r="EO370" s="409">
        <v>0</v>
      </c>
      <c r="EP370" s="409">
        <v>0</v>
      </c>
      <c r="EQ370" s="409"/>
      <c r="ER370" s="409">
        <v>0</v>
      </c>
      <c r="ES370" s="409"/>
      <c r="ET370" s="409">
        <v>0</v>
      </c>
      <c r="EU370" s="409"/>
      <c r="EV370" s="409">
        <v>210</v>
      </c>
      <c r="EW370" s="409"/>
      <c r="EX370" s="409"/>
      <c r="EY370" s="409"/>
      <c r="EZ370" s="409"/>
      <c r="FA370" s="409">
        <v>0</v>
      </c>
      <c r="FB370" s="409"/>
      <c r="FC370" s="409"/>
      <c r="FD370" s="409"/>
      <c r="FE370" s="409"/>
      <c r="FF370" s="409">
        <v>0</v>
      </c>
      <c r="FG370" s="409">
        <v>0</v>
      </c>
      <c r="FH370" s="409">
        <v>0</v>
      </c>
      <c r="FI370" s="409">
        <v>0</v>
      </c>
    </row>
    <row r="371" spans="1:165">
      <c r="A371" s="409">
        <v>369</v>
      </c>
      <c r="B371" s="409" t="s">
        <v>1035</v>
      </c>
      <c r="C371" s="409" t="s">
        <v>2246</v>
      </c>
      <c r="D371" s="409" t="s">
        <v>595</v>
      </c>
      <c r="E371" s="409" t="s">
        <v>969</v>
      </c>
      <c r="F371" s="409" t="s">
        <v>1323</v>
      </c>
      <c r="G371" s="409" t="s">
        <v>2261</v>
      </c>
      <c r="H371" s="409" t="s">
        <v>1323</v>
      </c>
      <c r="I371" s="409" t="s">
        <v>972</v>
      </c>
      <c r="J371" s="409" t="s">
        <v>2262</v>
      </c>
      <c r="K371" s="838">
        <v>44378</v>
      </c>
      <c r="L371" s="409">
        <v>0</v>
      </c>
      <c r="M371" s="409">
        <v>0</v>
      </c>
      <c r="N371" s="409">
        <v>288.48599999999999</v>
      </c>
      <c r="O371" s="409">
        <v>144.88268020181999</v>
      </c>
      <c r="P371" s="409">
        <v>0</v>
      </c>
      <c r="Q371" s="409">
        <v>0</v>
      </c>
      <c r="R371" s="409"/>
      <c r="S371" s="409">
        <v>1856.88</v>
      </c>
      <c r="T371" s="409"/>
      <c r="U371" s="409"/>
      <c r="V371" s="409">
        <v>535683.88367999997</v>
      </c>
      <c r="W371" s="409">
        <v>535683.88367999997</v>
      </c>
      <c r="X371" s="409">
        <v>480482.08757999999</v>
      </c>
      <c r="Y371" s="409">
        <v>0</v>
      </c>
      <c r="Z371" s="409">
        <v>15152.940227084067</v>
      </c>
      <c r="AA371" s="409">
        <v>0</v>
      </c>
      <c r="AB371" s="409">
        <v>0</v>
      </c>
      <c r="AC371" s="409">
        <v>0</v>
      </c>
      <c r="AD371" s="409">
        <v>141384.64333152634</v>
      </c>
      <c r="AE371" s="409">
        <v>375718.83545580792</v>
      </c>
      <c r="AF371" s="409"/>
      <c r="AG371" s="409"/>
      <c r="AH371" s="409"/>
      <c r="AI371" s="409">
        <v>0</v>
      </c>
      <c r="AJ371" s="409">
        <v>0</v>
      </c>
      <c r="AK371" s="409">
        <v>0</v>
      </c>
      <c r="AL371" s="409">
        <v>2693.4636290608446</v>
      </c>
      <c r="AM371" s="409"/>
      <c r="AN371" s="409">
        <v>250.431208852541</v>
      </c>
      <c r="AO371" s="409">
        <v>0</v>
      </c>
      <c r="AP371" s="409">
        <v>0</v>
      </c>
      <c r="AQ371" s="409">
        <v>0</v>
      </c>
      <c r="AR371" s="409">
        <v>0</v>
      </c>
      <c r="AS371" s="409"/>
      <c r="AT371" s="409"/>
      <c r="AU371" s="409">
        <v>0</v>
      </c>
      <c r="AV371" s="409">
        <v>0</v>
      </c>
      <c r="AW371" s="409">
        <v>0</v>
      </c>
      <c r="AX371" s="409"/>
      <c r="AY371" s="409"/>
      <c r="AZ371" s="409">
        <v>0</v>
      </c>
      <c r="BA371" s="409"/>
      <c r="BB371" s="409">
        <v>0</v>
      </c>
      <c r="BC371" s="409">
        <v>0</v>
      </c>
      <c r="BD371" s="409">
        <v>0</v>
      </c>
      <c r="BE371" s="409">
        <v>0</v>
      </c>
      <c r="BF371" s="409"/>
      <c r="BG371" s="409">
        <v>482.73108780594885</v>
      </c>
      <c r="BH371" s="409">
        <v>0</v>
      </c>
      <c r="BI371" s="409">
        <v>0</v>
      </c>
      <c r="BJ371" s="409">
        <v>0</v>
      </c>
      <c r="BK371" s="409">
        <v>0</v>
      </c>
      <c r="BL371" s="409">
        <v>0</v>
      </c>
      <c r="BM371" s="409"/>
      <c r="BN371" s="409">
        <v>239175.63722346272</v>
      </c>
      <c r="BO371" s="409"/>
      <c r="BP371" s="409"/>
      <c r="BQ371" s="409"/>
      <c r="BR371" s="409"/>
      <c r="BS371" s="409"/>
      <c r="BT371" s="409"/>
      <c r="BU371" s="409"/>
      <c r="BV371" s="409">
        <v>482.73108780594885</v>
      </c>
      <c r="BW371" s="409"/>
      <c r="BX371" s="409"/>
      <c r="BY371" s="409"/>
      <c r="BZ371" s="409"/>
      <c r="CA371" s="409"/>
      <c r="CB371" s="409"/>
      <c r="CC371" s="409"/>
      <c r="CD371" s="409"/>
      <c r="CE371" s="409"/>
      <c r="CF371" s="409"/>
      <c r="CG371" s="409"/>
      <c r="CH371" s="409"/>
      <c r="CI371" s="409">
        <v>241301.98639999999</v>
      </c>
      <c r="CJ371" s="409">
        <v>-27727.794813155546</v>
      </c>
      <c r="CK371" s="409"/>
      <c r="CL371" s="409"/>
      <c r="CM371" s="409"/>
      <c r="CN371" s="409"/>
      <c r="CO371" s="409">
        <v>-55201.796100000036</v>
      </c>
      <c r="CP371" s="409">
        <v>0</v>
      </c>
      <c r="CQ371" s="409">
        <v>31</v>
      </c>
      <c r="CR371" s="409">
        <v>4521.9834410375042</v>
      </c>
      <c r="CS371" s="409">
        <v>0</v>
      </c>
      <c r="CT371" s="409">
        <v>0</v>
      </c>
      <c r="CU371" s="409">
        <v>0</v>
      </c>
      <c r="CV371" s="409">
        <v>0</v>
      </c>
      <c r="CW371" s="409"/>
      <c r="CX371" s="409"/>
      <c r="CY371" s="409"/>
      <c r="CZ371" s="409">
        <v>4846.4453108407033</v>
      </c>
      <c r="DA371" s="409">
        <v>0</v>
      </c>
      <c r="DB371" s="409">
        <v>0</v>
      </c>
      <c r="DC371" s="409"/>
      <c r="DD371" s="409"/>
      <c r="DE371" s="409">
        <v>0</v>
      </c>
      <c r="DF371" s="409">
        <v>0</v>
      </c>
      <c r="DG371" s="409">
        <v>26.004588761298521</v>
      </c>
      <c r="DH371" s="409">
        <v>0</v>
      </c>
      <c r="DI371" s="409">
        <v>-965.86773191947941</v>
      </c>
      <c r="DJ371" s="409"/>
      <c r="DK371" s="409">
        <v>0</v>
      </c>
      <c r="DL371" s="409">
        <v>0</v>
      </c>
      <c r="DM371" s="409"/>
      <c r="DN371" s="409">
        <v>0</v>
      </c>
      <c r="DO371" s="409">
        <v>-141.2231399841753</v>
      </c>
      <c r="DP371" s="409">
        <v>-16.523306025380606</v>
      </c>
      <c r="DQ371" s="409">
        <v>0</v>
      </c>
      <c r="DR371" s="409">
        <v>773.14771936450757</v>
      </c>
      <c r="DS371" s="409"/>
      <c r="DT371" s="409"/>
      <c r="DU371" s="409"/>
      <c r="DV371" s="409">
        <v>375718.83545580792</v>
      </c>
      <c r="DW371" s="409">
        <v>0</v>
      </c>
      <c r="DX371" s="409">
        <v>0</v>
      </c>
      <c r="DY371" s="409">
        <v>-55201.796099999978</v>
      </c>
      <c r="DZ371" s="409"/>
      <c r="EA371" s="409">
        <v>0</v>
      </c>
      <c r="EB371" s="409"/>
      <c r="EC371" s="409">
        <v>-59721.629183296929</v>
      </c>
      <c r="ED371" s="409"/>
      <c r="EE371" s="409">
        <v>0</v>
      </c>
      <c r="EF371" s="409">
        <v>0</v>
      </c>
      <c r="EG371" s="409"/>
      <c r="EH371" s="409">
        <v>0</v>
      </c>
      <c r="EI371" s="409">
        <v>0</v>
      </c>
      <c r="EJ371" s="409">
        <v>0</v>
      </c>
      <c r="EK371" s="409">
        <v>0</v>
      </c>
      <c r="EL371" s="409">
        <v>0</v>
      </c>
      <c r="EM371" s="409"/>
      <c r="EN371" s="409"/>
      <c r="EO371" s="409">
        <v>0</v>
      </c>
      <c r="EP371" s="409">
        <v>0</v>
      </c>
      <c r="EQ371" s="409"/>
      <c r="ER371" s="409">
        <v>0</v>
      </c>
      <c r="ES371" s="409"/>
      <c r="ET371" s="409">
        <v>0</v>
      </c>
      <c r="EU371" s="409"/>
      <c r="EV371" s="409">
        <v>210</v>
      </c>
      <c r="EW371" s="409"/>
      <c r="EX371" s="409"/>
      <c r="EY371" s="409"/>
      <c r="EZ371" s="409"/>
      <c r="FA371" s="409">
        <v>0</v>
      </c>
      <c r="FB371" s="409"/>
      <c r="FC371" s="409"/>
      <c r="FD371" s="409"/>
      <c r="FE371" s="409"/>
      <c r="FF371" s="409">
        <v>0</v>
      </c>
      <c r="FG371" s="409">
        <v>0</v>
      </c>
      <c r="FH371" s="409">
        <v>0</v>
      </c>
      <c r="FI371" s="409">
        <v>0</v>
      </c>
    </row>
    <row r="372" spans="1:165">
      <c r="A372" s="409">
        <v>370</v>
      </c>
      <c r="B372" s="409" t="s">
        <v>1035</v>
      </c>
      <c r="C372" s="409" t="s">
        <v>2246</v>
      </c>
      <c r="D372" s="409" t="s">
        <v>595</v>
      </c>
      <c r="E372" s="409" t="s">
        <v>969</v>
      </c>
      <c r="F372" s="409" t="s">
        <v>1323</v>
      </c>
      <c r="G372" s="409" t="s">
        <v>2261</v>
      </c>
      <c r="H372" s="409" t="s">
        <v>1323</v>
      </c>
      <c r="I372" s="409" t="s">
        <v>2234</v>
      </c>
      <c r="J372" s="409" t="s">
        <v>2262</v>
      </c>
      <c r="K372" s="838">
        <v>44378</v>
      </c>
      <c r="L372" s="409">
        <v>0</v>
      </c>
      <c r="M372" s="409">
        <v>0</v>
      </c>
      <c r="N372" s="409">
        <v>2989.0709999999999</v>
      </c>
      <c r="O372" s="409">
        <v>2989.0709999999999</v>
      </c>
      <c r="P372" s="409">
        <v>0</v>
      </c>
      <c r="Q372" s="409">
        <v>0</v>
      </c>
      <c r="R372" s="409"/>
      <c r="S372" s="409">
        <v>64.400000000000006</v>
      </c>
      <c r="T372" s="409"/>
      <c r="U372" s="409"/>
      <c r="V372" s="409">
        <v>192496.17240000001</v>
      </c>
      <c r="W372" s="409">
        <v>192496.17240000001</v>
      </c>
      <c r="X372" s="409">
        <v>181406.71898999999</v>
      </c>
      <c r="Y372" s="409">
        <v>0</v>
      </c>
      <c r="Z372" s="409">
        <v>157003.1620165637</v>
      </c>
      <c r="AA372" s="409">
        <v>0</v>
      </c>
      <c r="AB372" s="409">
        <v>0</v>
      </c>
      <c r="AC372" s="409">
        <v>0</v>
      </c>
      <c r="AD372" s="409">
        <v>0</v>
      </c>
      <c r="AE372" s="409">
        <v>0</v>
      </c>
      <c r="AF372" s="409"/>
      <c r="AG372" s="409"/>
      <c r="AH372" s="409"/>
      <c r="AI372" s="409">
        <v>0</v>
      </c>
      <c r="AJ372" s="409">
        <v>0</v>
      </c>
      <c r="AK372" s="409">
        <v>0</v>
      </c>
      <c r="AL372" s="409">
        <v>27907.607381919843</v>
      </c>
      <c r="AM372" s="409"/>
      <c r="AN372" s="409">
        <v>2594.7763977318609</v>
      </c>
      <c r="AO372" s="409">
        <v>0</v>
      </c>
      <c r="AP372" s="409">
        <v>0</v>
      </c>
      <c r="AQ372" s="409">
        <v>0</v>
      </c>
      <c r="AR372" s="409">
        <v>0</v>
      </c>
      <c r="AS372" s="409"/>
      <c r="AT372" s="409"/>
      <c r="AU372" s="409">
        <v>0</v>
      </c>
      <c r="AV372" s="409">
        <v>0</v>
      </c>
      <c r="AW372" s="409">
        <v>0</v>
      </c>
      <c r="AX372" s="409"/>
      <c r="AY372" s="409"/>
      <c r="AZ372" s="409">
        <v>0</v>
      </c>
      <c r="BA372" s="409"/>
      <c r="BB372" s="409">
        <v>0</v>
      </c>
      <c r="BC372" s="409">
        <v>0</v>
      </c>
      <c r="BD372" s="409">
        <v>0</v>
      </c>
      <c r="BE372" s="409">
        <v>0</v>
      </c>
      <c r="BF372" s="409"/>
      <c r="BG372" s="409">
        <v>5001.6898406134624</v>
      </c>
      <c r="BH372" s="409">
        <v>0</v>
      </c>
      <c r="BI372" s="409">
        <v>0</v>
      </c>
      <c r="BJ372" s="409">
        <v>0</v>
      </c>
      <c r="BK372" s="409">
        <v>0</v>
      </c>
      <c r="BL372" s="409">
        <v>0</v>
      </c>
      <c r="BM372" s="409"/>
      <c r="BN372" s="409"/>
      <c r="BO372" s="409"/>
      <c r="BP372" s="409"/>
      <c r="BQ372" s="409"/>
      <c r="BR372" s="409"/>
      <c r="BS372" s="409"/>
      <c r="BT372" s="409"/>
      <c r="BU372" s="409"/>
      <c r="BV372" s="409">
        <v>5001.6898406134624</v>
      </c>
      <c r="BW372" s="409"/>
      <c r="BX372" s="409"/>
      <c r="BY372" s="409"/>
      <c r="BZ372" s="409"/>
      <c r="CA372" s="409"/>
      <c r="CB372" s="409"/>
      <c r="CC372" s="409"/>
      <c r="CD372" s="409"/>
      <c r="CE372" s="409"/>
      <c r="CF372" s="409"/>
      <c r="CG372" s="409"/>
      <c r="CH372" s="409"/>
      <c r="CI372" s="409">
        <v>181406.65830000001</v>
      </c>
      <c r="CJ372" s="409">
        <v>-11089.544100000028</v>
      </c>
      <c r="CK372" s="409"/>
      <c r="CL372" s="409"/>
      <c r="CM372" s="409"/>
      <c r="CN372" s="409"/>
      <c r="CO372" s="409">
        <v>-11089.453410000024</v>
      </c>
      <c r="CP372" s="409">
        <v>0</v>
      </c>
      <c r="CQ372" s="409">
        <v>31</v>
      </c>
      <c r="CR372" s="409">
        <v>-11094.745585187949</v>
      </c>
      <c r="CS372" s="409">
        <v>0</v>
      </c>
      <c r="CT372" s="409">
        <v>0</v>
      </c>
      <c r="CU372" s="409">
        <v>0</v>
      </c>
      <c r="CV372" s="409">
        <v>0</v>
      </c>
      <c r="CW372" s="409"/>
      <c r="CX372" s="409"/>
      <c r="CY372" s="409"/>
      <c r="CZ372" s="409">
        <v>0</v>
      </c>
      <c r="DA372" s="409">
        <v>0</v>
      </c>
      <c r="DB372" s="409">
        <v>0</v>
      </c>
      <c r="DC372" s="409"/>
      <c r="DD372" s="409"/>
      <c r="DE372" s="409">
        <v>0</v>
      </c>
      <c r="DF372" s="409">
        <v>0</v>
      </c>
      <c r="DG372" s="409">
        <v>269.43963358125984</v>
      </c>
      <c r="DH372" s="409">
        <v>0</v>
      </c>
      <c r="DI372" s="409">
        <v>-10007.581745097821</v>
      </c>
      <c r="DJ372" s="409"/>
      <c r="DK372" s="409">
        <v>0</v>
      </c>
      <c r="DL372" s="409">
        <v>0</v>
      </c>
      <c r="DM372" s="409"/>
      <c r="DN372" s="409">
        <v>0</v>
      </c>
      <c r="DO372" s="409">
        <v>-1463.2460232234444</v>
      </c>
      <c r="DP372" s="409">
        <v>-171.20184294763158</v>
      </c>
      <c r="DQ372" s="409">
        <v>0</v>
      </c>
      <c r="DR372" s="409">
        <v>277.84439249969569</v>
      </c>
      <c r="DS372" s="409"/>
      <c r="DT372" s="409"/>
      <c r="DU372" s="409"/>
      <c r="DV372" s="409">
        <v>0</v>
      </c>
      <c r="DW372" s="409">
        <v>0</v>
      </c>
      <c r="DX372" s="409">
        <v>0</v>
      </c>
      <c r="DY372" s="409">
        <v>-11089.453410000016</v>
      </c>
      <c r="DZ372" s="409"/>
      <c r="EA372" s="409">
        <v>0</v>
      </c>
      <c r="EB372" s="409"/>
      <c r="EC372" s="409">
        <v>0</v>
      </c>
      <c r="ED372" s="409"/>
      <c r="EE372" s="409">
        <v>0</v>
      </c>
      <c r="EF372" s="409">
        <v>0</v>
      </c>
      <c r="EG372" s="409"/>
      <c r="EH372" s="409">
        <v>0</v>
      </c>
      <c r="EI372" s="409">
        <v>0</v>
      </c>
      <c r="EJ372" s="409">
        <v>0</v>
      </c>
      <c r="EK372" s="409">
        <v>0</v>
      </c>
      <c r="EL372" s="409">
        <v>0</v>
      </c>
      <c r="EM372" s="409"/>
      <c r="EN372" s="409"/>
      <c r="EO372" s="409">
        <v>0</v>
      </c>
      <c r="EP372" s="409">
        <v>0</v>
      </c>
      <c r="EQ372" s="409"/>
      <c r="ER372" s="409">
        <v>0</v>
      </c>
      <c r="ES372" s="409"/>
      <c r="ET372" s="409">
        <v>0</v>
      </c>
      <c r="EU372" s="409"/>
      <c r="EV372" s="409">
        <v>210</v>
      </c>
      <c r="EW372" s="409"/>
      <c r="EX372" s="409"/>
      <c r="EY372" s="409"/>
      <c r="EZ372" s="409"/>
      <c r="FA372" s="409">
        <v>0</v>
      </c>
      <c r="FB372" s="409"/>
      <c r="FC372" s="409"/>
      <c r="FD372" s="409"/>
      <c r="FE372" s="409"/>
      <c r="FF372" s="409">
        <v>0</v>
      </c>
      <c r="FG372" s="409">
        <v>0</v>
      </c>
      <c r="FH372" s="409">
        <v>0</v>
      </c>
      <c r="FI372" s="409">
        <v>0</v>
      </c>
    </row>
    <row r="373" spans="1:165">
      <c r="A373" s="409">
        <v>371</v>
      </c>
      <c r="B373" s="409" t="s">
        <v>1035</v>
      </c>
      <c r="C373" s="409" t="s">
        <v>2246</v>
      </c>
      <c r="D373" s="409" t="s">
        <v>595</v>
      </c>
      <c r="E373" s="409" t="s">
        <v>969</v>
      </c>
      <c r="F373" s="409" t="s">
        <v>1323</v>
      </c>
      <c r="G373" s="409" t="s">
        <v>2261</v>
      </c>
      <c r="H373" s="409" t="s">
        <v>1323</v>
      </c>
      <c r="I373" s="409" t="s">
        <v>1323</v>
      </c>
      <c r="J373" s="409" t="s">
        <v>2262</v>
      </c>
      <c r="K373" s="838">
        <v>44378</v>
      </c>
      <c r="L373" s="409">
        <v>9540</v>
      </c>
      <c r="M373" s="409">
        <v>4791.1537097999999</v>
      </c>
      <c r="N373" s="409">
        <v>0</v>
      </c>
      <c r="O373" s="409">
        <v>0</v>
      </c>
      <c r="P373" s="409">
        <v>0</v>
      </c>
      <c r="Q373" s="409">
        <v>0</v>
      </c>
      <c r="R373" s="409">
        <v>33.6</v>
      </c>
      <c r="S373" s="409"/>
      <c r="T373" s="409"/>
      <c r="U373" s="409">
        <v>320544</v>
      </c>
      <c r="V373" s="409"/>
      <c r="W373" s="409">
        <v>320544</v>
      </c>
      <c r="X373" s="409">
        <v>302990.40000000002</v>
      </c>
      <c r="Y373" s="409">
        <v>0</v>
      </c>
      <c r="Z373" s="409">
        <v>0</v>
      </c>
      <c r="AA373" s="409">
        <v>0</v>
      </c>
      <c r="AB373" s="409">
        <v>0</v>
      </c>
      <c r="AC373" s="409">
        <v>0</v>
      </c>
      <c r="AD373" s="409">
        <v>170246.21189754215</v>
      </c>
      <c r="AE373" s="409">
        <v>150304.13112434722</v>
      </c>
      <c r="AF373" s="409"/>
      <c r="AG373" s="409"/>
      <c r="AH373" s="409"/>
      <c r="AI373" s="409">
        <v>0</v>
      </c>
      <c r="AJ373" s="409">
        <v>0</v>
      </c>
      <c r="AK373" s="409">
        <v>0</v>
      </c>
      <c r="AL373" s="409">
        <v>0</v>
      </c>
      <c r="AM373" s="409"/>
      <c r="AN373" s="409">
        <v>0</v>
      </c>
      <c r="AO373" s="409">
        <v>0</v>
      </c>
      <c r="AP373" s="409">
        <v>0</v>
      </c>
      <c r="AQ373" s="409">
        <v>0</v>
      </c>
      <c r="AR373" s="409">
        <v>0</v>
      </c>
      <c r="AS373" s="409"/>
      <c r="AT373" s="409"/>
      <c r="AU373" s="409">
        <v>0</v>
      </c>
      <c r="AV373" s="409">
        <v>0</v>
      </c>
      <c r="AW373" s="409">
        <v>0</v>
      </c>
      <c r="AX373" s="409"/>
      <c r="AY373" s="409"/>
      <c r="AZ373" s="409">
        <v>0</v>
      </c>
      <c r="BA373" s="409"/>
      <c r="BB373" s="409">
        <v>0</v>
      </c>
      <c r="BC373" s="409">
        <v>0</v>
      </c>
      <c r="BD373" s="409">
        <v>0</v>
      </c>
      <c r="BE373" s="409">
        <v>0</v>
      </c>
      <c r="BF373" s="409"/>
      <c r="BG373" s="409">
        <v>0</v>
      </c>
      <c r="BH373" s="409">
        <v>0</v>
      </c>
      <c r="BI373" s="409">
        <v>0</v>
      </c>
      <c r="BJ373" s="409">
        <v>0</v>
      </c>
      <c r="BK373" s="409">
        <v>195920.16</v>
      </c>
      <c r="BL373" s="409">
        <v>3</v>
      </c>
      <c r="BM373" s="409"/>
      <c r="BN373" s="409">
        <v>150823.35817675202</v>
      </c>
      <c r="BO373" s="409"/>
      <c r="BP373" s="409"/>
      <c r="BQ373" s="409"/>
      <c r="BR373" s="409"/>
      <c r="BS373" s="409"/>
      <c r="BT373" s="409"/>
      <c r="BU373" s="409"/>
      <c r="BV373" s="409">
        <v>0</v>
      </c>
      <c r="BW373" s="409"/>
      <c r="BX373" s="409"/>
      <c r="BY373" s="409"/>
      <c r="BZ373" s="409"/>
      <c r="CA373" s="409"/>
      <c r="CB373" s="409"/>
      <c r="CC373" s="409"/>
      <c r="CD373" s="409"/>
      <c r="CE373" s="409"/>
      <c r="CF373" s="409"/>
      <c r="CG373" s="409"/>
      <c r="CH373" s="409"/>
      <c r="CI373" s="409">
        <v>152166.924</v>
      </c>
      <c r="CJ373" s="409">
        <v>-8815.8706492800266</v>
      </c>
      <c r="CK373" s="409"/>
      <c r="CL373" s="409"/>
      <c r="CM373" s="409"/>
      <c r="CN373" s="409"/>
      <c r="CO373" s="409">
        <v>-17553.599999999999</v>
      </c>
      <c r="CP373" s="409">
        <v>0</v>
      </c>
      <c r="CQ373" s="409">
        <v>31</v>
      </c>
      <c r="CR373" s="409">
        <v>6298.4230622142495</v>
      </c>
      <c r="CS373" s="409">
        <v>0</v>
      </c>
      <c r="CT373" s="409">
        <v>0</v>
      </c>
      <c r="CU373" s="409">
        <v>0</v>
      </c>
      <c r="CV373" s="409">
        <v>0</v>
      </c>
      <c r="CW373" s="409"/>
      <c r="CX373" s="409"/>
      <c r="CY373" s="409"/>
      <c r="CZ373" s="409">
        <v>5835.7749179621169</v>
      </c>
      <c r="DA373" s="409">
        <v>0</v>
      </c>
      <c r="DB373" s="409">
        <v>0</v>
      </c>
      <c r="DC373" s="409"/>
      <c r="DD373" s="409"/>
      <c r="DE373" s="409">
        <v>0</v>
      </c>
      <c r="DF373" s="409">
        <v>0</v>
      </c>
      <c r="DG373" s="409">
        <v>0</v>
      </c>
      <c r="DH373" s="409">
        <v>0</v>
      </c>
      <c r="DI373" s="409">
        <v>0</v>
      </c>
      <c r="DJ373" s="409"/>
      <c r="DK373" s="409">
        <v>0</v>
      </c>
      <c r="DL373" s="409">
        <v>0</v>
      </c>
      <c r="DM373" s="409"/>
      <c r="DN373" s="409">
        <v>0</v>
      </c>
      <c r="DO373" s="409">
        <v>0</v>
      </c>
      <c r="DP373" s="409">
        <v>0</v>
      </c>
      <c r="DQ373" s="409">
        <v>0</v>
      </c>
      <c r="DR373" s="409">
        <v>462.64814425212649</v>
      </c>
      <c r="DS373" s="409"/>
      <c r="DT373" s="409"/>
      <c r="DU373" s="409">
        <v>150304.13112434722</v>
      </c>
      <c r="DV373" s="409"/>
      <c r="DW373" s="409">
        <v>0</v>
      </c>
      <c r="DX373" s="409">
        <v>0</v>
      </c>
      <c r="DY373" s="409">
        <v>-17553.599999999977</v>
      </c>
      <c r="DZ373" s="409"/>
      <c r="EA373" s="409">
        <v>0</v>
      </c>
      <c r="EB373" s="409"/>
      <c r="EC373" s="409">
        <v>-23891.289806741668</v>
      </c>
      <c r="ED373" s="409"/>
      <c r="EE373" s="409">
        <v>0</v>
      </c>
      <c r="EF373" s="409">
        <v>0</v>
      </c>
      <c r="EG373" s="409"/>
      <c r="EH373" s="409">
        <v>0</v>
      </c>
      <c r="EI373" s="409">
        <v>0</v>
      </c>
      <c r="EJ373" s="409">
        <v>0</v>
      </c>
      <c r="EK373" s="409">
        <v>0</v>
      </c>
      <c r="EL373" s="409">
        <v>0</v>
      </c>
      <c r="EM373" s="409"/>
      <c r="EN373" s="409"/>
      <c r="EO373" s="409">
        <v>0</v>
      </c>
      <c r="EP373" s="409">
        <v>0</v>
      </c>
      <c r="EQ373" s="409"/>
      <c r="ER373" s="409">
        <v>0</v>
      </c>
      <c r="ES373" s="409"/>
      <c r="ET373" s="409">
        <v>0</v>
      </c>
      <c r="EU373" s="409"/>
      <c r="EV373" s="409">
        <v>210</v>
      </c>
      <c r="EW373" s="409"/>
      <c r="EX373" s="409"/>
      <c r="EY373" s="409"/>
      <c r="EZ373" s="409"/>
      <c r="FA373" s="409">
        <v>0</v>
      </c>
      <c r="FB373" s="409"/>
      <c r="FC373" s="409"/>
      <c r="FD373" s="409"/>
      <c r="FE373" s="409"/>
      <c r="FF373" s="409">
        <v>0</v>
      </c>
      <c r="FG373" s="409">
        <v>0</v>
      </c>
      <c r="FH373" s="409">
        <v>0</v>
      </c>
      <c r="FI373" s="409">
        <v>0</v>
      </c>
    </row>
    <row r="374" spans="1:165">
      <c r="A374" s="409">
        <v>372</v>
      </c>
      <c r="B374" s="409" t="s">
        <v>1035</v>
      </c>
      <c r="C374" s="409" t="s">
        <v>2246</v>
      </c>
      <c r="D374" s="409" t="s">
        <v>595</v>
      </c>
      <c r="E374" s="409" t="s">
        <v>969</v>
      </c>
      <c r="F374" s="409" t="s">
        <v>1323</v>
      </c>
      <c r="G374" s="409" t="s">
        <v>2261</v>
      </c>
      <c r="H374" s="409" t="s">
        <v>1323</v>
      </c>
      <c r="I374" s="409" t="s">
        <v>972</v>
      </c>
      <c r="J374" s="409" t="s">
        <v>2262</v>
      </c>
      <c r="K374" s="838">
        <v>44409</v>
      </c>
      <c r="L374" s="409">
        <v>0</v>
      </c>
      <c r="M374" s="409">
        <v>0</v>
      </c>
      <c r="N374" s="409">
        <v>300.95100000000002</v>
      </c>
      <c r="O374" s="409">
        <v>151.14281971886999</v>
      </c>
      <c r="P374" s="409">
        <v>0</v>
      </c>
      <c r="Q374" s="409">
        <v>0</v>
      </c>
      <c r="R374" s="409"/>
      <c r="S374" s="409">
        <v>1856.88</v>
      </c>
      <c r="T374" s="409"/>
      <c r="U374" s="409"/>
      <c r="V374" s="409">
        <v>558829.89288000006</v>
      </c>
      <c r="W374" s="409">
        <v>558829.89288000006</v>
      </c>
      <c r="X374" s="409">
        <v>501242.91903000005</v>
      </c>
      <c r="Y374" s="409">
        <v>0</v>
      </c>
      <c r="Z374" s="409">
        <v>15807.673558790297</v>
      </c>
      <c r="AA374" s="409">
        <v>0</v>
      </c>
      <c r="AB374" s="409">
        <v>0</v>
      </c>
      <c r="AC374" s="409">
        <v>0</v>
      </c>
      <c r="AD374" s="409">
        <v>147493.63849637832</v>
      </c>
      <c r="AE374" s="409">
        <v>391953.02111458045</v>
      </c>
      <c r="AF374" s="409"/>
      <c r="AG374" s="409"/>
      <c r="AH374" s="409"/>
      <c r="AI374" s="409">
        <v>0</v>
      </c>
      <c r="AJ374" s="409">
        <v>0</v>
      </c>
      <c r="AK374" s="409">
        <v>0</v>
      </c>
      <c r="AL374" s="409">
        <v>2809.8437103689271</v>
      </c>
      <c r="AM374" s="409"/>
      <c r="AN374" s="409">
        <v>261.25192465277718</v>
      </c>
      <c r="AO374" s="409">
        <v>0</v>
      </c>
      <c r="AP374" s="409">
        <v>0</v>
      </c>
      <c r="AQ374" s="409">
        <v>0</v>
      </c>
      <c r="AR374" s="409">
        <v>0</v>
      </c>
      <c r="AS374" s="409"/>
      <c r="AT374" s="409"/>
      <c r="AU374" s="409">
        <v>0</v>
      </c>
      <c r="AV374" s="409">
        <v>0</v>
      </c>
      <c r="AW374" s="409">
        <v>0</v>
      </c>
      <c r="AX374" s="409"/>
      <c r="AY374" s="409"/>
      <c r="AZ374" s="409">
        <v>0</v>
      </c>
      <c r="BA374" s="409"/>
      <c r="BB374" s="409">
        <v>0</v>
      </c>
      <c r="BC374" s="409">
        <v>0</v>
      </c>
      <c r="BD374" s="409">
        <v>0</v>
      </c>
      <c r="BE374" s="409">
        <v>0</v>
      </c>
      <c r="BF374" s="409"/>
      <c r="BG374" s="409">
        <v>503.58909481322536</v>
      </c>
      <c r="BH374" s="409">
        <v>0</v>
      </c>
      <c r="BI374" s="409">
        <v>0</v>
      </c>
      <c r="BJ374" s="409">
        <v>0</v>
      </c>
      <c r="BK374" s="409">
        <v>0</v>
      </c>
      <c r="BL374" s="409">
        <v>0</v>
      </c>
      <c r="BM374" s="409"/>
      <c r="BN374" s="409">
        <v>249510.0185036305</v>
      </c>
      <c r="BO374" s="409"/>
      <c r="BP374" s="409"/>
      <c r="BQ374" s="409"/>
      <c r="BR374" s="409"/>
      <c r="BS374" s="409"/>
      <c r="BT374" s="409"/>
      <c r="BU374" s="409"/>
      <c r="BV374" s="409">
        <v>503.58909481322536</v>
      </c>
      <c r="BW374" s="409"/>
      <c r="BX374" s="409"/>
      <c r="BY374" s="409"/>
      <c r="BZ374" s="409"/>
      <c r="CA374" s="409"/>
      <c r="CB374" s="409"/>
      <c r="CC374" s="409"/>
      <c r="CD374" s="409"/>
      <c r="CE374" s="409"/>
      <c r="CF374" s="409"/>
      <c r="CG374" s="409"/>
      <c r="CH374" s="409"/>
      <c r="CI374" s="409">
        <v>251728.20419999998</v>
      </c>
      <c r="CJ374" s="409">
        <v>-28925.904879575362</v>
      </c>
      <c r="CK374" s="409"/>
      <c r="CL374" s="409"/>
      <c r="CM374" s="409"/>
      <c r="CN374" s="409"/>
      <c r="CO374" s="409">
        <v>-57586.973850000046</v>
      </c>
      <c r="CP374" s="409">
        <v>0</v>
      </c>
      <c r="CQ374" s="409">
        <v>31</v>
      </c>
      <c r="CR374" s="409">
        <v>4717.3708206417214</v>
      </c>
      <c r="CS374" s="409">
        <v>0</v>
      </c>
      <c r="CT374" s="409">
        <v>0</v>
      </c>
      <c r="CU374" s="409">
        <v>0</v>
      </c>
      <c r="CV374" s="409">
        <v>0</v>
      </c>
      <c r="CW374" s="409"/>
      <c r="CX374" s="409"/>
      <c r="CY374" s="409"/>
      <c r="CZ374" s="409">
        <v>5055.8521479129267</v>
      </c>
      <c r="DA374" s="409">
        <v>0</v>
      </c>
      <c r="DB374" s="409">
        <v>0</v>
      </c>
      <c r="DC374" s="409"/>
      <c r="DD374" s="409"/>
      <c r="DE374" s="409">
        <v>0</v>
      </c>
      <c r="DF374" s="409">
        <v>0</v>
      </c>
      <c r="DG374" s="409">
        <v>27.128203768299102</v>
      </c>
      <c r="DH374" s="409">
        <v>0</v>
      </c>
      <c r="DI374" s="409">
        <v>-1007.6012693472112</v>
      </c>
      <c r="DJ374" s="409"/>
      <c r="DK374" s="409">
        <v>0</v>
      </c>
      <c r="DL374" s="409">
        <v>0</v>
      </c>
      <c r="DM374" s="409"/>
      <c r="DN374" s="409">
        <v>0</v>
      </c>
      <c r="DO374" s="409">
        <v>-147.32515685814042</v>
      </c>
      <c r="DP374" s="409">
        <v>-17.237250582850862</v>
      </c>
      <c r="DQ374" s="409">
        <v>0</v>
      </c>
      <c r="DR374" s="409">
        <v>806.55414574872941</v>
      </c>
      <c r="DS374" s="409"/>
      <c r="DT374" s="409"/>
      <c r="DU374" s="409"/>
      <c r="DV374" s="409">
        <v>391953.02111458045</v>
      </c>
      <c r="DW374" s="409">
        <v>0</v>
      </c>
      <c r="DX374" s="409">
        <v>0</v>
      </c>
      <c r="DY374" s="409">
        <v>-57586.973850000009</v>
      </c>
      <c r="DZ374" s="409"/>
      <c r="EA374" s="409">
        <v>0</v>
      </c>
      <c r="EB374" s="409"/>
      <c r="EC374" s="409">
        <v>-62302.101399521576</v>
      </c>
      <c r="ED374" s="409"/>
      <c r="EE374" s="409">
        <v>0</v>
      </c>
      <c r="EF374" s="409">
        <v>0</v>
      </c>
      <c r="EG374" s="409"/>
      <c r="EH374" s="409">
        <v>0</v>
      </c>
      <c r="EI374" s="409">
        <v>0</v>
      </c>
      <c r="EJ374" s="409">
        <v>0</v>
      </c>
      <c r="EK374" s="409">
        <v>0</v>
      </c>
      <c r="EL374" s="409">
        <v>0</v>
      </c>
      <c r="EM374" s="409"/>
      <c r="EN374" s="409"/>
      <c r="EO374" s="409">
        <v>0</v>
      </c>
      <c r="EP374" s="409">
        <v>0</v>
      </c>
      <c r="EQ374" s="409"/>
      <c r="ER374" s="409">
        <v>0</v>
      </c>
      <c r="ES374" s="409"/>
      <c r="ET374" s="409">
        <v>0</v>
      </c>
      <c r="EU374" s="409"/>
      <c r="EV374" s="409">
        <v>210</v>
      </c>
      <c r="EW374" s="409"/>
      <c r="EX374" s="409"/>
      <c r="EY374" s="409"/>
      <c r="EZ374" s="409"/>
      <c r="FA374" s="409">
        <v>0</v>
      </c>
      <c r="FB374" s="409"/>
      <c r="FC374" s="409"/>
      <c r="FD374" s="409"/>
      <c r="FE374" s="409"/>
      <c r="FF374" s="409">
        <v>0</v>
      </c>
      <c r="FG374" s="409">
        <v>0</v>
      </c>
      <c r="FH374" s="409">
        <v>0</v>
      </c>
      <c r="FI374" s="409">
        <v>0</v>
      </c>
    </row>
    <row r="375" spans="1:165">
      <c r="A375" s="409">
        <v>373</v>
      </c>
      <c r="B375" s="409" t="s">
        <v>1035</v>
      </c>
      <c r="C375" s="409" t="s">
        <v>2246</v>
      </c>
      <c r="D375" s="409" t="s">
        <v>595</v>
      </c>
      <c r="E375" s="409" t="s">
        <v>969</v>
      </c>
      <c r="F375" s="409" t="s">
        <v>1323</v>
      </c>
      <c r="G375" s="409" t="s">
        <v>2261</v>
      </c>
      <c r="H375" s="409" t="s">
        <v>1323</v>
      </c>
      <c r="I375" s="409" t="s">
        <v>2234</v>
      </c>
      <c r="J375" s="409" t="s">
        <v>2262</v>
      </c>
      <c r="K375" s="838">
        <v>44409</v>
      </c>
      <c r="L375" s="409">
        <v>0</v>
      </c>
      <c r="M375" s="409">
        <v>0</v>
      </c>
      <c r="N375" s="409">
        <v>2968.3</v>
      </c>
      <c r="O375" s="409">
        <v>2968.3</v>
      </c>
      <c r="P375" s="409">
        <v>0</v>
      </c>
      <c r="Q375" s="409">
        <v>0</v>
      </c>
      <c r="R375" s="409"/>
      <c r="S375" s="409">
        <v>64.400000000000006</v>
      </c>
      <c r="T375" s="409"/>
      <c r="U375" s="409"/>
      <c r="V375" s="409">
        <v>191158.52000000002</v>
      </c>
      <c r="W375" s="409">
        <v>191158.52000000002</v>
      </c>
      <c r="X375" s="409">
        <v>180146.12700000001</v>
      </c>
      <c r="Y375" s="409">
        <v>0</v>
      </c>
      <c r="Z375" s="409">
        <v>155912.14990000776</v>
      </c>
      <c r="AA375" s="409">
        <v>0</v>
      </c>
      <c r="AB375" s="409">
        <v>0</v>
      </c>
      <c r="AC375" s="409">
        <v>0</v>
      </c>
      <c r="AD375" s="409">
        <v>0</v>
      </c>
      <c r="AE375" s="409">
        <v>0</v>
      </c>
      <c r="AF375" s="409"/>
      <c r="AG375" s="409"/>
      <c r="AH375" s="409"/>
      <c r="AI375" s="409">
        <v>0</v>
      </c>
      <c r="AJ375" s="409">
        <v>0</v>
      </c>
      <c r="AK375" s="409">
        <v>0</v>
      </c>
      <c r="AL375" s="409">
        <v>27713.677925935073</v>
      </c>
      <c r="AM375" s="409"/>
      <c r="AN375" s="409">
        <v>2576.7453437497747</v>
      </c>
      <c r="AO375" s="409">
        <v>0</v>
      </c>
      <c r="AP375" s="409">
        <v>0</v>
      </c>
      <c r="AQ375" s="409">
        <v>0</v>
      </c>
      <c r="AR375" s="409">
        <v>0</v>
      </c>
      <c r="AS375" s="409"/>
      <c r="AT375" s="409"/>
      <c r="AU375" s="409">
        <v>0</v>
      </c>
      <c r="AV375" s="409">
        <v>0</v>
      </c>
      <c r="AW375" s="409">
        <v>0</v>
      </c>
      <c r="AX375" s="409"/>
      <c r="AY375" s="409"/>
      <c r="AZ375" s="409">
        <v>0</v>
      </c>
      <c r="BA375" s="409"/>
      <c r="BB375" s="409">
        <v>0</v>
      </c>
      <c r="BC375" s="409">
        <v>0</v>
      </c>
      <c r="BD375" s="409">
        <v>0</v>
      </c>
      <c r="BE375" s="409">
        <v>0</v>
      </c>
      <c r="BF375" s="409"/>
      <c r="BG375" s="409">
        <v>4966.9331889048281</v>
      </c>
      <c r="BH375" s="409">
        <v>0</v>
      </c>
      <c r="BI375" s="409">
        <v>0</v>
      </c>
      <c r="BJ375" s="409">
        <v>0</v>
      </c>
      <c r="BK375" s="409">
        <v>0</v>
      </c>
      <c r="BL375" s="409">
        <v>0</v>
      </c>
      <c r="BM375" s="409"/>
      <c r="BN375" s="409"/>
      <c r="BO375" s="409"/>
      <c r="BP375" s="409"/>
      <c r="BQ375" s="409"/>
      <c r="BR375" s="409"/>
      <c r="BS375" s="409"/>
      <c r="BT375" s="409"/>
      <c r="BU375" s="409"/>
      <c r="BV375" s="409">
        <v>4966.9331889048281</v>
      </c>
      <c r="BW375" s="409"/>
      <c r="BX375" s="409"/>
      <c r="BY375" s="409"/>
      <c r="BZ375" s="409"/>
      <c r="CA375" s="409"/>
      <c r="CB375" s="409"/>
      <c r="CC375" s="409"/>
      <c r="CD375" s="409"/>
      <c r="CE375" s="409"/>
      <c r="CF375" s="409"/>
      <c r="CG375" s="409"/>
      <c r="CH375" s="409"/>
      <c r="CI375" s="409">
        <v>180146.12700000001</v>
      </c>
      <c r="CJ375" s="409">
        <v>-11012.423000000039</v>
      </c>
      <c r="CK375" s="409"/>
      <c r="CL375" s="409"/>
      <c r="CM375" s="409"/>
      <c r="CN375" s="409"/>
      <c r="CO375" s="409">
        <v>-11012.393000000024</v>
      </c>
      <c r="CP375" s="409">
        <v>0</v>
      </c>
      <c r="CQ375" s="409">
        <v>31</v>
      </c>
      <c r="CR375" s="409">
        <v>-11017.648399958824</v>
      </c>
      <c r="CS375" s="409">
        <v>0</v>
      </c>
      <c r="CT375" s="409">
        <v>0</v>
      </c>
      <c r="CU375" s="409">
        <v>0</v>
      </c>
      <c r="CV375" s="409">
        <v>0</v>
      </c>
      <c r="CW375" s="409"/>
      <c r="CX375" s="409"/>
      <c r="CY375" s="409"/>
      <c r="CZ375" s="409">
        <v>0</v>
      </c>
      <c r="DA375" s="409">
        <v>0</v>
      </c>
      <c r="DB375" s="409">
        <v>0</v>
      </c>
      <c r="DC375" s="409"/>
      <c r="DD375" s="409"/>
      <c r="DE375" s="409">
        <v>0</v>
      </c>
      <c r="DF375" s="409">
        <v>0</v>
      </c>
      <c r="DG375" s="409">
        <v>267.56730246931329</v>
      </c>
      <c r="DH375" s="409">
        <v>0</v>
      </c>
      <c r="DI375" s="409">
        <v>-9938.039241615159</v>
      </c>
      <c r="DJ375" s="409"/>
      <c r="DK375" s="409">
        <v>0</v>
      </c>
      <c r="DL375" s="409">
        <v>0</v>
      </c>
      <c r="DM375" s="409"/>
      <c r="DN375" s="409">
        <v>0</v>
      </c>
      <c r="DO375" s="409">
        <v>-1453.0779532283268</v>
      </c>
      <c r="DP375" s="409">
        <v>-170.01216445559658</v>
      </c>
      <c r="DQ375" s="409">
        <v>0</v>
      </c>
      <c r="DR375" s="409">
        <v>275.91365687092974</v>
      </c>
      <c r="DS375" s="409"/>
      <c r="DT375" s="409"/>
      <c r="DU375" s="409"/>
      <c r="DV375" s="409">
        <v>0</v>
      </c>
      <c r="DW375" s="409">
        <v>0</v>
      </c>
      <c r="DX375" s="409">
        <v>0</v>
      </c>
      <c r="DY375" s="409">
        <v>-11012.393000000011</v>
      </c>
      <c r="DZ375" s="409"/>
      <c r="EA375" s="409">
        <v>0</v>
      </c>
      <c r="EB375" s="409"/>
      <c r="EC375" s="409">
        <v>0</v>
      </c>
      <c r="ED375" s="409"/>
      <c r="EE375" s="409">
        <v>0</v>
      </c>
      <c r="EF375" s="409">
        <v>0</v>
      </c>
      <c r="EG375" s="409"/>
      <c r="EH375" s="409">
        <v>0</v>
      </c>
      <c r="EI375" s="409">
        <v>0</v>
      </c>
      <c r="EJ375" s="409">
        <v>0</v>
      </c>
      <c r="EK375" s="409">
        <v>0</v>
      </c>
      <c r="EL375" s="409">
        <v>0</v>
      </c>
      <c r="EM375" s="409"/>
      <c r="EN375" s="409"/>
      <c r="EO375" s="409">
        <v>0</v>
      </c>
      <c r="EP375" s="409">
        <v>0</v>
      </c>
      <c r="EQ375" s="409"/>
      <c r="ER375" s="409">
        <v>0</v>
      </c>
      <c r="ES375" s="409"/>
      <c r="ET375" s="409">
        <v>0</v>
      </c>
      <c r="EU375" s="409"/>
      <c r="EV375" s="409">
        <v>210</v>
      </c>
      <c r="EW375" s="409"/>
      <c r="EX375" s="409"/>
      <c r="EY375" s="409"/>
      <c r="EZ375" s="409"/>
      <c r="FA375" s="409">
        <v>0</v>
      </c>
      <c r="FB375" s="409"/>
      <c r="FC375" s="409"/>
      <c r="FD375" s="409"/>
      <c r="FE375" s="409"/>
      <c r="FF375" s="409">
        <v>0</v>
      </c>
      <c r="FG375" s="409">
        <v>0</v>
      </c>
      <c r="FH375" s="409">
        <v>0</v>
      </c>
      <c r="FI375" s="409">
        <v>0</v>
      </c>
    </row>
    <row r="376" spans="1:165">
      <c r="A376" s="409">
        <v>374</v>
      </c>
      <c r="B376" s="409" t="s">
        <v>1035</v>
      </c>
      <c r="C376" s="409" t="s">
        <v>2246</v>
      </c>
      <c r="D376" s="409" t="s">
        <v>595</v>
      </c>
      <c r="E376" s="409" t="s">
        <v>969</v>
      </c>
      <c r="F376" s="409" t="s">
        <v>1323</v>
      </c>
      <c r="G376" s="409" t="s">
        <v>2261</v>
      </c>
      <c r="H376" s="409" t="s">
        <v>1323</v>
      </c>
      <c r="I376" s="409" t="s">
        <v>1323</v>
      </c>
      <c r="J376" s="409" t="s">
        <v>2262</v>
      </c>
      <c r="K376" s="838">
        <v>44409</v>
      </c>
      <c r="L376" s="409">
        <v>9540</v>
      </c>
      <c r="M376" s="409">
        <v>4791.1537097999999</v>
      </c>
      <c r="N376" s="409">
        <v>0</v>
      </c>
      <c r="O376" s="409">
        <v>0</v>
      </c>
      <c r="P376" s="409">
        <v>0</v>
      </c>
      <c r="Q376" s="409">
        <v>0</v>
      </c>
      <c r="R376" s="409">
        <v>33.6</v>
      </c>
      <c r="S376" s="409"/>
      <c r="T376" s="409"/>
      <c r="U376" s="409">
        <v>320544</v>
      </c>
      <c r="V376" s="409"/>
      <c r="W376" s="409">
        <v>320544</v>
      </c>
      <c r="X376" s="409">
        <v>302990.40000000002</v>
      </c>
      <c r="Y376" s="409">
        <v>0</v>
      </c>
      <c r="Z376" s="409">
        <v>0</v>
      </c>
      <c r="AA376" s="409">
        <v>0</v>
      </c>
      <c r="AB376" s="409">
        <v>0</v>
      </c>
      <c r="AC376" s="409">
        <v>0</v>
      </c>
      <c r="AD376" s="409">
        <v>170246.21189754215</v>
      </c>
      <c r="AE376" s="409">
        <v>150304.13112434722</v>
      </c>
      <c r="AF376" s="409"/>
      <c r="AG376" s="409"/>
      <c r="AH376" s="409"/>
      <c r="AI376" s="409">
        <v>0</v>
      </c>
      <c r="AJ376" s="409">
        <v>0</v>
      </c>
      <c r="AK376" s="409">
        <v>0</v>
      </c>
      <c r="AL376" s="409">
        <v>0</v>
      </c>
      <c r="AM376" s="409"/>
      <c r="AN376" s="409">
        <v>0</v>
      </c>
      <c r="AO376" s="409">
        <v>0</v>
      </c>
      <c r="AP376" s="409">
        <v>0</v>
      </c>
      <c r="AQ376" s="409">
        <v>0</v>
      </c>
      <c r="AR376" s="409">
        <v>0</v>
      </c>
      <c r="AS376" s="409"/>
      <c r="AT376" s="409"/>
      <c r="AU376" s="409">
        <v>0</v>
      </c>
      <c r="AV376" s="409">
        <v>0</v>
      </c>
      <c r="AW376" s="409">
        <v>0</v>
      </c>
      <c r="AX376" s="409"/>
      <c r="AY376" s="409"/>
      <c r="AZ376" s="409">
        <v>0</v>
      </c>
      <c r="BA376" s="409"/>
      <c r="BB376" s="409">
        <v>0</v>
      </c>
      <c r="BC376" s="409">
        <v>0</v>
      </c>
      <c r="BD376" s="409">
        <v>0</v>
      </c>
      <c r="BE376" s="409">
        <v>0</v>
      </c>
      <c r="BF376" s="409"/>
      <c r="BG376" s="409">
        <v>0</v>
      </c>
      <c r="BH376" s="409">
        <v>0</v>
      </c>
      <c r="BI376" s="409">
        <v>0</v>
      </c>
      <c r="BJ376" s="409">
        <v>0</v>
      </c>
      <c r="BK376" s="409">
        <v>200583.99</v>
      </c>
      <c r="BL376" s="409">
        <v>3</v>
      </c>
      <c r="BM376" s="409"/>
      <c r="BN376" s="409">
        <v>150823.35817675202</v>
      </c>
      <c r="BO376" s="409"/>
      <c r="BP376" s="409"/>
      <c r="BQ376" s="409"/>
      <c r="BR376" s="409"/>
      <c r="BS376" s="409"/>
      <c r="BT376" s="409"/>
      <c r="BU376" s="409"/>
      <c r="BV376" s="409">
        <v>0</v>
      </c>
      <c r="BW376" s="409"/>
      <c r="BX376" s="409"/>
      <c r="BY376" s="409"/>
      <c r="BZ376" s="409"/>
      <c r="CA376" s="409"/>
      <c r="CB376" s="409"/>
      <c r="CC376" s="409"/>
      <c r="CD376" s="409"/>
      <c r="CE376" s="409"/>
      <c r="CF376" s="409"/>
      <c r="CG376" s="409"/>
      <c r="CH376" s="409"/>
      <c r="CI376" s="409">
        <v>152166.924</v>
      </c>
      <c r="CJ376" s="409">
        <v>-8815.8706492800266</v>
      </c>
      <c r="CK376" s="409"/>
      <c r="CL376" s="409"/>
      <c r="CM376" s="409"/>
      <c r="CN376" s="409"/>
      <c r="CO376" s="409">
        <v>-17553.599999999999</v>
      </c>
      <c r="CP376" s="409">
        <v>0</v>
      </c>
      <c r="CQ376" s="409">
        <v>31</v>
      </c>
      <c r="CR376" s="409">
        <v>6298.4230622142495</v>
      </c>
      <c r="CS376" s="409">
        <v>0</v>
      </c>
      <c r="CT376" s="409">
        <v>0</v>
      </c>
      <c r="CU376" s="409">
        <v>0</v>
      </c>
      <c r="CV376" s="409">
        <v>0</v>
      </c>
      <c r="CW376" s="409"/>
      <c r="CX376" s="409"/>
      <c r="CY376" s="409"/>
      <c r="CZ376" s="409">
        <v>5835.7749179621169</v>
      </c>
      <c r="DA376" s="409">
        <v>0</v>
      </c>
      <c r="DB376" s="409">
        <v>0</v>
      </c>
      <c r="DC376" s="409"/>
      <c r="DD376" s="409"/>
      <c r="DE376" s="409">
        <v>0</v>
      </c>
      <c r="DF376" s="409">
        <v>0</v>
      </c>
      <c r="DG376" s="409">
        <v>0</v>
      </c>
      <c r="DH376" s="409">
        <v>0</v>
      </c>
      <c r="DI376" s="409">
        <v>0</v>
      </c>
      <c r="DJ376" s="409"/>
      <c r="DK376" s="409">
        <v>0</v>
      </c>
      <c r="DL376" s="409">
        <v>0</v>
      </c>
      <c r="DM376" s="409"/>
      <c r="DN376" s="409">
        <v>0</v>
      </c>
      <c r="DO376" s="409">
        <v>0</v>
      </c>
      <c r="DP376" s="409">
        <v>0</v>
      </c>
      <c r="DQ376" s="409">
        <v>0</v>
      </c>
      <c r="DR376" s="409">
        <v>462.64814425212649</v>
      </c>
      <c r="DS376" s="409"/>
      <c r="DT376" s="409"/>
      <c r="DU376" s="409">
        <v>150304.13112434722</v>
      </c>
      <c r="DV376" s="409"/>
      <c r="DW376" s="409">
        <v>0</v>
      </c>
      <c r="DX376" s="409">
        <v>0</v>
      </c>
      <c r="DY376" s="409">
        <v>-17553.599999999977</v>
      </c>
      <c r="DZ376" s="409"/>
      <c r="EA376" s="409">
        <v>0</v>
      </c>
      <c r="EB376" s="409"/>
      <c r="EC376" s="409">
        <v>-23891.289806741668</v>
      </c>
      <c r="ED376" s="409"/>
      <c r="EE376" s="409">
        <v>0</v>
      </c>
      <c r="EF376" s="409">
        <v>0</v>
      </c>
      <c r="EG376" s="409"/>
      <c r="EH376" s="409">
        <v>0</v>
      </c>
      <c r="EI376" s="409">
        <v>0</v>
      </c>
      <c r="EJ376" s="409">
        <v>0</v>
      </c>
      <c r="EK376" s="409">
        <v>0</v>
      </c>
      <c r="EL376" s="409">
        <v>0</v>
      </c>
      <c r="EM376" s="409"/>
      <c r="EN376" s="409"/>
      <c r="EO376" s="409">
        <v>0</v>
      </c>
      <c r="EP376" s="409">
        <v>0</v>
      </c>
      <c r="EQ376" s="409"/>
      <c r="ER376" s="409">
        <v>0</v>
      </c>
      <c r="ES376" s="409"/>
      <c r="ET376" s="409">
        <v>0</v>
      </c>
      <c r="EU376" s="409"/>
      <c r="EV376" s="409">
        <v>210</v>
      </c>
      <c r="EW376" s="409"/>
      <c r="EX376" s="409"/>
      <c r="EY376" s="409"/>
      <c r="EZ376" s="409"/>
      <c r="FA376" s="409">
        <v>0</v>
      </c>
      <c r="FB376" s="409"/>
      <c r="FC376" s="409"/>
      <c r="FD376" s="409"/>
      <c r="FE376" s="409"/>
      <c r="FF376" s="409">
        <v>0</v>
      </c>
      <c r="FG376" s="409">
        <v>0</v>
      </c>
      <c r="FH376" s="409">
        <v>0</v>
      </c>
      <c r="FI376" s="409">
        <v>0</v>
      </c>
    </row>
    <row r="377" spans="1:165">
      <c r="A377" s="409">
        <v>375</v>
      </c>
      <c r="B377" s="409" t="s">
        <v>1035</v>
      </c>
      <c r="C377" s="409" t="s">
        <v>2246</v>
      </c>
      <c r="D377" s="409" t="s">
        <v>595</v>
      </c>
      <c r="E377" s="409" t="s">
        <v>969</v>
      </c>
      <c r="F377" s="409" t="s">
        <v>1323</v>
      </c>
      <c r="G377" s="409" t="s">
        <v>2261</v>
      </c>
      <c r="H377" s="409" t="s">
        <v>1323</v>
      </c>
      <c r="I377" s="409" t="s">
        <v>972</v>
      </c>
      <c r="J377" s="409" t="s">
        <v>2262</v>
      </c>
      <c r="K377" s="838">
        <v>44440</v>
      </c>
      <c r="L377" s="409">
        <v>0</v>
      </c>
      <c r="M377" s="409">
        <v>0</v>
      </c>
      <c r="N377" s="409">
        <v>325.911</v>
      </c>
      <c r="O377" s="409">
        <v>163.83497083349999</v>
      </c>
      <c r="P377" s="409">
        <v>0</v>
      </c>
      <c r="Q377" s="409">
        <v>0</v>
      </c>
      <c r="R377" s="409"/>
      <c r="S377" s="409">
        <v>1856.88</v>
      </c>
      <c r="T377" s="409"/>
      <c r="U377" s="409"/>
      <c r="V377" s="409">
        <v>605177.61768000002</v>
      </c>
      <c r="W377" s="409">
        <v>605177.61768000002</v>
      </c>
      <c r="X377" s="409">
        <v>542814.54782999994</v>
      </c>
      <c r="Y377" s="409">
        <v>0</v>
      </c>
      <c r="Z377" s="409">
        <v>17118.715994360889</v>
      </c>
      <c r="AA377" s="409">
        <v>0</v>
      </c>
      <c r="AB377" s="409">
        <v>0</v>
      </c>
      <c r="AC377" s="409">
        <v>0</v>
      </c>
      <c r="AD377" s="409">
        <v>159726.33158219492</v>
      </c>
      <c r="AE377" s="409">
        <v>424460.46387775423</v>
      </c>
      <c r="AF377" s="409"/>
      <c r="AG377" s="409"/>
      <c r="AH377" s="409"/>
      <c r="AI377" s="409">
        <v>0</v>
      </c>
      <c r="AJ377" s="409">
        <v>0</v>
      </c>
      <c r="AK377" s="409">
        <v>0</v>
      </c>
      <c r="AL377" s="409">
        <v>3042.8839694503336</v>
      </c>
      <c r="AM377" s="409"/>
      <c r="AN377" s="409">
        <v>282.91939889055448</v>
      </c>
      <c r="AO377" s="409">
        <v>0</v>
      </c>
      <c r="AP377" s="409">
        <v>0</v>
      </c>
      <c r="AQ377" s="409">
        <v>0</v>
      </c>
      <c r="AR377" s="409">
        <v>0</v>
      </c>
      <c r="AS377" s="409"/>
      <c r="AT377" s="409"/>
      <c r="AU377" s="409">
        <v>0</v>
      </c>
      <c r="AV377" s="409">
        <v>0</v>
      </c>
      <c r="AW377" s="409">
        <v>0</v>
      </c>
      <c r="AX377" s="409"/>
      <c r="AY377" s="409"/>
      <c r="AZ377" s="409">
        <v>0</v>
      </c>
      <c r="BA377" s="409"/>
      <c r="BB377" s="409">
        <v>0</v>
      </c>
      <c r="BC377" s="409">
        <v>0</v>
      </c>
      <c r="BD377" s="409">
        <v>0</v>
      </c>
      <c r="BE377" s="409">
        <v>0</v>
      </c>
      <c r="BF377" s="409"/>
      <c r="BG377" s="409">
        <v>545.35530860396898</v>
      </c>
      <c r="BH377" s="409">
        <v>0</v>
      </c>
      <c r="BI377" s="409">
        <v>0</v>
      </c>
      <c r="BJ377" s="409">
        <v>0</v>
      </c>
      <c r="BK377" s="409">
        <v>0</v>
      </c>
      <c r="BL377" s="409">
        <v>0</v>
      </c>
      <c r="BM377" s="409"/>
      <c r="BN377" s="409">
        <v>269942.48885768076</v>
      </c>
      <c r="BO377" s="409"/>
      <c r="BP377" s="409"/>
      <c r="BQ377" s="409"/>
      <c r="BR377" s="409"/>
      <c r="BS377" s="409"/>
      <c r="BT377" s="409"/>
      <c r="BU377" s="409"/>
      <c r="BV377" s="409">
        <v>545.35530860396898</v>
      </c>
      <c r="BW377" s="409"/>
      <c r="BX377" s="409"/>
      <c r="BY377" s="409"/>
      <c r="BZ377" s="409"/>
      <c r="CA377" s="409"/>
      <c r="CB377" s="409"/>
      <c r="CC377" s="409"/>
      <c r="CD377" s="409"/>
      <c r="CE377" s="409"/>
      <c r="CF377" s="409"/>
      <c r="CG377" s="409"/>
      <c r="CH377" s="409"/>
      <c r="CI377" s="409">
        <v>272863.77990000002</v>
      </c>
      <c r="CJ377" s="409">
        <v>-31358.130741309491</v>
      </c>
      <c r="CK377" s="409"/>
      <c r="CL377" s="409"/>
      <c r="CM377" s="409"/>
      <c r="CN377" s="409"/>
      <c r="CO377" s="409">
        <v>-62363.069850000044</v>
      </c>
      <c r="CP377" s="409">
        <v>0</v>
      </c>
      <c r="CQ377" s="409">
        <v>30</v>
      </c>
      <c r="CR377" s="409">
        <v>5108.6158262513636</v>
      </c>
      <c r="CS377" s="409">
        <v>0</v>
      </c>
      <c r="CT377" s="409">
        <v>0</v>
      </c>
      <c r="CU377" s="409">
        <v>0</v>
      </c>
      <c r="CV377" s="409">
        <v>0</v>
      </c>
      <c r="CW377" s="409"/>
      <c r="CX377" s="409"/>
      <c r="CY377" s="409"/>
      <c r="CZ377" s="409">
        <v>5475.1698096316541</v>
      </c>
      <c r="DA377" s="409">
        <v>0</v>
      </c>
      <c r="DB377" s="409">
        <v>0</v>
      </c>
      <c r="DC377" s="409"/>
      <c r="DD377" s="409"/>
      <c r="DE377" s="409">
        <v>0</v>
      </c>
      <c r="DF377" s="409">
        <v>0</v>
      </c>
      <c r="DG377" s="409">
        <v>29.378138030211403</v>
      </c>
      <c r="DH377" s="409">
        <v>0</v>
      </c>
      <c r="DI377" s="409">
        <v>-1091.1687859293324</v>
      </c>
      <c r="DJ377" s="409"/>
      <c r="DK377" s="409">
        <v>0</v>
      </c>
      <c r="DL377" s="409">
        <v>0</v>
      </c>
      <c r="DM377" s="409"/>
      <c r="DN377" s="409">
        <v>0</v>
      </c>
      <c r="DO377" s="409">
        <v>-159.54387656725976</v>
      </c>
      <c r="DP377" s="409">
        <v>-18.666857975908101</v>
      </c>
      <c r="DQ377" s="409">
        <v>0</v>
      </c>
      <c r="DR377" s="409">
        <v>873.44739906202051</v>
      </c>
      <c r="DS377" s="409"/>
      <c r="DT377" s="409"/>
      <c r="DU377" s="409"/>
      <c r="DV377" s="409">
        <v>424460.46387775423</v>
      </c>
      <c r="DW377" s="409">
        <v>0</v>
      </c>
      <c r="DX377" s="409">
        <v>0</v>
      </c>
      <c r="DY377" s="409">
        <v>-62363.069850000087</v>
      </c>
      <c r="DZ377" s="409"/>
      <c r="EA377" s="409">
        <v>0</v>
      </c>
      <c r="EB377" s="409"/>
      <c r="EC377" s="409">
        <v>-67469.256354753685</v>
      </c>
      <c r="ED377" s="409"/>
      <c r="EE377" s="409">
        <v>0</v>
      </c>
      <c r="EF377" s="409">
        <v>0</v>
      </c>
      <c r="EG377" s="409"/>
      <c r="EH377" s="409">
        <v>0</v>
      </c>
      <c r="EI377" s="409">
        <v>0</v>
      </c>
      <c r="EJ377" s="409">
        <v>0</v>
      </c>
      <c r="EK377" s="409">
        <v>0</v>
      </c>
      <c r="EL377" s="409">
        <v>0</v>
      </c>
      <c r="EM377" s="409"/>
      <c r="EN377" s="409"/>
      <c r="EO377" s="409">
        <v>0</v>
      </c>
      <c r="EP377" s="409">
        <v>0</v>
      </c>
      <c r="EQ377" s="409"/>
      <c r="ER377" s="409">
        <v>0</v>
      </c>
      <c r="ES377" s="409"/>
      <c r="ET377" s="409">
        <v>0</v>
      </c>
      <c r="EU377" s="409"/>
      <c r="EV377" s="409">
        <v>210</v>
      </c>
      <c r="EW377" s="409"/>
      <c r="EX377" s="409"/>
      <c r="EY377" s="409"/>
      <c r="EZ377" s="409"/>
      <c r="FA377" s="409">
        <v>0</v>
      </c>
      <c r="FB377" s="409"/>
      <c r="FC377" s="409"/>
      <c r="FD377" s="409"/>
      <c r="FE377" s="409"/>
      <c r="FF377" s="409">
        <v>0</v>
      </c>
      <c r="FG377" s="409">
        <v>0</v>
      </c>
      <c r="FH377" s="409">
        <v>0</v>
      </c>
      <c r="FI377" s="409">
        <v>0</v>
      </c>
    </row>
    <row r="378" spans="1:165">
      <c r="A378" s="409">
        <v>376</v>
      </c>
      <c r="B378" s="409" t="s">
        <v>1035</v>
      </c>
      <c r="C378" s="409" t="s">
        <v>2246</v>
      </c>
      <c r="D378" s="409" t="s">
        <v>595</v>
      </c>
      <c r="E378" s="409" t="s">
        <v>969</v>
      </c>
      <c r="F378" s="409" t="s">
        <v>1323</v>
      </c>
      <c r="G378" s="409" t="s">
        <v>2261</v>
      </c>
      <c r="H378" s="409" t="s">
        <v>1323</v>
      </c>
      <c r="I378" s="409" t="s">
        <v>2234</v>
      </c>
      <c r="J378" s="409" t="s">
        <v>2262</v>
      </c>
      <c r="K378" s="838">
        <v>44440</v>
      </c>
      <c r="L378" s="409">
        <v>0</v>
      </c>
      <c r="M378" s="409">
        <v>0</v>
      </c>
      <c r="N378" s="409">
        <v>3151.8290000000002</v>
      </c>
      <c r="O378" s="409">
        <v>3151.8290000000002</v>
      </c>
      <c r="P378" s="409">
        <v>0</v>
      </c>
      <c r="Q378" s="409">
        <v>0</v>
      </c>
      <c r="R378" s="409"/>
      <c r="S378" s="409">
        <v>64.400000000000006</v>
      </c>
      <c r="T378" s="409"/>
      <c r="U378" s="409"/>
      <c r="V378" s="409">
        <v>202977.78760000004</v>
      </c>
      <c r="W378" s="409">
        <v>202977.78760000004</v>
      </c>
      <c r="X378" s="409">
        <v>191284.50201</v>
      </c>
      <c r="Y378" s="409">
        <v>0</v>
      </c>
      <c r="Z378" s="409">
        <v>165552.14618036977</v>
      </c>
      <c r="AA378" s="409">
        <v>0</v>
      </c>
      <c r="AB378" s="409">
        <v>0</v>
      </c>
      <c r="AC378" s="409">
        <v>0</v>
      </c>
      <c r="AD378" s="409">
        <v>0</v>
      </c>
      <c r="AE378" s="409">
        <v>0</v>
      </c>
      <c r="AF378" s="409"/>
      <c r="AG378" s="409"/>
      <c r="AH378" s="409"/>
      <c r="AI378" s="409">
        <v>0</v>
      </c>
      <c r="AJ378" s="409">
        <v>0</v>
      </c>
      <c r="AK378" s="409">
        <v>0</v>
      </c>
      <c r="AL378" s="409">
        <v>29427.205398248836</v>
      </c>
      <c r="AM378" s="409"/>
      <c r="AN378" s="409">
        <v>2736.0646498148803</v>
      </c>
      <c r="AO378" s="409">
        <v>0</v>
      </c>
      <c r="AP378" s="409">
        <v>0</v>
      </c>
      <c r="AQ378" s="409">
        <v>0</v>
      </c>
      <c r="AR378" s="409">
        <v>0</v>
      </c>
      <c r="AS378" s="409"/>
      <c r="AT378" s="409"/>
      <c r="AU378" s="409">
        <v>0</v>
      </c>
      <c r="AV378" s="409">
        <v>0</v>
      </c>
      <c r="AW378" s="409">
        <v>0</v>
      </c>
      <c r="AX378" s="409"/>
      <c r="AY378" s="409"/>
      <c r="AZ378" s="409">
        <v>0</v>
      </c>
      <c r="BA378" s="409"/>
      <c r="BB378" s="409">
        <v>0</v>
      </c>
      <c r="BC378" s="409">
        <v>0</v>
      </c>
      <c r="BD378" s="409">
        <v>0</v>
      </c>
      <c r="BE378" s="409">
        <v>0</v>
      </c>
      <c r="BF378" s="409"/>
      <c r="BG378" s="409">
        <v>5274.0370130555248</v>
      </c>
      <c r="BH378" s="409">
        <v>0</v>
      </c>
      <c r="BI378" s="409">
        <v>0</v>
      </c>
      <c r="BJ378" s="409">
        <v>0</v>
      </c>
      <c r="BK378" s="409">
        <v>0</v>
      </c>
      <c r="BL378" s="409">
        <v>0</v>
      </c>
      <c r="BM378" s="409"/>
      <c r="BN378" s="409"/>
      <c r="BO378" s="409"/>
      <c r="BP378" s="409"/>
      <c r="BQ378" s="409"/>
      <c r="BR378" s="409"/>
      <c r="BS378" s="409"/>
      <c r="BT378" s="409"/>
      <c r="BU378" s="409"/>
      <c r="BV378" s="409">
        <v>5274.0370130555248</v>
      </c>
      <c r="BW378" s="409"/>
      <c r="BX378" s="409"/>
      <c r="BY378" s="409"/>
      <c r="BZ378" s="409"/>
      <c r="CA378" s="409"/>
      <c r="CB378" s="409"/>
      <c r="CC378" s="409"/>
      <c r="CD378" s="409"/>
      <c r="CE378" s="409"/>
      <c r="CF378" s="409"/>
      <c r="CG378" s="409"/>
      <c r="CH378" s="409"/>
      <c r="CI378" s="409">
        <v>191284.56269999998</v>
      </c>
      <c r="CJ378" s="409">
        <v>-11693.254900000087</v>
      </c>
      <c r="CK378" s="409"/>
      <c r="CL378" s="409"/>
      <c r="CM378" s="409"/>
      <c r="CN378" s="409"/>
      <c r="CO378" s="409">
        <v>-11693.285590000025</v>
      </c>
      <c r="CP378" s="409">
        <v>0</v>
      </c>
      <c r="CQ378" s="409">
        <v>30</v>
      </c>
      <c r="CR378" s="409">
        <v>-11698.865929587279</v>
      </c>
      <c r="CS378" s="409">
        <v>0</v>
      </c>
      <c r="CT378" s="409">
        <v>0</v>
      </c>
      <c r="CU378" s="409">
        <v>0</v>
      </c>
      <c r="CV378" s="409">
        <v>0</v>
      </c>
      <c r="CW378" s="409"/>
      <c r="CX378" s="409"/>
      <c r="CY378" s="409"/>
      <c r="CZ378" s="409">
        <v>0</v>
      </c>
      <c r="DA378" s="409">
        <v>0</v>
      </c>
      <c r="DB378" s="409">
        <v>0</v>
      </c>
      <c r="DC378" s="409"/>
      <c r="DD378" s="409"/>
      <c r="DE378" s="409">
        <v>0</v>
      </c>
      <c r="DF378" s="409">
        <v>0</v>
      </c>
      <c r="DG378" s="409">
        <v>284.11089963095128</v>
      </c>
      <c r="DH378" s="409">
        <v>0</v>
      </c>
      <c r="DI378" s="409">
        <v>-10552.504896695318</v>
      </c>
      <c r="DJ378" s="409"/>
      <c r="DK378" s="409">
        <v>0</v>
      </c>
      <c r="DL378" s="409">
        <v>0</v>
      </c>
      <c r="DM378" s="409"/>
      <c r="DN378" s="409">
        <v>0</v>
      </c>
      <c r="DO378" s="409">
        <v>-1542.9212789292469</v>
      </c>
      <c r="DP378" s="409">
        <v>-180.52395993798427</v>
      </c>
      <c r="DQ378" s="409">
        <v>0</v>
      </c>
      <c r="DR378" s="409">
        <v>292.97330634432018</v>
      </c>
      <c r="DS378" s="409"/>
      <c r="DT378" s="409"/>
      <c r="DU378" s="409"/>
      <c r="DV378" s="409">
        <v>0</v>
      </c>
      <c r="DW378" s="409">
        <v>0</v>
      </c>
      <c r="DX378" s="409">
        <v>0</v>
      </c>
      <c r="DY378" s="409">
        <v>-11693.285590000043</v>
      </c>
      <c r="DZ378" s="409"/>
      <c r="EA378" s="409">
        <v>0</v>
      </c>
      <c r="EB378" s="409"/>
      <c r="EC378" s="409">
        <v>0</v>
      </c>
      <c r="ED378" s="409"/>
      <c r="EE378" s="409">
        <v>0</v>
      </c>
      <c r="EF378" s="409">
        <v>0</v>
      </c>
      <c r="EG378" s="409"/>
      <c r="EH378" s="409">
        <v>0</v>
      </c>
      <c r="EI378" s="409">
        <v>0</v>
      </c>
      <c r="EJ378" s="409">
        <v>0</v>
      </c>
      <c r="EK378" s="409">
        <v>0</v>
      </c>
      <c r="EL378" s="409">
        <v>0</v>
      </c>
      <c r="EM378" s="409"/>
      <c r="EN378" s="409"/>
      <c r="EO378" s="409">
        <v>0</v>
      </c>
      <c r="EP378" s="409">
        <v>0</v>
      </c>
      <c r="EQ378" s="409"/>
      <c r="ER378" s="409">
        <v>0</v>
      </c>
      <c r="ES378" s="409"/>
      <c r="ET378" s="409">
        <v>0</v>
      </c>
      <c r="EU378" s="409"/>
      <c r="EV378" s="409">
        <v>210</v>
      </c>
      <c r="EW378" s="409"/>
      <c r="EX378" s="409"/>
      <c r="EY378" s="409"/>
      <c r="EZ378" s="409"/>
      <c r="FA378" s="409">
        <v>0</v>
      </c>
      <c r="FB378" s="409"/>
      <c r="FC378" s="409"/>
      <c r="FD378" s="409"/>
      <c r="FE378" s="409"/>
      <c r="FF378" s="409">
        <v>0</v>
      </c>
      <c r="FG378" s="409">
        <v>0</v>
      </c>
      <c r="FH378" s="409">
        <v>0</v>
      </c>
      <c r="FI378" s="409">
        <v>0</v>
      </c>
    </row>
    <row r="379" spans="1:165">
      <c r="A379" s="409">
        <v>377</v>
      </c>
      <c r="B379" s="409" t="s">
        <v>1035</v>
      </c>
      <c r="C379" s="409" t="s">
        <v>2246</v>
      </c>
      <c r="D379" s="409" t="s">
        <v>595</v>
      </c>
      <c r="E379" s="409" t="s">
        <v>969</v>
      </c>
      <c r="F379" s="409" t="s">
        <v>1323</v>
      </c>
      <c r="G379" s="409" t="s">
        <v>2261</v>
      </c>
      <c r="H379" s="409" t="s">
        <v>1323</v>
      </c>
      <c r="I379" s="409" t="s">
        <v>1323</v>
      </c>
      <c r="J379" s="409" t="s">
        <v>2262</v>
      </c>
      <c r="K379" s="838">
        <v>44440</v>
      </c>
      <c r="L379" s="409">
        <v>9540</v>
      </c>
      <c r="M379" s="409">
        <v>4795.7436900000002</v>
      </c>
      <c r="N379" s="409">
        <v>0</v>
      </c>
      <c r="O379" s="409">
        <v>0</v>
      </c>
      <c r="P379" s="409">
        <v>0</v>
      </c>
      <c r="Q379" s="409">
        <v>0</v>
      </c>
      <c r="R379" s="409">
        <v>33.6</v>
      </c>
      <c r="S379" s="409"/>
      <c r="T379" s="409"/>
      <c r="U379" s="409">
        <v>320544</v>
      </c>
      <c r="V379" s="409"/>
      <c r="W379" s="409">
        <v>320544</v>
      </c>
      <c r="X379" s="409">
        <v>302990.40000000002</v>
      </c>
      <c r="Y379" s="409">
        <v>0</v>
      </c>
      <c r="Z379" s="409">
        <v>0</v>
      </c>
      <c r="AA379" s="409">
        <v>0</v>
      </c>
      <c r="AB379" s="409">
        <v>0</v>
      </c>
      <c r="AC379" s="409">
        <v>0</v>
      </c>
      <c r="AD379" s="409">
        <v>170246.21189754215</v>
      </c>
      <c r="AE379" s="409">
        <v>150304.13112434722</v>
      </c>
      <c r="AF379" s="409"/>
      <c r="AG379" s="409"/>
      <c r="AH379" s="409"/>
      <c r="AI379" s="409">
        <v>0</v>
      </c>
      <c r="AJ379" s="409">
        <v>0</v>
      </c>
      <c r="AK379" s="409">
        <v>0</v>
      </c>
      <c r="AL379" s="409">
        <v>0</v>
      </c>
      <c r="AM379" s="409"/>
      <c r="AN379" s="409">
        <v>0</v>
      </c>
      <c r="AO379" s="409">
        <v>0</v>
      </c>
      <c r="AP379" s="409">
        <v>0</v>
      </c>
      <c r="AQ379" s="409">
        <v>0</v>
      </c>
      <c r="AR379" s="409">
        <v>0</v>
      </c>
      <c r="AS379" s="409"/>
      <c r="AT379" s="409"/>
      <c r="AU379" s="409">
        <v>0</v>
      </c>
      <c r="AV379" s="409">
        <v>0</v>
      </c>
      <c r="AW379" s="409">
        <v>0</v>
      </c>
      <c r="AX379" s="409"/>
      <c r="AY379" s="409"/>
      <c r="AZ379" s="409">
        <v>0</v>
      </c>
      <c r="BA379" s="409"/>
      <c r="BB379" s="409">
        <v>0</v>
      </c>
      <c r="BC379" s="409">
        <v>0</v>
      </c>
      <c r="BD379" s="409">
        <v>0</v>
      </c>
      <c r="BE379" s="409">
        <v>0</v>
      </c>
      <c r="BF379" s="409"/>
      <c r="BG379" s="409">
        <v>0</v>
      </c>
      <c r="BH379" s="409">
        <v>0</v>
      </c>
      <c r="BI379" s="409">
        <v>0</v>
      </c>
      <c r="BJ379" s="409">
        <v>0</v>
      </c>
      <c r="BK379" s="409">
        <v>212964.41</v>
      </c>
      <c r="BL379" s="409">
        <v>3</v>
      </c>
      <c r="BM379" s="409"/>
      <c r="BN379" s="409">
        <v>150677.58040559999</v>
      </c>
      <c r="BO379" s="409"/>
      <c r="BP379" s="409"/>
      <c r="BQ379" s="409"/>
      <c r="BR379" s="409"/>
      <c r="BS379" s="409"/>
      <c r="BT379" s="409"/>
      <c r="BU379" s="409"/>
      <c r="BV379" s="409">
        <v>0</v>
      </c>
      <c r="BW379" s="409"/>
      <c r="BX379" s="409"/>
      <c r="BY379" s="409"/>
      <c r="BZ379" s="409"/>
      <c r="CA379" s="409"/>
      <c r="CB379" s="409"/>
      <c r="CC379" s="409"/>
      <c r="CD379" s="409"/>
      <c r="CE379" s="409"/>
      <c r="CF379" s="409"/>
      <c r="CG379" s="409"/>
      <c r="CH379" s="409"/>
      <c r="CI379" s="409">
        <v>152312.70240000001</v>
      </c>
      <c r="CJ379" s="409">
        <v>-8824.3155840000254</v>
      </c>
      <c r="CK379" s="409"/>
      <c r="CL379" s="409"/>
      <c r="CM379" s="409"/>
      <c r="CN379" s="409"/>
      <c r="CO379" s="409">
        <v>-17553.599999999999</v>
      </c>
      <c r="CP379" s="409">
        <v>0</v>
      </c>
      <c r="CQ379" s="409">
        <v>30</v>
      </c>
      <c r="CR379" s="409">
        <v>6298.4230622142495</v>
      </c>
      <c r="CS379" s="409">
        <v>0</v>
      </c>
      <c r="CT379" s="409">
        <v>0</v>
      </c>
      <c r="CU379" s="409">
        <v>0</v>
      </c>
      <c r="CV379" s="409">
        <v>0</v>
      </c>
      <c r="CW379" s="409"/>
      <c r="CX379" s="409"/>
      <c r="CY379" s="409"/>
      <c r="CZ379" s="409">
        <v>5835.7749179621169</v>
      </c>
      <c r="DA379" s="409">
        <v>0</v>
      </c>
      <c r="DB379" s="409">
        <v>0</v>
      </c>
      <c r="DC379" s="409"/>
      <c r="DD379" s="409"/>
      <c r="DE379" s="409">
        <v>0</v>
      </c>
      <c r="DF379" s="409">
        <v>0</v>
      </c>
      <c r="DG379" s="409">
        <v>0</v>
      </c>
      <c r="DH379" s="409">
        <v>0</v>
      </c>
      <c r="DI379" s="409">
        <v>0</v>
      </c>
      <c r="DJ379" s="409"/>
      <c r="DK379" s="409">
        <v>0</v>
      </c>
      <c r="DL379" s="409">
        <v>0</v>
      </c>
      <c r="DM379" s="409"/>
      <c r="DN379" s="409">
        <v>0</v>
      </c>
      <c r="DO379" s="409">
        <v>0</v>
      </c>
      <c r="DP379" s="409">
        <v>0</v>
      </c>
      <c r="DQ379" s="409">
        <v>0</v>
      </c>
      <c r="DR379" s="409">
        <v>462.64814425212649</v>
      </c>
      <c r="DS379" s="409"/>
      <c r="DT379" s="409"/>
      <c r="DU379" s="409">
        <v>150304.13112434722</v>
      </c>
      <c r="DV379" s="409"/>
      <c r="DW379" s="409">
        <v>0</v>
      </c>
      <c r="DX379" s="409">
        <v>0</v>
      </c>
      <c r="DY379" s="409">
        <v>-17553.599999999977</v>
      </c>
      <c r="DZ379" s="409"/>
      <c r="EA379" s="409">
        <v>0</v>
      </c>
      <c r="EB379" s="409"/>
      <c r="EC379" s="409">
        <v>-23891.289806741668</v>
      </c>
      <c r="ED379" s="409"/>
      <c r="EE379" s="409">
        <v>0</v>
      </c>
      <c r="EF379" s="409">
        <v>0</v>
      </c>
      <c r="EG379" s="409"/>
      <c r="EH379" s="409">
        <v>0</v>
      </c>
      <c r="EI379" s="409">
        <v>0</v>
      </c>
      <c r="EJ379" s="409">
        <v>0</v>
      </c>
      <c r="EK379" s="409">
        <v>0</v>
      </c>
      <c r="EL379" s="409">
        <v>0</v>
      </c>
      <c r="EM379" s="409"/>
      <c r="EN379" s="409"/>
      <c r="EO379" s="409">
        <v>0</v>
      </c>
      <c r="EP379" s="409">
        <v>0</v>
      </c>
      <c r="EQ379" s="409"/>
      <c r="ER379" s="409">
        <v>0</v>
      </c>
      <c r="ES379" s="409"/>
      <c r="ET379" s="409">
        <v>0</v>
      </c>
      <c r="EU379" s="409"/>
      <c r="EV379" s="409">
        <v>210</v>
      </c>
      <c r="EW379" s="409"/>
      <c r="EX379" s="409"/>
      <c r="EY379" s="409"/>
      <c r="EZ379" s="409"/>
      <c r="FA379" s="409">
        <v>0</v>
      </c>
      <c r="FB379" s="409"/>
      <c r="FC379" s="409"/>
      <c r="FD379" s="409"/>
      <c r="FE379" s="409"/>
      <c r="FF379" s="409">
        <v>0</v>
      </c>
      <c r="FG379" s="409">
        <v>0</v>
      </c>
      <c r="FH379" s="409">
        <v>0</v>
      </c>
      <c r="FI379" s="409">
        <v>0</v>
      </c>
    </row>
    <row r="380" spans="1:165">
      <c r="A380" s="409">
        <v>378</v>
      </c>
      <c r="B380" s="409" t="s">
        <v>1035</v>
      </c>
      <c r="C380" s="409" t="s">
        <v>2246</v>
      </c>
      <c r="D380" s="409" t="s">
        <v>595</v>
      </c>
      <c r="E380" s="409" t="s">
        <v>969</v>
      </c>
      <c r="F380" s="409" t="s">
        <v>1323</v>
      </c>
      <c r="G380" s="409" t="s">
        <v>2261</v>
      </c>
      <c r="H380" s="409" t="s">
        <v>1323</v>
      </c>
      <c r="I380" s="409" t="s">
        <v>972</v>
      </c>
      <c r="J380" s="409" t="s">
        <v>2262</v>
      </c>
      <c r="K380" s="838">
        <v>44470</v>
      </c>
      <c r="L380" s="409">
        <v>0</v>
      </c>
      <c r="M380" s="409">
        <v>0</v>
      </c>
      <c r="N380" s="409">
        <v>281.75299999999999</v>
      </c>
      <c r="O380" s="409">
        <v>141.11551388743001</v>
      </c>
      <c r="P380" s="409">
        <v>0</v>
      </c>
      <c r="Q380" s="409">
        <v>0</v>
      </c>
      <c r="R380" s="409"/>
      <c r="S380" s="409">
        <v>1856.88</v>
      </c>
      <c r="T380" s="409"/>
      <c r="U380" s="409"/>
      <c r="V380" s="409">
        <v>523181.51063999999</v>
      </c>
      <c r="W380" s="409">
        <v>523181.51063999999</v>
      </c>
      <c r="X380" s="409">
        <v>469268.07408999995</v>
      </c>
      <c r="Y380" s="409">
        <v>0</v>
      </c>
      <c r="Z380" s="409">
        <v>14799.284429059355</v>
      </c>
      <c r="AA380" s="409">
        <v>0</v>
      </c>
      <c r="AB380" s="409">
        <v>0</v>
      </c>
      <c r="AC380" s="409">
        <v>0</v>
      </c>
      <c r="AD380" s="409">
        <v>138084.85476795249</v>
      </c>
      <c r="AE380" s="409">
        <v>366949.90067518089</v>
      </c>
      <c r="AF380" s="409"/>
      <c r="AG380" s="409"/>
      <c r="AH380" s="409"/>
      <c r="AI380" s="409">
        <v>0</v>
      </c>
      <c r="AJ380" s="409">
        <v>0</v>
      </c>
      <c r="AK380" s="409">
        <v>0</v>
      </c>
      <c r="AL380" s="409">
        <v>2630.6006457116814</v>
      </c>
      <c r="AM380" s="409"/>
      <c r="AN380" s="409">
        <v>244.58637295338417</v>
      </c>
      <c r="AO380" s="409">
        <v>0</v>
      </c>
      <c r="AP380" s="409">
        <v>0</v>
      </c>
      <c r="AQ380" s="409">
        <v>0</v>
      </c>
      <c r="AR380" s="409">
        <v>0</v>
      </c>
      <c r="AS380" s="409"/>
      <c r="AT380" s="409"/>
      <c r="AU380" s="409">
        <v>0</v>
      </c>
      <c r="AV380" s="409">
        <v>0</v>
      </c>
      <c r="AW380" s="409">
        <v>0</v>
      </c>
      <c r="AX380" s="409"/>
      <c r="AY380" s="409"/>
      <c r="AZ380" s="409">
        <v>0</v>
      </c>
      <c r="BA380" s="409"/>
      <c r="BB380" s="409">
        <v>0</v>
      </c>
      <c r="BC380" s="409">
        <v>0</v>
      </c>
      <c r="BD380" s="409">
        <v>0</v>
      </c>
      <c r="BE380" s="409">
        <v>0</v>
      </c>
      <c r="BF380" s="409"/>
      <c r="BG380" s="409">
        <v>471.4645847028608</v>
      </c>
      <c r="BH380" s="409">
        <v>0</v>
      </c>
      <c r="BI380" s="409">
        <v>0</v>
      </c>
      <c r="BJ380" s="409">
        <v>0</v>
      </c>
      <c r="BK380" s="409">
        <v>0</v>
      </c>
      <c r="BL380" s="409">
        <v>0</v>
      </c>
      <c r="BM380" s="409"/>
      <c r="BN380" s="409">
        <v>234235.95224506868</v>
      </c>
      <c r="BO380" s="409"/>
      <c r="BP380" s="409"/>
      <c r="BQ380" s="409"/>
      <c r="BR380" s="409"/>
      <c r="BS380" s="409"/>
      <c r="BT380" s="409"/>
      <c r="BU380" s="409"/>
      <c r="BV380" s="409">
        <v>471.4645847028608</v>
      </c>
      <c r="BW380" s="409"/>
      <c r="BX380" s="409"/>
      <c r="BY380" s="409"/>
      <c r="BZ380" s="409"/>
      <c r="CA380" s="409"/>
      <c r="CB380" s="409"/>
      <c r="CC380" s="409"/>
      <c r="CD380" s="409"/>
      <c r="CE380" s="409"/>
      <c r="CF380" s="409"/>
      <c r="CG380" s="409"/>
      <c r="CH380" s="409"/>
      <c r="CI380" s="409">
        <v>235039.59359999999</v>
      </c>
      <c r="CJ380" s="409">
        <v>-26995.011827291106</v>
      </c>
      <c r="CK380" s="409"/>
      <c r="CL380" s="409"/>
      <c r="CM380" s="409"/>
      <c r="CN380" s="409"/>
      <c r="CO380" s="409">
        <v>-53913.436550000035</v>
      </c>
      <c r="CP380" s="409">
        <v>0</v>
      </c>
      <c r="CQ380" s="409">
        <v>31</v>
      </c>
      <c r="CR380" s="409">
        <v>4416.4444737790618</v>
      </c>
      <c r="CS380" s="409">
        <v>0</v>
      </c>
      <c r="CT380" s="409">
        <v>0</v>
      </c>
      <c r="CU380" s="409">
        <v>0</v>
      </c>
      <c r="CV380" s="409">
        <v>0</v>
      </c>
      <c r="CW380" s="409"/>
      <c r="CX380" s="409"/>
      <c r="CY380" s="409"/>
      <c r="CZ380" s="409">
        <v>4733.3336996086291</v>
      </c>
      <c r="DA380" s="409">
        <v>0</v>
      </c>
      <c r="DB380" s="409">
        <v>0</v>
      </c>
      <c r="DC380" s="409"/>
      <c r="DD380" s="409"/>
      <c r="DE380" s="409">
        <v>0</v>
      </c>
      <c r="DF380" s="409">
        <v>0</v>
      </c>
      <c r="DG380" s="409">
        <v>25.397665388483802</v>
      </c>
      <c r="DH380" s="409">
        <v>0</v>
      </c>
      <c r="DI380" s="409">
        <v>-943.32526039914956</v>
      </c>
      <c r="DJ380" s="409"/>
      <c r="DK380" s="409">
        <v>0</v>
      </c>
      <c r="DL380" s="409">
        <v>0</v>
      </c>
      <c r="DM380" s="409"/>
      <c r="DN380" s="409">
        <v>0</v>
      </c>
      <c r="DO380" s="409">
        <v>-137.92712076135876</v>
      </c>
      <c r="DP380" s="409">
        <v>-16.137667140065929</v>
      </c>
      <c r="DQ380" s="409">
        <v>0</v>
      </c>
      <c r="DR380" s="409">
        <v>755.10315708252085</v>
      </c>
      <c r="DS380" s="409"/>
      <c r="DT380" s="409"/>
      <c r="DU380" s="409"/>
      <c r="DV380" s="409">
        <v>366949.90067518089</v>
      </c>
      <c r="DW380" s="409">
        <v>0</v>
      </c>
      <c r="DX380" s="409">
        <v>0</v>
      </c>
      <c r="DY380" s="409">
        <v>-53913.436550000042</v>
      </c>
      <c r="DZ380" s="409"/>
      <c r="EA380" s="409">
        <v>0</v>
      </c>
      <c r="EB380" s="409"/>
      <c r="EC380" s="409">
        <v>-58327.780853425968</v>
      </c>
      <c r="ED380" s="409"/>
      <c r="EE380" s="409">
        <v>0</v>
      </c>
      <c r="EF380" s="409">
        <v>0</v>
      </c>
      <c r="EG380" s="409"/>
      <c r="EH380" s="409">
        <v>0</v>
      </c>
      <c r="EI380" s="409">
        <v>0</v>
      </c>
      <c r="EJ380" s="409">
        <v>0</v>
      </c>
      <c r="EK380" s="409">
        <v>0</v>
      </c>
      <c r="EL380" s="409">
        <v>0</v>
      </c>
      <c r="EM380" s="409"/>
      <c r="EN380" s="409"/>
      <c r="EO380" s="409">
        <v>0</v>
      </c>
      <c r="EP380" s="409">
        <v>0</v>
      </c>
      <c r="EQ380" s="409"/>
      <c r="ER380" s="409">
        <v>0</v>
      </c>
      <c r="ES380" s="409"/>
      <c r="ET380" s="409">
        <v>0</v>
      </c>
      <c r="EU380" s="409"/>
      <c r="EV380" s="409">
        <v>210</v>
      </c>
      <c r="EW380" s="409"/>
      <c r="EX380" s="409"/>
      <c r="EY380" s="409"/>
      <c r="EZ380" s="409"/>
      <c r="FA380" s="409">
        <v>0</v>
      </c>
      <c r="FB380" s="409"/>
      <c r="FC380" s="409"/>
      <c r="FD380" s="409"/>
      <c r="FE380" s="409"/>
      <c r="FF380" s="409">
        <v>0</v>
      </c>
      <c r="FG380" s="409">
        <v>0</v>
      </c>
      <c r="FH380" s="409">
        <v>0</v>
      </c>
      <c r="FI380" s="409">
        <v>0</v>
      </c>
    </row>
    <row r="381" spans="1:165">
      <c r="A381" s="409">
        <v>379</v>
      </c>
      <c r="B381" s="409" t="s">
        <v>1035</v>
      </c>
      <c r="C381" s="409" t="s">
        <v>2246</v>
      </c>
      <c r="D381" s="409" t="s">
        <v>595</v>
      </c>
      <c r="E381" s="409" t="s">
        <v>969</v>
      </c>
      <c r="F381" s="409" t="s">
        <v>1323</v>
      </c>
      <c r="G381" s="409" t="s">
        <v>2261</v>
      </c>
      <c r="H381" s="409" t="s">
        <v>1323</v>
      </c>
      <c r="I381" s="409" t="s">
        <v>2234</v>
      </c>
      <c r="J381" s="409" t="s">
        <v>2262</v>
      </c>
      <c r="K381" s="838">
        <v>44470</v>
      </c>
      <c r="L381" s="409">
        <v>0</v>
      </c>
      <c r="M381" s="409">
        <v>0</v>
      </c>
      <c r="N381" s="409">
        <v>2715.15</v>
      </c>
      <c r="O381" s="409">
        <v>2715.15</v>
      </c>
      <c r="P381" s="409">
        <v>0</v>
      </c>
      <c r="Q381" s="409">
        <v>0</v>
      </c>
      <c r="R381" s="409"/>
      <c r="S381" s="409">
        <v>64.400000000000006</v>
      </c>
      <c r="T381" s="409"/>
      <c r="U381" s="409"/>
      <c r="V381" s="409">
        <v>174855.66000000003</v>
      </c>
      <c r="W381" s="409">
        <v>174855.66000000003</v>
      </c>
      <c r="X381" s="409">
        <v>164782.4535</v>
      </c>
      <c r="Y381" s="409">
        <v>0</v>
      </c>
      <c r="Z381" s="409">
        <v>142615.25917225552</v>
      </c>
      <c r="AA381" s="409">
        <v>0</v>
      </c>
      <c r="AB381" s="409">
        <v>0</v>
      </c>
      <c r="AC381" s="409">
        <v>0</v>
      </c>
      <c r="AD381" s="409">
        <v>0</v>
      </c>
      <c r="AE381" s="409">
        <v>0</v>
      </c>
      <c r="AF381" s="409"/>
      <c r="AG381" s="409"/>
      <c r="AH381" s="409"/>
      <c r="AI381" s="409">
        <v>0</v>
      </c>
      <c r="AJ381" s="409">
        <v>0</v>
      </c>
      <c r="AK381" s="409">
        <v>0</v>
      </c>
      <c r="AL381" s="409">
        <v>25350.130586734027</v>
      </c>
      <c r="AM381" s="409"/>
      <c r="AN381" s="409">
        <v>2356.9888892909075</v>
      </c>
      <c r="AO381" s="409">
        <v>0</v>
      </c>
      <c r="AP381" s="409">
        <v>0</v>
      </c>
      <c r="AQ381" s="409">
        <v>0</v>
      </c>
      <c r="AR381" s="409">
        <v>0</v>
      </c>
      <c r="AS381" s="409"/>
      <c r="AT381" s="409"/>
      <c r="AU381" s="409">
        <v>0</v>
      </c>
      <c r="AV381" s="409">
        <v>0</v>
      </c>
      <c r="AW381" s="409">
        <v>0</v>
      </c>
      <c r="AX381" s="409"/>
      <c r="AY381" s="409"/>
      <c r="AZ381" s="409">
        <v>0</v>
      </c>
      <c r="BA381" s="409"/>
      <c r="BB381" s="409">
        <v>0</v>
      </c>
      <c r="BC381" s="409">
        <v>0</v>
      </c>
      <c r="BD381" s="409">
        <v>0</v>
      </c>
      <c r="BE381" s="409">
        <v>0</v>
      </c>
      <c r="BF381" s="409"/>
      <c r="BG381" s="409">
        <v>4543.3307441481466</v>
      </c>
      <c r="BH381" s="409">
        <v>0</v>
      </c>
      <c r="BI381" s="409">
        <v>0</v>
      </c>
      <c r="BJ381" s="409">
        <v>0</v>
      </c>
      <c r="BK381" s="409">
        <v>0</v>
      </c>
      <c r="BL381" s="409">
        <v>0</v>
      </c>
      <c r="BM381" s="409"/>
      <c r="BN381" s="409"/>
      <c r="BO381" s="409"/>
      <c r="BP381" s="409"/>
      <c r="BQ381" s="409"/>
      <c r="BR381" s="409"/>
      <c r="BS381" s="409"/>
      <c r="BT381" s="409"/>
      <c r="BU381" s="409"/>
      <c r="BV381" s="409">
        <v>4543.3307441481466</v>
      </c>
      <c r="BW381" s="409"/>
      <c r="BX381" s="409"/>
      <c r="BY381" s="409"/>
      <c r="BZ381" s="409"/>
      <c r="CA381" s="409"/>
      <c r="CB381" s="409"/>
      <c r="CC381" s="409"/>
      <c r="CD381" s="409"/>
      <c r="CE381" s="409"/>
      <c r="CF381" s="409"/>
      <c r="CG381" s="409"/>
      <c r="CH381" s="409"/>
      <c r="CI381" s="409">
        <v>164782.4535</v>
      </c>
      <c r="CJ381" s="409">
        <v>-10073.236500000057</v>
      </c>
      <c r="CK381" s="409"/>
      <c r="CL381" s="409"/>
      <c r="CM381" s="409"/>
      <c r="CN381" s="409"/>
      <c r="CO381" s="409">
        <v>-10073.206500000022</v>
      </c>
      <c r="CP381" s="409">
        <v>0</v>
      </c>
      <c r="CQ381" s="409">
        <v>31</v>
      </c>
      <c r="CR381" s="409">
        <v>-10078.013695767993</v>
      </c>
      <c r="CS381" s="409">
        <v>0</v>
      </c>
      <c r="CT381" s="409">
        <v>0</v>
      </c>
      <c r="CU381" s="409">
        <v>0</v>
      </c>
      <c r="CV381" s="409">
        <v>0</v>
      </c>
      <c r="CW381" s="409"/>
      <c r="CX381" s="409"/>
      <c r="CY381" s="409"/>
      <c r="CZ381" s="409">
        <v>0</v>
      </c>
      <c r="DA381" s="409">
        <v>0</v>
      </c>
      <c r="DB381" s="409">
        <v>0</v>
      </c>
      <c r="DC381" s="409"/>
      <c r="DD381" s="409"/>
      <c r="DE381" s="409">
        <v>0</v>
      </c>
      <c r="DF381" s="409">
        <v>0</v>
      </c>
      <c r="DG381" s="409">
        <v>244.74795718072801</v>
      </c>
      <c r="DH381" s="409">
        <v>0</v>
      </c>
      <c r="DI381" s="409">
        <v>-9090.4784714723646</v>
      </c>
      <c r="DJ381" s="409"/>
      <c r="DK381" s="409">
        <v>0</v>
      </c>
      <c r="DL381" s="409">
        <v>0</v>
      </c>
      <c r="DM381" s="409"/>
      <c r="DN381" s="409">
        <v>0</v>
      </c>
      <c r="DO381" s="409">
        <v>-1329.1529173964518</v>
      </c>
      <c r="DP381" s="409">
        <v>-155.51276094788682</v>
      </c>
      <c r="DQ381" s="409">
        <v>0</v>
      </c>
      <c r="DR381" s="409">
        <v>252.38249686793949</v>
      </c>
      <c r="DS381" s="409"/>
      <c r="DT381" s="409"/>
      <c r="DU381" s="409"/>
      <c r="DV381" s="409">
        <v>0</v>
      </c>
      <c r="DW381" s="409">
        <v>0</v>
      </c>
      <c r="DX381" s="409">
        <v>0</v>
      </c>
      <c r="DY381" s="409">
        <v>-10073.206500000029</v>
      </c>
      <c r="DZ381" s="409"/>
      <c r="EA381" s="409">
        <v>0</v>
      </c>
      <c r="EB381" s="409"/>
      <c r="EC381" s="409">
        <v>0</v>
      </c>
      <c r="ED381" s="409"/>
      <c r="EE381" s="409">
        <v>0</v>
      </c>
      <c r="EF381" s="409">
        <v>0</v>
      </c>
      <c r="EG381" s="409"/>
      <c r="EH381" s="409">
        <v>0</v>
      </c>
      <c r="EI381" s="409">
        <v>0</v>
      </c>
      <c r="EJ381" s="409">
        <v>0</v>
      </c>
      <c r="EK381" s="409">
        <v>0</v>
      </c>
      <c r="EL381" s="409">
        <v>0</v>
      </c>
      <c r="EM381" s="409"/>
      <c r="EN381" s="409"/>
      <c r="EO381" s="409">
        <v>0</v>
      </c>
      <c r="EP381" s="409">
        <v>0</v>
      </c>
      <c r="EQ381" s="409"/>
      <c r="ER381" s="409">
        <v>0</v>
      </c>
      <c r="ES381" s="409"/>
      <c r="ET381" s="409">
        <v>0</v>
      </c>
      <c r="EU381" s="409"/>
      <c r="EV381" s="409">
        <v>210</v>
      </c>
      <c r="EW381" s="409"/>
      <c r="EX381" s="409"/>
      <c r="EY381" s="409"/>
      <c r="EZ381" s="409"/>
      <c r="FA381" s="409">
        <v>0</v>
      </c>
      <c r="FB381" s="409"/>
      <c r="FC381" s="409"/>
      <c r="FD381" s="409"/>
      <c r="FE381" s="409"/>
      <c r="FF381" s="409">
        <v>0</v>
      </c>
      <c r="FG381" s="409">
        <v>0</v>
      </c>
      <c r="FH381" s="409">
        <v>0</v>
      </c>
      <c r="FI381" s="409">
        <v>0</v>
      </c>
    </row>
    <row r="382" spans="1:165">
      <c r="A382" s="409">
        <v>380</v>
      </c>
      <c r="B382" s="409" t="s">
        <v>1035</v>
      </c>
      <c r="C382" s="409" t="s">
        <v>2246</v>
      </c>
      <c r="D382" s="409" t="s">
        <v>595</v>
      </c>
      <c r="E382" s="409" t="s">
        <v>969</v>
      </c>
      <c r="F382" s="409" t="s">
        <v>1323</v>
      </c>
      <c r="G382" s="409" t="s">
        <v>2261</v>
      </c>
      <c r="H382" s="409" t="s">
        <v>1323</v>
      </c>
      <c r="I382" s="409" t="s">
        <v>1323</v>
      </c>
      <c r="J382" s="409" t="s">
        <v>2262</v>
      </c>
      <c r="K382" s="838">
        <v>44470</v>
      </c>
      <c r="L382" s="409">
        <v>9540</v>
      </c>
      <c r="M382" s="409">
        <v>4778.0928774000004</v>
      </c>
      <c r="N382" s="409">
        <v>0</v>
      </c>
      <c r="O382" s="409">
        <v>0</v>
      </c>
      <c r="P382" s="409">
        <v>0</v>
      </c>
      <c r="Q382" s="409">
        <v>0</v>
      </c>
      <c r="R382" s="409">
        <v>33.6</v>
      </c>
      <c r="S382" s="409"/>
      <c r="T382" s="409"/>
      <c r="U382" s="409">
        <v>320544</v>
      </c>
      <c r="V382" s="409"/>
      <c r="W382" s="409">
        <v>320544</v>
      </c>
      <c r="X382" s="409">
        <v>302990.40000000002</v>
      </c>
      <c r="Y382" s="409">
        <v>0</v>
      </c>
      <c r="Z382" s="409">
        <v>0</v>
      </c>
      <c r="AA382" s="409">
        <v>0</v>
      </c>
      <c r="AB382" s="409">
        <v>0</v>
      </c>
      <c r="AC382" s="409">
        <v>0</v>
      </c>
      <c r="AD382" s="409">
        <v>170246.21189754215</v>
      </c>
      <c r="AE382" s="409">
        <v>150304.13112434722</v>
      </c>
      <c r="AF382" s="409"/>
      <c r="AG382" s="409"/>
      <c r="AH382" s="409"/>
      <c r="AI382" s="409">
        <v>0</v>
      </c>
      <c r="AJ382" s="409">
        <v>0</v>
      </c>
      <c r="AK382" s="409">
        <v>0</v>
      </c>
      <c r="AL382" s="409">
        <v>0</v>
      </c>
      <c r="AM382" s="409"/>
      <c r="AN382" s="409">
        <v>0</v>
      </c>
      <c r="AO382" s="409">
        <v>0</v>
      </c>
      <c r="AP382" s="409">
        <v>0</v>
      </c>
      <c r="AQ382" s="409">
        <v>0</v>
      </c>
      <c r="AR382" s="409">
        <v>0</v>
      </c>
      <c r="AS382" s="409"/>
      <c r="AT382" s="409"/>
      <c r="AU382" s="409">
        <v>0</v>
      </c>
      <c r="AV382" s="409">
        <v>0</v>
      </c>
      <c r="AW382" s="409">
        <v>0</v>
      </c>
      <c r="AX382" s="409"/>
      <c r="AY382" s="409"/>
      <c r="AZ382" s="409">
        <v>0</v>
      </c>
      <c r="BA382" s="409"/>
      <c r="BB382" s="409">
        <v>0</v>
      </c>
      <c r="BC382" s="409">
        <v>0</v>
      </c>
      <c r="BD382" s="409">
        <v>0</v>
      </c>
      <c r="BE382" s="409">
        <v>0</v>
      </c>
      <c r="BF382" s="409"/>
      <c r="BG382" s="409">
        <v>0</v>
      </c>
      <c r="BH382" s="409">
        <v>0</v>
      </c>
      <c r="BI382" s="409">
        <v>0</v>
      </c>
      <c r="BJ382" s="409">
        <v>0</v>
      </c>
      <c r="BK382" s="409">
        <v>189447.1</v>
      </c>
      <c r="BL382" s="409">
        <v>3</v>
      </c>
      <c r="BM382" s="409"/>
      <c r="BN382" s="409">
        <v>151238.170213776</v>
      </c>
      <c r="BO382" s="409"/>
      <c r="BP382" s="409"/>
      <c r="BQ382" s="409"/>
      <c r="BR382" s="409"/>
      <c r="BS382" s="409"/>
      <c r="BT382" s="409"/>
      <c r="BU382" s="409"/>
      <c r="BV382" s="409">
        <v>0</v>
      </c>
      <c r="BW382" s="409"/>
      <c r="BX382" s="409"/>
      <c r="BY382" s="409"/>
      <c r="BZ382" s="409"/>
      <c r="CA382" s="409"/>
      <c r="CB382" s="409"/>
      <c r="CC382" s="409"/>
      <c r="CD382" s="409"/>
      <c r="CE382" s="409"/>
      <c r="CF382" s="409"/>
      <c r="CG382" s="409"/>
      <c r="CH382" s="409"/>
      <c r="CI382" s="409">
        <v>151752.13840000003</v>
      </c>
      <c r="CJ382" s="409">
        <v>-8791.8122806400352</v>
      </c>
      <c r="CK382" s="409"/>
      <c r="CL382" s="409"/>
      <c r="CM382" s="409"/>
      <c r="CN382" s="409"/>
      <c r="CO382" s="409">
        <v>-17553.599999999999</v>
      </c>
      <c r="CP382" s="409">
        <v>0</v>
      </c>
      <c r="CQ382" s="409">
        <v>31</v>
      </c>
      <c r="CR382" s="409">
        <v>6298.4230622142495</v>
      </c>
      <c r="CS382" s="409">
        <v>0</v>
      </c>
      <c r="CT382" s="409">
        <v>0</v>
      </c>
      <c r="CU382" s="409">
        <v>0</v>
      </c>
      <c r="CV382" s="409">
        <v>0</v>
      </c>
      <c r="CW382" s="409"/>
      <c r="CX382" s="409"/>
      <c r="CY382" s="409"/>
      <c r="CZ382" s="409">
        <v>5835.7749179621169</v>
      </c>
      <c r="DA382" s="409">
        <v>0</v>
      </c>
      <c r="DB382" s="409">
        <v>0</v>
      </c>
      <c r="DC382" s="409"/>
      <c r="DD382" s="409"/>
      <c r="DE382" s="409">
        <v>0</v>
      </c>
      <c r="DF382" s="409">
        <v>0</v>
      </c>
      <c r="DG382" s="409">
        <v>0</v>
      </c>
      <c r="DH382" s="409">
        <v>0</v>
      </c>
      <c r="DI382" s="409">
        <v>0</v>
      </c>
      <c r="DJ382" s="409"/>
      <c r="DK382" s="409">
        <v>0</v>
      </c>
      <c r="DL382" s="409">
        <v>0</v>
      </c>
      <c r="DM382" s="409"/>
      <c r="DN382" s="409">
        <v>0</v>
      </c>
      <c r="DO382" s="409">
        <v>0</v>
      </c>
      <c r="DP382" s="409">
        <v>0</v>
      </c>
      <c r="DQ382" s="409">
        <v>0</v>
      </c>
      <c r="DR382" s="409">
        <v>462.64814425212649</v>
      </c>
      <c r="DS382" s="409"/>
      <c r="DT382" s="409"/>
      <c r="DU382" s="409">
        <v>150304.13112434722</v>
      </c>
      <c r="DV382" s="409"/>
      <c r="DW382" s="409">
        <v>0</v>
      </c>
      <c r="DX382" s="409">
        <v>0</v>
      </c>
      <c r="DY382" s="409">
        <v>-17553.599999999977</v>
      </c>
      <c r="DZ382" s="409"/>
      <c r="EA382" s="409">
        <v>0</v>
      </c>
      <c r="EB382" s="409"/>
      <c r="EC382" s="409">
        <v>-23891.289806741668</v>
      </c>
      <c r="ED382" s="409"/>
      <c r="EE382" s="409">
        <v>0</v>
      </c>
      <c r="EF382" s="409">
        <v>0</v>
      </c>
      <c r="EG382" s="409"/>
      <c r="EH382" s="409">
        <v>0</v>
      </c>
      <c r="EI382" s="409">
        <v>0</v>
      </c>
      <c r="EJ382" s="409">
        <v>0</v>
      </c>
      <c r="EK382" s="409">
        <v>0</v>
      </c>
      <c r="EL382" s="409">
        <v>0</v>
      </c>
      <c r="EM382" s="409"/>
      <c r="EN382" s="409"/>
      <c r="EO382" s="409">
        <v>0</v>
      </c>
      <c r="EP382" s="409">
        <v>0</v>
      </c>
      <c r="EQ382" s="409"/>
      <c r="ER382" s="409">
        <v>0</v>
      </c>
      <c r="ES382" s="409"/>
      <c r="ET382" s="409">
        <v>0</v>
      </c>
      <c r="EU382" s="409"/>
      <c r="EV382" s="409">
        <v>210</v>
      </c>
      <c r="EW382" s="409"/>
      <c r="EX382" s="409"/>
      <c r="EY382" s="409"/>
      <c r="EZ382" s="409"/>
      <c r="FA382" s="409">
        <v>0</v>
      </c>
      <c r="FB382" s="409"/>
      <c r="FC382" s="409"/>
      <c r="FD382" s="409"/>
      <c r="FE382" s="409"/>
      <c r="FF382" s="409">
        <v>0</v>
      </c>
      <c r="FG382" s="409">
        <v>0</v>
      </c>
      <c r="FH382" s="409">
        <v>0</v>
      </c>
      <c r="FI382" s="409">
        <v>0</v>
      </c>
    </row>
    <row r="383" spans="1:165">
      <c r="A383" s="409">
        <v>381</v>
      </c>
      <c r="B383" s="409" t="s">
        <v>1035</v>
      </c>
      <c r="C383" s="409" t="s">
        <v>2246</v>
      </c>
      <c r="D383" s="409" t="s">
        <v>595</v>
      </c>
      <c r="E383" s="409" t="s">
        <v>969</v>
      </c>
      <c r="F383" s="409" t="s">
        <v>1323</v>
      </c>
      <c r="G383" s="409" t="s">
        <v>2261</v>
      </c>
      <c r="H383" s="409" t="s">
        <v>1323</v>
      </c>
      <c r="I383" s="409" t="s">
        <v>972</v>
      </c>
      <c r="J383" s="409" t="s">
        <v>2262</v>
      </c>
      <c r="K383" s="838">
        <v>44501</v>
      </c>
      <c r="L383" s="409">
        <v>0</v>
      </c>
      <c r="M383" s="409">
        <v>0</v>
      </c>
      <c r="N383" s="409">
        <v>258.07799999999997</v>
      </c>
      <c r="O383" s="409">
        <v>129.143005434</v>
      </c>
      <c r="P383" s="409">
        <v>0</v>
      </c>
      <c r="Q383" s="409">
        <v>0</v>
      </c>
      <c r="R383" s="409"/>
      <c r="S383" s="409">
        <v>1856.88</v>
      </c>
      <c r="T383" s="409"/>
      <c r="U383" s="409"/>
      <c r="V383" s="409">
        <v>479219.87663999997</v>
      </c>
      <c r="W383" s="409">
        <v>479219.87663999997</v>
      </c>
      <c r="X383" s="409">
        <v>429836.65133999992</v>
      </c>
      <c r="Y383" s="409">
        <v>0</v>
      </c>
      <c r="Z383" s="409">
        <v>13555.737567595659</v>
      </c>
      <c r="AA383" s="409">
        <v>0</v>
      </c>
      <c r="AB383" s="409">
        <v>0</v>
      </c>
      <c r="AC383" s="409">
        <v>0</v>
      </c>
      <c r="AD383" s="409">
        <v>126481.92973563242</v>
      </c>
      <c r="AE383" s="409">
        <v>336116.0181664413</v>
      </c>
      <c r="AF383" s="409"/>
      <c r="AG383" s="409"/>
      <c r="AH383" s="409"/>
      <c r="AI383" s="409">
        <v>0</v>
      </c>
      <c r="AJ383" s="409">
        <v>0</v>
      </c>
      <c r="AK383" s="409">
        <v>0</v>
      </c>
      <c r="AL383" s="409">
        <v>2409.5578518914767</v>
      </c>
      <c r="AM383" s="409"/>
      <c r="AN383" s="409">
        <v>224.03439168017189</v>
      </c>
      <c r="AO383" s="409">
        <v>0</v>
      </c>
      <c r="AP383" s="409">
        <v>0</v>
      </c>
      <c r="AQ383" s="409">
        <v>0</v>
      </c>
      <c r="AR383" s="409">
        <v>0</v>
      </c>
      <c r="AS383" s="409"/>
      <c r="AT383" s="409"/>
      <c r="AU383" s="409">
        <v>0</v>
      </c>
      <c r="AV383" s="409">
        <v>0</v>
      </c>
      <c r="AW383" s="409">
        <v>0</v>
      </c>
      <c r="AX383" s="409"/>
      <c r="AY383" s="409"/>
      <c r="AZ383" s="409">
        <v>0</v>
      </c>
      <c r="BA383" s="409"/>
      <c r="BB383" s="409">
        <v>0</v>
      </c>
      <c r="BC383" s="409">
        <v>0</v>
      </c>
      <c r="BD383" s="409">
        <v>0</v>
      </c>
      <c r="BE383" s="409">
        <v>0</v>
      </c>
      <c r="BF383" s="409"/>
      <c r="BG383" s="409">
        <v>431.84859465895624</v>
      </c>
      <c r="BH383" s="409">
        <v>0</v>
      </c>
      <c r="BI383" s="409">
        <v>0</v>
      </c>
      <c r="BJ383" s="409">
        <v>0</v>
      </c>
      <c r="BK383" s="409">
        <v>0</v>
      </c>
      <c r="BL383" s="409">
        <v>0</v>
      </c>
      <c r="BM383" s="409"/>
      <c r="BN383" s="409">
        <v>214745.10149950994</v>
      </c>
      <c r="BO383" s="409"/>
      <c r="BP383" s="409"/>
      <c r="BQ383" s="409"/>
      <c r="BR383" s="409"/>
      <c r="BS383" s="409"/>
      <c r="BT383" s="409"/>
      <c r="BU383" s="409"/>
      <c r="BV383" s="409">
        <v>431.84859465895624</v>
      </c>
      <c r="BW383" s="409"/>
      <c r="BX383" s="409"/>
      <c r="BY383" s="409"/>
      <c r="BZ383" s="409"/>
      <c r="CA383" s="409"/>
      <c r="CB383" s="409"/>
      <c r="CC383" s="409"/>
      <c r="CD383" s="409"/>
      <c r="CE383" s="409"/>
      <c r="CF383" s="409"/>
      <c r="CG383" s="409"/>
      <c r="CH383" s="409"/>
      <c r="CI383" s="409">
        <v>215086.54419999997</v>
      </c>
      <c r="CJ383" s="409">
        <v>-24716.549730286002</v>
      </c>
      <c r="CK383" s="409"/>
      <c r="CL383" s="409"/>
      <c r="CM383" s="409"/>
      <c r="CN383" s="409"/>
      <c r="CO383" s="409">
        <v>-49383.225300000027</v>
      </c>
      <c r="CP383" s="409">
        <v>0</v>
      </c>
      <c r="CQ383" s="409">
        <v>30</v>
      </c>
      <c r="CR383" s="409">
        <v>4045.3416890111403</v>
      </c>
      <c r="CS383" s="409">
        <v>0</v>
      </c>
      <c r="CT383" s="409">
        <v>0</v>
      </c>
      <c r="CU383" s="409">
        <v>0</v>
      </c>
      <c r="CV383" s="409">
        <v>0</v>
      </c>
      <c r="CW383" s="409"/>
      <c r="CX383" s="409"/>
      <c r="CY383" s="409"/>
      <c r="CZ383" s="409">
        <v>4335.6035056506807</v>
      </c>
      <c r="DA383" s="409">
        <v>0</v>
      </c>
      <c r="DB383" s="409">
        <v>0</v>
      </c>
      <c r="DC383" s="409"/>
      <c r="DD383" s="409"/>
      <c r="DE383" s="409">
        <v>0</v>
      </c>
      <c r="DF383" s="409">
        <v>0</v>
      </c>
      <c r="DG383" s="409">
        <v>23.263563078757386</v>
      </c>
      <c r="DH383" s="409">
        <v>0</v>
      </c>
      <c r="DI383" s="409">
        <v>-864.05999777568104</v>
      </c>
      <c r="DJ383" s="409"/>
      <c r="DK383" s="409">
        <v>0</v>
      </c>
      <c r="DL383" s="409">
        <v>0</v>
      </c>
      <c r="DM383" s="409"/>
      <c r="DN383" s="409">
        <v>0</v>
      </c>
      <c r="DO383" s="409">
        <v>-126.33744972316117</v>
      </c>
      <c r="DP383" s="409">
        <v>-14.781659326338769</v>
      </c>
      <c r="DQ383" s="409">
        <v>0</v>
      </c>
      <c r="DR383" s="409">
        <v>691.65372710687302</v>
      </c>
      <c r="DS383" s="409"/>
      <c r="DT383" s="409"/>
      <c r="DU383" s="409"/>
      <c r="DV383" s="409">
        <v>336116.0181664413</v>
      </c>
      <c r="DW383" s="409">
        <v>0</v>
      </c>
      <c r="DX383" s="409">
        <v>0</v>
      </c>
      <c r="DY383" s="409">
        <v>-49383.225300000049</v>
      </c>
      <c r="DZ383" s="409"/>
      <c r="EA383" s="409">
        <v>0</v>
      </c>
      <c r="EB383" s="409"/>
      <c r="EC383" s="409">
        <v>-53426.643290720822</v>
      </c>
      <c r="ED383" s="409"/>
      <c r="EE383" s="409">
        <v>0</v>
      </c>
      <c r="EF383" s="409">
        <v>0</v>
      </c>
      <c r="EG383" s="409"/>
      <c r="EH383" s="409">
        <v>0</v>
      </c>
      <c r="EI383" s="409">
        <v>0</v>
      </c>
      <c r="EJ383" s="409">
        <v>0</v>
      </c>
      <c r="EK383" s="409">
        <v>0</v>
      </c>
      <c r="EL383" s="409">
        <v>0</v>
      </c>
      <c r="EM383" s="409"/>
      <c r="EN383" s="409"/>
      <c r="EO383" s="409">
        <v>0</v>
      </c>
      <c r="EP383" s="409">
        <v>0</v>
      </c>
      <c r="EQ383" s="409"/>
      <c r="ER383" s="409">
        <v>0</v>
      </c>
      <c r="ES383" s="409"/>
      <c r="ET383" s="409">
        <v>0</v>
      </c>
      <c r="EU383" s="409"/>
      <c r="EV383" s="409">
        <v>210</v>
      </c>
      <c r="EW383" s="409"/>
      <c r="EX383" s="409"/>
      <c r="EY383" s="409"/>
      <c r="EZ383" s="409"/>
      <c r="FA383" s="409">
        <v>0</v>
      </c>
      <c r="FB383" s="409"/>
      <c r="FC383" s="409"/>
      <c r="FD383" s="409"/>
      <c r="FE383" s="409"/>
      <c r="FF383" s="409">
        <v>0</v>
      </c>
      <c r="FG383" s="409">
        <v>0</v>
      </c>
      <c r="FH383" s="409">
        <v>0</v>
      </c>
      <c r="FI383" s="409">
        <v>0</v>
      </c>
    </row>
    <row r="384" spans="1:165">
      <c r="A384" s="409">
        <v>382</v>
      </c>
      <c r="B384" s="409" t="s">
        <v>1035</v>
      </c>
      <c r="C384" s="409" t="s">
        <v>2246</v>
      </c>
      <c r="D384" s="409" t="s">
        <v>595</v>
      </c>
      <c r="E384" s="409" t="s">
        <v>969</v>
      </c>
      <c r="F384" s="409" t="s">
        <v>1323</v>
      </c>
      <c r="G384" s="409" t="s">
        <v>2261</v>
      </c>
      <c r="H384" s="409" t="s">
        <v>1323</v>
      </c>
      <c r="I384" s="409" t="s">
        <v>2234</v>
      </c>
      <c r="J384" s="409" t="s">
        <v>2262</v>
      </c>
      <c r="K384" s="838">
        <v>44501</v>
      </c>
      <c r="L384" s="409">
        <v>0</v>
      </c>
      <c r="M384" s="409">
        <v>0</v>
      </c>
      <c r="N384" s="409">
        <v>2901.7640000000001</v>
      </c>
      <c r="O384" s="409">
        <v>2901.7640000000001</v>
      </c>
      <c r="P384" s="409">
        <v>0</v>
      </c>
      <c r="Q384" s="409">
        <v>0</v>
      </c>
      <c r="R384" s="409"/>
      <c r="S384" s="409">
        <v>64.400000000000006</v>
      </c>
      <c r="T384" s="409"/>
      <c r="U384" s="409"/>
      <c r="V384" s="409">
        <v>186873.60160000002</v>
      </c>
      <c r="W384" s="409">
        <v>186873.60160000002</v>
      </c>
      <c r="X384" s="409">
        <v>176108.05716</v>
      </c>
      <c r="Y384" s="409">
        <v>0</v>
      </c>
      <c r="Z384" s="409">
        <v>152417.29735621269</v>
      </c>
      <c r="AA384" s="409">
        <v>0</v>
      </c>
      <c r="AB384" s="409">
        <v>0</v>
      </c>
      <c r="AC384" s="409">
        <v>0</v>
      </c>
      <c r="AD384" s="409">
        <v>0</v>
      </c>
      <c r="AE384" s="409">
        <v>0</v>
      </c>
      <c r="AF384" s="409"/>
      <c r="AG384" s="409"/>
      <c r="AH384" s="409"/>
      <c r="AI384" s="409">
        <v>0</v>
      </c>
      <c r="AJ384" s="409">
        <v>0</v>
      </c>
      <c r="AK384" s="409">
        <v>0</v>
      </c>
      <c r="AL384" s="409">
        <v>27092.461312223517</v>
      </c>
      <c r="AM384" s="409"/>
      <c r="AN384" s="409">
        <v>2518.9862465588794</v>
      </c>
      <c r="AO384" s="409">
        <v>0</v>
      </c>
      <c r="AP384" s="409">
        <v>0</v>
      </c>
      <c r="AQ384" s="409">
        <v>0</v>
      </c>
      <c r="AR384" s="409">
        <v>0</v>
      </c>
      <c r="AS384" s="409"/>
      <c r="AT384" s="409"/>
      <c r="AU384" s="409">
        <v>0</v>
      </c>
      <c r="AV384" s="409">
        <v>0</v>
      </c>
      <c r="AW384" s="409">
        <v>0</v>
      </c>
      <c r="AX384" s="409"/>
      <c r="AY384" s="409"/>
      <c r="AZ384" s="409">
        <v>0</v>
      </c>
      <c r="BA384" s="409"/>
      <c r="BB384" s="409">
        <v>0</v>
      </c>
      <c r="BC384" s="409">
        <v>0</v>
      </c>
      <c r="BD384" s="409">
        <v>0</v>
      </c>
      <c r="BE384" s="409">
        <v>0</v>
      </c>
      <c r="BF384" s="409"/>
      <c r="BG384" s="409">
        <v>4855.5967786171304</v>
      </c>
      <c r="BH384" s="409">
        <v>0</v>
      </c>
      <c r="BI384" s="409">
        <v>0</v>
      </c>
      <c r="BJ384" s="409">
        <v>0</v>
      </c>
      <c r="BK384" s="409">
        <v>0</v>
      </c>
      <c r="BL384" s="409">
        <v>0</v>
      </c>
      <c r="BM384" s="409"/>
      <c r="BN384" s="409"/>
      <c r="BO384" s="409"/>
      <c r="BP384" s="409"/>
      <c r="BQ384" s="409"/>
      <c r="BR384" s="409"/>
      <c r="BS384" s="409"/>
      <c r="BT384" s="409"/>
      <c r="BU384" s="409"/>
      <c r="BV384" s="409">
        <v>4855.5967786171304</v>
      </c>
      <c r="BW384" s="409"/>
      <c r="BX384" s="409"/>
      <c r="BY384" s="409"/>
      <c r="BZ384" s="409"/>
      <c r="CA384" s="409"/>
      <c r="CB384" s="409"/>
      <c r="CC384" s="409"/>
      <c r="CD384" s="409"/>
      <c r="CE384" s="409"/>
      <c r="CF384" s="409"/>
      <c r="CG384" s="409"/>
      <c r="CH384" s="409"/>
      <c r="CI384" s="409">
        <v>176107.8144</v>
      </c>
      <c r="CJ384" s="409">
        <v>-10765.817200000049</v>
      </c>
      <c r="CK384" s="409"/>
      <c r="CL384" s="409"/>
      <c r="CM384" s="409"/>
      <c r="CN384" s="409"/>
      <c r="CO384" s="409">
        <v>-10765.544440000023</v>
      </c>
      <c r="CP384" s="409">
        <v>0</v>
      </c>
      <c r="CQ384" s="409">
        <v>30</v>
      </c>
      <c r="CR384" s="409">
        <v>-10770.682037414721</v>
      </c>
      <c r="CS384" s="409">
        <v>0</v>
      </c>
      <c r="CT384" s="409">
        <v>0</v>
      </c>
      <c r="CU384" s="409">
        <v>0</v>
      </c>
      <c r="CV384" s="409">
        <v>0</v>
      </c>
      <c r="CW384" s="409"/>
      <c r="CX384" s="409"/>
      <c r="CY384" s="409"/>
      <c r="CZ384" s="409">
        <v>0</v>
      </c>
      <c r="DA384" s="409">
        <v>0</v>
      </c>
      <c r="DB384" s="409">
        <v>0</v>
      </c>
      <c r="DC384" s="409"/>
      <c r="DD384" s="409"/>
      <c r="DE384" s="409">
        <v>0</v>
      </c>
      <c r="DF384" s="409">
        <v>0</v>
      </c>
      <c r="DG384" s="409">
        <v>261.56964116920972</v>
      </c>
      <c r="DH384" s="409">
        <v>0</v>
      </c>
      <c r="DI384" s="409">
        <v>-9715.2728841108328</v>
      </c>
      <c r="DJ384" s="409"/>
      <c r="DK384" s="409">
        <v>0</v>
      </c>
      <c r="DL384" s="409">
        <v>0</v>
      </c>
      <c r="DM384" s="409"/>
      <c r="DN384" s="409">
        <v>0</v>
      </c>
      <c r="DO384" s="409">
        <v>-1420.5064494396283</v>
      </c>
      <c r="DP384" s="409">
        <v>-166.20125269660412</v>
      </c>
      <c r="DQ384" s="409">
        <v>0</v>
      </c>
      <c r="DR384" s="409">
        <v>269.72890766311241</v>
      </c>
      <c r="DS384" s="409"/>
      <c r="DT384" s="409"/>
      <c r="DU384" s="409"/>
      <c r="DV384" s="409">
        <v>0</v>
      </c>
      <c r="DW384" s="409">
        <v>0</v>
      </c>
      <c r="DX384" s="409">
        <v>0</v>
      </c>
      <c r="DY384" s="409">
        <v>-10765.544440000027</v>
      </c>
      <c r="DZ384" s="409"/>
      <c r="EA384" s="409">
        <v>0</v>
      </c>
      <c r="EB384" s="409"/>
      <c r="EC384" s="409">
        <v>0</v>
      </c>
      <c r="ED384" s="409"/>
      <c r="EE384" s="409">
        <v>0</v>
      </c>
      <c r="EF384" s="409">
        <v>0</v>
      </c>
      <c r="EG384" s="409"/>
      <c r="EH384" s="409">
        <v>0</v>
      </c>
      <c r="EI384" s="409">
        <v>0</v>
      </c>
      <c r="EJ384" s="409">
        <v>0</v>
      </c>
      <c r="EK384" s="409">
        <v>0</v>
      </c>
      <c r="EL384" s="409">
        <v>0</v>
      </c>
      <c r="EM384" s="409"/>
      <c r="EN384" s="409"/>
      <c r="EO384" s="409">
        <v>0</v>
      </c>
      <c r="EP384" s="409">
        <v>0</v>
      </c>
      <c r="EQ384" s="409"/>
      <c r="ER384" s="409">
        <v>0</v>
      </c>
      <c r="ES384" s="409"/>
      <c r="ET384" s="409">
        <v>0</v>
      </c>
      <c r="EU384" s="409"/>
      <c r="EV384" s="409">
        <v>210</v>
      </c>
      <c r="EW384" s="409"/>
      <c r="EX384" s="409"/>
      <c r="EY384" s="409"/>
      <c r="EZ384" s="409"/>
      <c r="FA384" s="409">
        <v>0</v>
      </c>
      <c r="FB384" s="409"/>
      <c r="FC384" s="409"/>
      <c r="FD384" s="409"/>
      <c r="FE384" s="409"/>
      <c r="FF384" s="409">
        <v>0</v>
      </c>
      <c r="FG384" s="409">
        <v>0</v>
      </c>
      <c r="FH384" s="409">
        <v>0</v>
      </c>
      <c r="FI384" s="409">
        <v>0</v>
      </c>
    </row>
    <row r="385" spans="1:165">
      <c r="A385" s="409">
        <v>383</v>
      </c>
      <c r="B385" s="409" t="s">
        <v>1035</v>
      </c>
      <c r="C385" s="409" t="s">
        <v>2246</v>
      </c>
      <c r="D385" s="409" t="s">
        <v>595</v>
      </c>
      <c r="E385" s="409" t="s">
        <v>969</v>
      </c>
      <c r="F385" s="409" t="s">
        <v>1323</v>
      </c>
      <c r="G385" s="409" t="s">
        <v>2261</v>
      </c>
      <c r="H385" s="409" t="s">
        <v>1323</v>
      </c>
      <c r="I385" s="409" t="s">
        <v>1323</v>
      </c>
      <c r="J385" s="409" t="s">
        <v>2262</v>
      </c>
      <c r="K385" s="838">
        <v>44501</v>
      </c>
      <c r="L385" s="409">
        <v>9540</v>
      </c>
      <c r="M385" s="409">
        <v>4773.8446199999998</v>
      </c>
      <c r="N385" s="409">
        <v>0</v>
      </c>
      <c r="O385" s="409">
        <v>0</v>
      </c>
      <c r="P385" s="409">
        <v>0</v>
      </c>
      <c r="Q385" s="409">
        <v>0</v>
      </c>
      <c r="R385" s="409">
        <v>33.6</v>
      </c>
      <c r="S385" s="409"/>
      <c r="T385" s="409"/>
      <c r="U385" s="409">
        <v>320544</v>
      </c>
      <c r="V385" s="409"/>
      <c r="W385" s="409">
        <v>320544</v>
      </c>
      <c r="X385" s="409">
        <v>302990.40000000002</v>
      </c>
      <c r="Y385" s="409">
        <v>0</v>
      </c>
      <c r="Z385" s="409">
        <v>0</v>
      </c>
      <c r="AA385" s="409">
        <v>0</v>
      </c>
      <c r="AB385" s="409">
        <v>0</v>
      </c>
      <c r="AC385" s="409">
        <v>0</v>
      </c>
      <c r="AD385" s="409">
        <v>170246.21189754215</v>
      </c>
      <c r="AE385" s="409">
        <v>150304.13112434722</v>
      </c>
      <c r="AF385" s="409"/>
      <c r="AG385" s="409"/>
      <c r="AH385" s="409"/>
      <c r="AI385" s="409">
        <v>0</v>
      </c>
      <c r="AJ385" s="409">
        <v>0</v>
      </c>
      <c r="AK385" s="409">
        <v>0</v>
      </c>
      <c r="AL385" s="409">
        <v>0</v>
      </c>
      <c r="AM385" s="409"/>
      <c r="AN385" s="409">
        <v>0</v>
      </c>
      <c r="AO385" s="409">
        <v>0</v>
      </c>
      <c r="AP385" s="409">
        <v>0</v>
      </c>
      <c r="AQ385" s="409">
        <v>0</v>
      </c>
      <c r="AR385" s="409">
        <v>0</v>
      </c>
      <c r="AS385" s="409"/>
      <c r="AT385" s="409"/>
      <c r="AU385" s="409">
        <v>0</v>
      </c>
      <c r="AV385" s="409">
        <v>0</v>
      </c>
      <c r="AW385" s="409">
        <v>0</v>
      </c>
      <c r="AX385" s="409"/>
      <c r="AY385" s="409"/>
      <c r="AZ385" s="409">
        <v>0</v>
      </c>
      <c r="BA385" s="409"/>
      <c r="BB385" s="409">
        <v>0</v>
      </c>
      <c r="BC385" s="409">
        <v>0</v>
      </c>
      <c r="BD385" s="409">
        <v>0</v>
      </c>
      <c r="BE385" s="409">
        <v>0</v>
      </c>
      <c r="BF385" s="409"/>
      <c r="BG385" s="409">
        <v>0</v>
      </c>
      <c r="BH385" s="409">
        <v>0</v>
      </c>
      <c r="BI385" s="409">
        <v>0</v>
      </c>
      <c r="BJ385" s="409">
        <v>0</v>
      </c>
      <c r="BK385" s="409">
        <v>185690.69</v>
      </c>
      <c r="BL385" s="409">
        <v>3</v>
      </c>
      <c r="BM385" s="409"/>
      <c r="BN385" s="409">
        <v>151373.09486880002</v>
      </c>
      <c r="BO385" s="409"/>
      <c r="BP385" s="409"/>
      <c r="BQ385" s="409"/>
      <c r="BR385" s="409"/>
      <c r="BS385" s="409"/>
      <c r="BT385" s="409"/>
      <c r="BU385" s="409"/>
      <c r="BV385" s="409">
        <v>0</v>
      </c>
      <c r="BW385" s="409"/>
      <c r="BX385" s="409"/>
      <c r="BY385" s="409"/>
      <c r="BZ385" s="409"/>
      <c r="CA385" s="409"/>
      <c r="CB385" s="409"/>
      <c r="CC385" s="409"/>
      <c r="CD385" s="409"/>
      <c r="CE385" s="409"/>
      <c r="CF385" s="409"/>
      <c r="CG385" s="409"/>
      <c r="CH385" s="409"/>
      <c r="CI385" s="409">
        <v>151617.15840000001</v>
      </c>
      <c r="CJ385" s="409">
        <v>-8784.0508320000081</v>
      </c>
      <c r="CK385" s="409"/>
      <c r="CL385" s="409"/>
      <c r="CM385" s="409"/>
      <c r="CN385" s="409"/>
      <c r="CO385" s="409">
        <v>-17553.599999999999</v>
      </c>
      <c r="CP385" s="409">
        <v>0</v>
      </c>
      <c r="CQ385" s="409">
        <v>30</v>
      </c>
      <c r="CR385" s="409">
        <v>6298.4230622142495</v>
      </c>
      <c r="CS385" s="409">
        <v>0</v>
      </c>
      <c r="CT385" s="409">
        <v>0</v>
      </c>
      <c r="CU385" s="409">
        <v>0</v>
      </c>
      <c r="CV385" s="409">
        <v>0</v>
      </c>
      <c r="CW385" s="409"/>
      <c r="CX385" s="409"/>
      <c r="CY385" s="409"/>
      <c r="CZ385" s="409">
        <v>5835.7749179621169</v>
      </c>
      <c r="DA385" s="409">
        <v>0</v>
      </c>
      <c r="DB385" s="409">
        <v>0</v>
      </c>
      <c r="DC385" s="409"/>
      <c r="DD385" s="409"/>
      <c r="DE385" s="409">
        <v>0</v>
      </c>
      <c r="DF385" s="409">
        <v>0</v>
      </c>
      <c r="DG385" s="409">
        <v>0</v>
      </c>
      <c r="DH385" s="409">
        <v>0</v>
      </c>
      <c r="DI385" s="409">
        <v>0</v>
      </c>
      <c r="DJ385" s="409"/>
      <c r="DK385" s="409">
        <v>0</v>
      </c>
      <c r="DL385" s="409">
        <v>0</v>
      </c>
      <c r="DM385" s="409"/>
      <c r="DN385" s="409">
        <v>0</v>
      </c>
      <c r="DO385" s="409">
        <v>0</v>
      </c>
      <c r="DP385" s="409">
        <v>0</v>
      </c>
      <c r="DQ385" s="409">
        <v>0</v>
      </c>
      <c r="DR385" s="409">
        <v>462.64814425212649</v>
      </c>
      <c r="DS385" s="409"/>
      <c r="DT385" s="409"/>
      <c r="DU385" s="409">
        <v>150304.13112434722</v>
      </c>
      <c r="DV385" s="409"/>
      <c r="DW385" s="409">
        <v>0</v>
      </c>
      <c r="DX385" s="409">
        <v>0</v>
      </c>
      <c r="DY385" s="409">
        <v>-17553.599999999977</v>
      </c>
      <c r="DZ385" s="409"/>
      <c r="EA385" s="409">
        <v>0</v>
      </c>
      <c r="EB385" s="409"/>
      <c r="EC385" s="409">
        <v>-23891.289806741668</v>
      </c>
      <c r="ED385" s="409"/>
      <c r="EE385" s="409">
        <v>0</v>
      </c>
      <c r="EF385" s="409">
        <v>0</v>
      </c>
      <c r="EG385" s="409"/>
      <c r="EH385" s="409">
        <v>0</v>
      </c>
      <c r="EI385" s="409">
        <v>0</v>
      </c>
      <c r="EJ385" s="409">
        <v>0</v>
      </c>
      <c r="EK385" s="409">
        <v>0</v>
      </c>
      <c r="EL385" s="409">
        <v>0</v>
      </c>
      <c r="EM385" s="409"/>
      <c r="EN385" s="409"/>
      <c r="EO385" s="409">
        <v>0</v>
      </c>
      <c r="EP385" s="409">
        <v>0</v>
      </c>
      <c r="EQ385" s="409"/>
      <c r="ER385" s="409">
        <v>0</v>
      </c>
      <c r="ES385" s="409"/>
      <c r="ET385" s="409">
        <v>0</v>
      </c>
      <c r="EU385" s="409"/>
      <c r="EV385" s="409">
        <v>210</v>
      </c>
      <c r="EW385" s="409"/>
      <c r="EX385" s="409"/>
      <c r="EY385" s="409"/>
      <c r="EZ385" s="409"/>
      <c r="FA385" s="409">
        <v>0</v>
      </c>
      <c r="FB385" s="409"/>
      <c r="FC385" s="409"/>
      <c r="FD385" s="409"/>
      <c r="FE385" s="409"/>
      <c r="FF385" s="409">
        <v>0</v>
      </c>
      <c r="FG385" s="409">
        <v>0</v>
      </c>
      <c r="FH385" s="409">
        <v>0</v>
      </c>
      <c r="FI385" s="409">
        <v>0</v>
      </c>
    </row>
    <row r="386" spans="1:165">
      <c r="A386" s="409">
        <v>384</v>
      </c>
      <c r="B386" s="409" t="s">
        <v>1035</v>
      </c>
      <c r="C386" s="409" t="s">
        <v>2246</v>
      </c>
      <c r="D386" s="409" t="s">
        <v>595</v>
      </c>
      <c r="E386" s="409" t="s">
        <v>969</v>
      </c>
      <c r="F386" s="409" t="s">
        <v>1323</v>
      </c>
      <c r="G386" s="409" t="s">
        <v>2261</v>
      </c>
      <c r="H386" s="409" t="s">
        <v>1323</v>
      </c>
      <c r="I386" s="409" t="s">
        <v>972</v>
      </c>
      <c r="J386" s="409" t="s">
        <v>2262</v>
      </c>
      <c r="K386" s="838">
        <v>44531</v>
      </c>
      <c r="L386" s="409">
        <v>0</v>
      </c>
      <c r="M386" s="409">
        <v>0</v>
      </c>
      <c r="N386" s="409">
        <v>274.44299999999998</v>
      </c>
      <c r="O386" s="409">
        <v>137.00021935353001</v>
      </c>
      <c r="P386" s="409">
        <v>0</v>
      </c>
      <c r="Q386" s="409">
        <v>0</v>
      </c>
      <c r="R386" s="409"/>
      <c r="S386" s="409">
        <v>1856.88</v>
      </c>
      <c r="T386" s="409"/>
      <c r="U386" s="409"/>
      <c r="V386" s="409">
        <v>509607.71784</v>
      </c>
      <c r="W386" s="409">
        <v>509607.71784</v>
      </c>
      <c r="X386" s="409">
        <v>457093.04978999996</v>
      </c>
      <c r="Y386" s="409">
        <v>0</v>
      </c>
      <c r="Z386" s="409">
        <v>14415.321279859794</v>
      </c>
      <c r="AA386" s="409">
        <v>0</v>
      </c>
      <c r="AB386" s="409">
        <v>0</v>
      </c>
      <c r="AC386" s="409">
        <v>0</v>
      </c>
      <c r="AD386" s="409">
        <v>134502.28319514322</v>
      </c>
      <c r="AE386" s="409">
        <v>357429.4917569597</v>
      </c>
      <c r="AF386" s="409"/>
      <c r="AG386" s="409"/>
      <c r="AH386" s="409"/>
      <c r="AI386" s="409">
        <v>0</v>
      </c>
      <c r="AJ386" s="409">
        <v>0</v>
      </c>
      <c r="AK386" s="409">
        <v>0</v>
      </c>
      <c r="AL386" s="409">
        <v>2562.3504736810291</v>
      </c>
      <c r="AM386" s="409"/>
      <c r="AN386" s="409">
        <v>238.24065033006076</v>
      </c>
      <c r="AO386" s="409">
        <v>0</v>
      </c>
      <c r="AP386" s="409">
        <v>0</v>
      </c>
      <c r="AQ386" s="409">
        <v>0</v>
      </c>
      <c r="AR386" s="409">
        <v>0</v>
      </c>
      <c r="AS386" s="409"/>
      <c r="AT386" s="409"/>
      <c r="AU386" s="409">
        <v>0</v>
      </c>
      <c r="AV386" s="409">
        <v>0</v>
      </c>
      <c r="AW386" s="409">
        <v>0</v>
      </c>
      <c r="AX386" s="409"/>
      <c r="AY386" s="409"/>
      <c r="AZ386" s="409">
        <v>0</v>
      </c>
      <c r="BA386" s="409"/>
      <c r="BB386" s="409">
        <v>0</v>
      </c>
      <c r="BC386" s="409">
        <v>0</v>
      </c>
      <c r="BD386" s="409">
        <v>0</v>
      </c>
      <c r="BE386" s="409">
        <v>0</v>
      </c>
      <c r="BF386" s="409"/>
      <c r="BG386" s="409">
        <v>459.23257257103643</v>
      </c>
      <c r="BH386" s="409">
        <v>0</v>
      </c>
      <c r="BI386" s="409">
        <v>0</v>
      </c>
      <c r="BJ386" s="409">
        <v>0</v>
      </c>
      <c r="BK386" s="409">
        <v>0</v>
      </c>
      <c r="BL386" s="409">
        <v>0</v>
      </c>
      <c r="BM386" s="409"/>
      <c r="BN386" s="409">
        <v>228915.07445011512</v>
      </c>
      <c r="BO386" s="409"/>
      <c r="BP386" s="409"/>
      <c r="BQ386" s="409"/>
      <c r="BR386" s="409"/>
      <c r="BS386" s="409"/>
      <c r="BT386" s="409"/>
      <c r="BU386" s="409"/>
      <c r="BV386" s="409">
        <v>459.23257257103643</v>
      </c>
      <c r="BW386" s="409"/>
      <c r="BX386" s="409"/>
      <c r="BY386" s="409"/>
      <c r="BZ386" s="409"/>
      <c r="CA386" s="409"/>
      <c r="CB386" s="409"/>
      <c r="CC386" s="409"/>
      <c r="CD386" s="409"/>
      <c r="CE386" s="409"/>
      <c r="CF386" s="409"/>
      <c r="CG386" s="409"/>
      <c r="CH386" s="409"/>
      <c r="CI386" s="409">
        <v>228177.61</v>
      </c>
      <c r="CJ386" s="409">
        <v>-26215.387313182873</v>
      </c>
      <c r="CK386" s="409"/>
      <c r="CL386" s="409"/>
      <c r="CM386" s="409"/>
      <c r="CN386" s="409"/>
      <c r="CO386" s="409">
        <v>-52514.668050000037</v>
      </c>
      <c r="CP386" s="409">
        <v>0</v>
      </c>
      <c r="CQ386" s="409"/>
      <c r="CR386" s="409">
        <v>4301.861100741924</v>
      </c>
      <c r="CS386" s="409">
        <v>0</v>
      </c>
      <c r="CT386" s="409">
        <v>0</v>
      </c>
      <c r="CU386" s="409">
        <v>0</v>
      </c>
      <c r="CV386" s="409">
        <v>0</v>
      </c>
      <c r="CW386" s="409"/>
      <c r="CX386" s="409"/>
      <c r="CY386" s="409"/>
      <c r="CZ386" s="409">
        <v>4610.5287273665017</v>
      </c>
      <c r="DA386" s="409">
        <v>0</v>
      </c>
      <c r="DB386" s="409">
        <v>0</v>
      </c>
      <c r="DC386" s="409"/>
      <c r="DD386" s="409"/>
      <c r="DE386" s="409">
        <v>0</v>
      </c>
      <c r="DF386" s="409">
        <v>0</v>
      </c>
      <c r="DG386" s="409">
        <v>24.738730314181794</v>
      </c>
      <c r="DH386" s="409">
        <v>0</v>
      </c>
      <c r="DI386" s="409">
        <v>-918.85095966936933</v>
      </c>
      <c r="DJ386" s="409"/>
      <c r="DK386" s="409">
        <v>0</v>
      </c>
      <c r="DL386" s="409">
        <v>0</v>
      </c>
      <c r="DM386" s="409"/>
      <c r="DN386" s="409">
        <v>0</v>
      </c>
      <c r="DO386" s="409">
        <v>-134.34864155167679</v>
      </c>
      <c r="DP386" s="409">
        <v>-15.718980038974252</v>
      </c>
      <c r="DQ386" s="409">
        <v>0</v>
      </c>
      <c r="DR386" s="409">
        <v>735.51222432129646</v>
      </c>
      <c r="DS386" s="409"/>
      <c r="DT386" s="409"/>
      <c r="DU386" s="409"/>
      <c r="DV386" s="409">
        <v>357429.4917569597</v>
      </c>
      <c r="DW386" s="409">
        <v>0</v>
      </c>
      <c r="DX386" s="409">
        <v>0</v>
      </c>
      <c r="DY386" s="409">
        <v>-52514.668050000037</v>
      </c>
      <c r="DZ386" s="409"/>
      <c r="EA386" s="409">
        <v>0</v>
      </c>
      <c r="EB386" s="409"/>
      <c r="EC386" s="409">
        <v>-56814.48346870055</v>
      </c>
      <c r="ED386" s="409"/>
      <c r="EE386" s="409">
        <v>0</v>
      </c>
      <c r="EF386" s="409">
        <v>0</v>
      </c>
      <c r="EG386" s="409"/>
      <c r="EH386" s="409">
        <v>0</v>
      </c>
      <c r="EI386" s="409">
        <v>0</v>
      </c>
      <c r="EJ386" s="409">
        <v>0</v>
      </c>
      <c r="EK386" s="409">
        <v>0</v>
      </c>
      <c r="EL386" s="409">
        <v>0</v>
      </c>
      <c r="EM386" s="409"/>
      <c r="EN386" s="409"/>
      <c r="EO386" s="409">
        <v>0</v>
      </c>
      <c r="EP386" s="409">
        <v>0</v>
      </c>
      <c r="EQ386" s="409"/>
      <c r="ER386" s="409">
        <v>0</v>
      </c>
      <c r="ES386" s="409"/>
      <c r="ET386" s="409">
        <v>0</v>
      </c>
      <c r="EU386" s="409"/>
      <c r="EV386" s="409">
        <v>210</v>
      </c>
      <c r="EW386" s="409"/>
      <c r="EX386" s="409"/>
      <c r="EY386" s="409"/>
      <c r="EZ386" s="409"/>
      <c r="FA386" s="409">
        <v>0</v>
      </c>
      <c r="FB386" s="409"/>
      <c r="FC386" s="409"/>
      <c r="FD386" s="409"/>
      <c r="FE386" s="409"/>
      <c r="FF386" s="409">
        <v>0</v>
      </c>
      <c r="FG386" s="409">
        <v>0</v>
      </c>
      <c r="FH386" s="409">
        <v>0</v>
      </c>
      <c r="FI386" s="409">
        <v>0</v>
      </c>
    </row>
    <row r="387" spans="1:165">
      <c r="A387" s="409">
        <v>385</v>
      </c>
      <c r="B387" s="409" t="s">
        <v>1035</v>
      </c>
      <c r="C387" s="409" t="s">
        <v>2246</v>
      </c>
      <c r="D387" s="409" t="s">
        <v>595</v>
      </c>
      <c r="E387" s="409" t="s">
        <v>969</v>
      </c>
      <c r="F387" s="409" t="s">
        <v>1323</v>
      </c>
      <c r="G387" s="409" t="s">
        <v>2261</v>
      </c>
      <c r="H387" s="409" t="s">
        <v>1323</v>
      </c>
      <c r="I387" s="409" t="s">
        <v>2234</v>
      </c>
      <c r="J387" s="409" t="s">
        <v>2262</v>
      </c>
      <c r="K387" s="838">
        <v>44531</v>
      </c>
      <c r="L387" s="409">
        <v>0</v>
      </c>
      <c r="M387" s="409">
        <v>0</v>
      </c>
      <c r="N387" s="409">
        <v>2762.761</v>
      </c>
      <c r="O387" s="409">
        <v>2762.761</v>
      </c>
      <c r="P387" s="409">
        <v>0</v>
      </c>
      <c r="Q387" s="409">
        <v>0</v>
      </c>
      <c r="R387" s="409"/>
      <c r="S387" s="409">
        <v>64.400000000000006</v>
      </c>
      <c r="T387" s="409"/>
      <c r="U387" s="409"/>
      <c r="V387" s="409">
        <v>177921.80840000001</v>
      </c>
      <c r="W387" s="409">
        <v>177921.80840000001</v>
      </c>
      <c r="X387" s="409">
        <v>167671.96508999998</v>
      </c>
      <c r="Y387" s="409">
        <v>0</v>
      </c>
      <c r="Z387" s="409">
        <v>145116.06211295869</v>
      </c>
      <c r="AA387" s="409">
        <v>0</v>
      </c>
      <c r="AB387" s="409">
        <v>0</v>
      </c>
      <c r="AC387" s="409">
        <v>0</v>
      </c>
      <c r="AD387" s="409">
        <v>0</v>
      </c>
      <c r="AE387" s="409">
        <v>0</v>
      </c>
      <c r="AF387" s="409"/>
      <c r="AG387" s="409"/>
      <c r="AH387" s="409"/>
      <c r="AI387" s="409">
        <v>0</v>
      </c>
      <c r="AJ387" s="409">
        <v>0</v>
      </c>
      <c r="AK387" s="409">
        <v>0</v>
      </c>
      <c r="AL387" s="409">
        <v>25794.653013622043</v>
      </c>
      <c r="AM387" s="409"/>
      <c r="AN387" s="409">
        <v>2398.3194227818858</v>
      </c>
      <c r="AO387" s="409">
        <v>0</v>
      </c>
      <c r="AP387" s="409">
        <v>0</v>
      </c>
      <c r="AQ387" s="409">
        <v>0</v>
      </c>
      <c r="AR387" s="409">
        <v>0</v>
      </c>
      <c r="AS387" s="409"/>
      <c r="AT387" s="409"/>
      <c r="AU387" s="409">
        <v>0</v>
      </c>
      <c r="AV387" s="409">
        <v>0</v>
      </c>
      <c r="AW387" s="409">
        <v>0</v>
      </c>
      <c r="AX387" s="409"/>
      <c r="AY387" s="409"/>
      <c r="AZ387" s="409">
        <v>0</v>
      </c>
      <c r="BA387" s="409"/>
      <c r="BB387" s="409">
        <v>0</v>
      </c>
      <c r="BC387" s="409">
        <v>0</v>
      </c>
      <c r="BD387" s="409">
        <v>0</v>
      </c>
      <c r="BE387" s="409">
        <v>0</v>
      </c>
      <c r="BF387" s="409"/>
      <c r="BG387" s="409">
        <v>4622.9994622888153</v>
      </c>
      <c r="BH387" s="409">
        <v>0</v>
      </c>
      <c r="BI387" s="409">
        <v>0</v>
      </c>
      <c r="BJ387" s="409">
        <v>0</v>
      </c>
      <c r="BK387" s="409">
        <v>0</v>
      </c>
      <c r="BL387" s="409">
        <v>0</v>
      </c>
      <c r="BM387" s="409"/>
      <c r="BN387" s="409"/>
      <c r="BO387" s="409"/>
      <c r="BP387" s="409"/>
      <c r="BQ387" s="409"/>
      <c r="BR387" s="409"/>
      <c r="BS387" s="409"/>
      <c r="BT387" s="409"/>
      <c r="BU387" s="409"/>
      <c r="BV387" s="409">
        <v>4622.9994622888153</v>
      </c>
      <c r="BW387" s="409"/>
      <c r="BX387" s="409"/>
      <c r="BY387" s="409"/>
      <c r="BZ387" s="409"/>
      <c r="CA387" s="409"/>
      <c r="CB387" s="409"/>
      <c r="CC387" s="409"/>
      <c r="CD387" s="409"/>
      <c r="CE387" s="409"/>
      <c r="CF387" s="409"/>
      <c r="CG387" s="409"/>
      <c r="CH387" s="409"/>
      <c r="CI387" s="409">
        <v>167671.9044</v>
      </c>
      <c r="CJ387" s="409">
        <v>-10249.934000000037</v>
      </c>
      <c r="CK387" s="409"/>
      <c r="CL387" s="409"/>
      <c r="CM387" s="409"/>
      <c r="CN387" s="409"/>
      <c r="CO387" s="409">
        <v>-10249.843310000022</v>
      </c>
      <c r="CP387" s="409">
        <v>0</v>
      </c>
      <c r="CQ387" s="409"/>
      <c r="CR387" s="409">
        <v>-10254.734801441431</v>
      </c>
      <c r="CS387" s="409">
        <v>0</v>
      </c>
      <c r="CT387" s="409">
        <v>0</v>
      </c>
      <c r="CU387" s="409">
        <v>0</v>
      </c>
      <c r="CV387" s="409">
        <v>0</v>
      </c>
      <c r="CW387" s="409"/>
      <c r="CX387" s="409"/>
      <c r="CY387" s="409"/>
      <c r="CZ387" s="409">
        <v>0</v>
      </c>
      <c r="DA387" s="409">
        <v>0</v>
      </c>
      <c r="DB387" s="409">
        <v>0</v>
      </c>
      <c r="DC387" s="409"/>
      <c r="DD387" s="409"/>
      <c r="DE387" s="409">
        <v>0</v>
      </c>
      <c r="DF387" s="409">
        <v>0</v>
      </c>
      <c r="DG387" s="409">
        <v>249.03968875700593</v>
      </c>
      <c r="DH387" s="409">
        <v>0</v>
      </c>
      <c r="DI387" s="409">
        <v>-9249.8828397412435</v>
      </c>
      <c r="DJ387" s="409"/>
      <c r="DK387" s="409">
        <v>0</v>
      </c>
      <c r="DL387" s="409">
        <v>0</v>
      </c>
      <c r="DM387" s="409"/>
      <c r="DN387" s="409">
        <v>0</v>
      </c>
      <c r="DO387" s="409">
        <v>-1352.4600273351934</v>
      </c>
      <c r="DP387" s="409">
        <v>-158.23972559495633</v>
      </c>
      <c r="DQ387" s="409">
        <v>0</v>
      </c>
      <c r="DR387" s="409">
        <v>256.80810247292612</v>
      </c>
      <c r="DS387" s="409"/>
      <c r="DT387" s="409"/>
      <c r="DU387" s="409"/>
      <c r="DV387" s="409">
        <v>0</v>
      </c>
      <c r="DW387" s="409">
        <v>0</v>
      </c>
      <c r="DX387" s="409">
        <v>0</v>
      </c>
      <c r="DY387" s="409">
        <v>-10249.843310000026</v>
      </c>
      <c r="DZ387" s="409"/>
      <c r="EA387" s="409">
        <v>0</v>
      </c>
      <c r="EB387" s="409"/>
      <c r="EC387" s="409">
        <v>0</v>
      </c>
      <c r="ED387" s="409"/>
      <c r="EE387" s="409">
        <v>0</v>
      </c>
      <c r="EF387" s="409">
        <v>0</v>
      </c>
      <c r="EG387" s="409"/>
      <c r="EH387" s="409">
        <v>0</v>
      </c>
      <c r="EI387" s="409">
        <v>0</v>
      </c>
      <c r="EJ387" s="409">
        <v>0</v>
      </c>
      <c r="EK387" s="409">
        <v>0</v>
      </c>
      <c r="EL387" s="409">
        <v>0</v>
      </c>
      <c r="EM387" s="409"/>
      <c r="EN387" s="409"/>
      <c r="EO387" s="409">
        <v>0</v>
      </c>
      <c r="EP387" s="409">
        <v>0</v>
      </c>
      <c r="EQ387" s="409"/>
      <c r="ER387" s="409">
        <v>0</v>
      </c>
      <c r="ES387" s="409"/>
      <c r="ET387" s="409">
        <v>0</v>
      </c>
      <c r="EU387" s="409"/>
      <c r="EV387" s="409">
        <v>210</v>
      </c>
      <c r="EW387" s="409"/>
      <c r="EX387" s="409"/>
      <c r="EY387" s="409"/>
      <c r="EZ387" s="409"/>
      <c r="FA387" s="409">
        <v>0</v>
      </c>
      <c r="FB387" s="409"/>
      <c r="FC387" s="409"/>
      <c r="FD387" s="409"/>
      <c r="FE387" s="409"/>
      <c r="FF387" s="409">
        <v>0</v>
      </c>
      <c r="FG387" s="409">
        <v>0</v>
      </c>
      <c r="FH387" s="409">
        <v>0</v>
      </c>
      <c r="FI387" s="409">
        <v>0</v>
      </c>
    </row>
    <row r="388" spans="1:165">
      <c r="A388" s="409">
        <v>386</v>
      </c>
      <c r="B388" s="409" t="s">
        <v>1035</v>
      </c>
      <c r="C388" s="409" t="s">
        <v>2246</v>
      </c>
      <c r="D388" s="409" t="s">
        <v>595</v>
      </c>
      <c r="E388" s="409" t="s">
        <v>969</v>
      </c>
      <c r="F388" s="409" t="s">
        <v>1323</v>
      </c>
      <c r="G388" s="409" t="s">
        <v>2261</v>
      </c>
      <c r="H388" s="409" t="s">
        <v>1323</v>
      </c>
      <c r="I388" s="409" t="s">
        <v>1323</v>
      </c>
      <c r="J388" s="409" t="s">
        <v>2262</v>
      </c>
      <c r="K388" s="838">
        <v>44531</v>
      </c>
      <c r="L388" s="409">
        <v>9540</v>
      </c>
      <c r="M388" s="409">
        <v>4762.3079933999998</v>
      </c>
      <c r="N388" s="409">
        <v>0</v>
      </c>
      <c r="O388" s="409">
        <v>0</v>
      </c>
      <c r="P388" s="409">
        <v>0</v>
      </c>
      <c r="Q388" s="409">
        <v>0</v>
      </c>
      <c r="R388" s="409">
        <v>33.6</v>
      </c>
      <c r="S388" s="409"/>
      <c r="T388" s="409"/>
      <c r="U388" s="409">
        <v>320544</v>
      </c>
      <c r="V388" s="409"/>
      <c r="W388" s="409">
        <v>320544</v>
      </c>
      <c r="X388" s="409">
        <v>302990.40000000002</v>
      </c>
      <c r="Y388" s="409">
        <v>0</v>
      </c>
      <c r="Z388" s="409">
        <v>0</v>
      </c>
      <c r="AA388" s="409">
        <v>0</v>
      </c>
      <c r="AB388" s="409">
        <v>0</v>
      </c>
      <c r="AC388" s="409">
        <v>0</v>
      </c>
      <c r="AD388" s="409">
        <v>170246.21189754215</v>
      </c>
      <c r="AE388" s="409">
        <v>150304.13112434722</v>
      </c>
      <c r="AF388" s="409"/>
      <c r="AG388" s="409"/>
      <c r="AH388" s="409"/>
      <c r="AI388" s="409">
        <v>0</v>
      </c>
      <c r="AJ388" s="409">
        <v>0</v>
      </c>
      <c r="AK388" s="409">
        <v>0</v>
      </c>
      <c r="AL388" s="409">
        <v>0</v>
      </c>
      <c r="AM388" s="409"/>
      <c r="AN388" s="409">
        <v>0</v>
      </c>
      <c r="AO388" s="409">
        <v>0</v>
      </c>
      <c r="AP388" s="409">
        <v>0</v>
      </c>
      <c r="AQ388" s="409">
        <v>0</v>
      </c>
      <c r="AR388" s="409">
        <v>0</v>
      </c>
      <c r="AS388" s="409"/>
      <c r="AT388" s="409"/>
      <c r="AU388" s="409">
        <v>0</v>
      </c>
      <c r="AV388" s="409">
        <v>0</v>
      </c>
      <c r="AW388" s="409">
        <v>0</v>
      </c>
      <c r="AX388" s="409"/>
      <c r="AY388" s="409"/>
      <c r="AZ388" s="409">
        <v>0</v>
      </c>
      <c r="BA388" s="409"/>
      <c r="BB388" s="409">
        <v>0</v>
      </c>
      <c r="BC388" s="409">
        <v>0</v>
      </c>
      <c r="BD388" s="409">
        <v>0</v>
      </c>
      <c r="BE388" s="409">
        <v>0</v>
      </c>
      <c r="BF388" s="409"/>
      <c r="BG388" s="409">
        <v>0</v>
      </c>
      <c r="BH388" s="409">
        <v>0</v>
      </c>
      <c r="BI388" s="409">
        <v>0</v>
      </c>
      <c r="BJ388" s="409">
        <v>0</v>
      </c>
      <c r="BK388" s="409">
        <v>190527.93</v>
      </c>
      <c r="BL388" s="409">
        <v>3</v>
      </c>
      <c r="BM388" s="409"/>
      <c r="BN388" s="409">
        <v>151739.49812961603</v>
      </c>
      <c r="BO388" s="409"/>
      <c r="BP388" s="409"/>
      <c r="BQ388" s="409"/>
      <c r="BR388" s="409"/>
      <c r="BS388" s="409"/>
      <c r="BT388" s="409"/>
      <c r="BU388" s="409"/>
      <c r="BV388" s="409">
        <v>0</v>
      </c>
      <c r="BW388" s="409"/>
      <c r="BX388" s="409"/>
      <c r="BY388" s="409"/>
      <c r="BZ388" s="409"/>
      <c r="CA388" s="409"/>
      <c r="CB388" s="409"/>
      <c r="CC388" s="409"/>
      <c r="CD388" s="409"/>
      <c r="CE388" s="409"/>
      <c r="CF388" s="409"/>
      <c r="CG388" s="409"/>
      <c r="CH388" s="409"/>
      <c r="CI388" s="409">
        <v>151250.96560000003</v>
      </c>
      <c r="CJ388" s="409">
        <v>-8762.6129782400094</v>
      </c>
      <c r="CK388" s="409"/>
      <c r="CL388" s="409"/>
      <c r="CM388" s="409"/>
      <c r="CN388" s="409"/>
      <c r="CO388" s="409">
        <v>-17553.599999999999</v>
      </c>
      <c r="CP388" s="409">
        <v>0</v>
      </c>
      <c r="CQ388" s="409"/>
      <c r="CR388" s="409">
        <v>6298.4230622142495</v>
      </c>
      <c r="CS388" s="409">
        <v>0</v>
      </c>
      <c r="CT388" s="409">
        <v>0</v>
      </c>
      <c r="CU388" s="409">
        <v>0</v>
      </c>
      <c r="CV388" s="409">
        <v>0</v>
      </c>
      <c r="CW388" s="409"/>
      <c r="CX388" s="409"/>
      <c r="CY388" s="409"/>
      <c r="CZ388" s="409">
        <v>5835.7749179621169</v>
      </c>
      <c r="DA388" s="409">
        <v>0</v>
      </c>
      <c r="DB388" s="409">
        <v>0</v>
      </c>
      <c r="DC388" s="409"/>
      <c r="DD388" s="409"/>
      <c r="DE388" s="409">
        <v>0</v>
      </c>
      <c r="DF388" s="409">
        <v>0</v>
      </c>
      <c r="DG388" s="409">
        <v>0</v>
      </c>
      <c r="DH388" s="409">
        <v>0</v>
      </c>
      <c r="DI388" s="409">
        <v>0</v>
      </c>
      <c r="DJ388" s="409"/>
      <c r="DK388" s="409">
        <v>0</v>
      </c>
      <c r="DL388" s="409">
        <v>0</v>
      </c>
      <c r="DM388" s="409"/>
      <c r="DN388" s="409">
        <v>0</v>
      </c>
      <c r="DO388" s="409">
        <v>0</v>
      </c>
      <c r="DP388" s="409">
        <v>0</v>
      </c>
      <c r="DQ388" s="409">
        <v>0</v>
      </c>
      <c r="DR388" s="409">
        <v>462.64814425212649</v>
      </c>
      <c r="DS388" s="409"/>
      <c r="DT388" s="409"/>
      <c r="DU388" s="409">
        <v>150304.13112434722</v>
      </c>
      <c r="DV388" s="409"/>
      <c r="DW388" s="409">
        <v>0</v>
      </c>
      <c r="DX388" s="409">
        <v>0</v>
      </c>
      <c r="DY388" s="409">
        <v>-17553.599999999977</v>
      </c>
      <c r="DZ388" s="409"/>
      <c r="EA388" s="409">
        <v>0</v>
      </c>
      <c r="EB388" s="409"/>
      <c r="EC388" s="409">
        <v>-23891.289806741668</v>
      </c>
      <c r="ED388" s="409"/>
      <c r="EE388" s="409">
        <v>0</v>
      </c>
      <c r="EF388" s="409">
        <v>0</v>
      </c>
      <c r="EG388" s="409"/>
      <c r="EH388" s="409">
        <v>0</v>
      </c>
      <c r="EI388" s="409">
        <v>0</v>
      </c>
      <c r="EJ388" s="409">
        <v>0</v>
      </c>
      <c r="EK388" s="409">
        <v>0</v>
      </c>
      <c r="EL388" s="409">
        <v>0</v>
      </c>
      <c r="EM388" s="409"/>
      <c r="EN388" s="409"/>
      <c r="EO388" s="409">
        <v>0</v>
      </c>
      <c r="EP388" s="409">
        <v>0</v>
      </c>
      <c r="EQ388" s="409"/>
      <c r="ER388" s="409">
        <v>0</v>
      </c>
      <c r="ES388" s="409"/>
      <c r="ET388" s="409">
        <v>0</v>
      </c>
      <c r="EU388" s="409"/>
      <c r="EV388" s="409">
        <v>210</v>
      </c>
      <c r="EW388" s="409"/>
      <c r="EX388" s="409"/>
      <c r="EY388" s="409"/>
      <c r="EZ388" s="409"/>
      <c r="FA388" s="409">
        <v>0</v>
      </c>
      <c r="FB388" s="409"/>
      <c r="FC388" s="409"/>
      <c r="FD388" s="409"/>
      <c r="FE388" s="409"/>
      <c r="FF388" s="409">
        <v>0</v>
      </c>
      <c r="FG388" s="409">
        <v>0</v>
      </c>
      <c r="FH388" s="409">
        <v>0</v>
      </c>
      <c r="FI388" s="409">
        <v>0</v>
      </c>
    </row>
    <row r="389" spans="1:165">
      <c r="A389" s="409">
        <v>387</v>
      </c>
      <c r="B389" s="409" t="s">
        <v>1035</v>
      </c>
      <c r="C389" s="409" t="s">
        <v>2246</v>
      </c>
      <c r="D389" s="409" t="s">
        <v>595</v>
      </c>
      <c r="E389" s="409" t="s">
        <v>969</v>
      </c>
      <c r="F389" s="409" t="s">
        <v>1323</v>
      </c>
      <c r="G389" s="409" t="s">
        <v>2261</v>
      </c>
      <c r="H389" s="409" t="s">
        <v>1323</v>
      </c>
      <c r="I389" s="409" t="s">
        <v>972</v>
      </c>
      <c r="J389" s="409" t="s">
        <v>2262</v>
      </c>
      <c r="K389" s="838">
        <v>44562</v>
      </c>
      <c r="L389" s="409">
        <v>0</v>
      </c>
      <c r="M389" s="409">
        <v>0</v>
      </c>
      <c r="N389" s="409">
        <v>329.83100000000002</v>
      </c>
      <c r="O389" s="409">
        <v>165.00606169766999</v>
      </c>
      <c r="P389" s="409">
        <v>0</v>
      </c>
      <c r="Q389" s="409">
        <v>0</v>
      </c>
      <c r="R389" s="409"/>
      <c r="S389" s="409">
        <v>1856.88</v>
      </c>
      <c r="T389" s="409"/>
      <c r="U389" s="409"/>
      <c r="V389" s="409">
        <v>612456.58728000009</v>
      </c>
      <c r="W389" s="409">
        <v>612456.58728000009</v>
      </c>
      <c r="X389" s="409">
        <v>549343.42543000006</v>
      </c>
      <c r="Y389" s="409">
        <v>0</v>
      </c>
      <c r="Z389" s="409">
        <v>17324.616889690886</v>
      </c>
      <c r="AA389" s="409">
        <v>0</v>
      </c>
      <c r="AB389" s="409">
        <v>0</v>
      </c>
      <c r="AC389" s="409">
        <v>0</v>
      </c>
      <c r="AD389" s="409">
        <v>161647.49171426229</v>
      </c>
      <c r="AE389" s="409">
        <v>429565.79943991941</v>
      </c>
      <c r="AF389" s="409"/>
      <c r="AG389" s="409"/>
      <c r="AH389" s="409"/>
      <c r="AI389" s="409">
        <v>0</v>
      </c>
      <c r="AJ389" s="409">
        <v>0</v>
      </c>
      <c r="AK389" s="409">
        <v>0</v>
      </c>
      <c r="AL389" s="409">
        <v>3079.4832409086316</v>
      </c>
      <c r="AM389" s="409"/>
      <c r="AN389" s="409">
        <v>286.32230349841052</v>
      </c>
      <c r="AO389" s="409">
        <v>0</v>
      </c>
      <c r="AP389" s="409">
        <v>0</v>
      </c>
      <c r="AQ389" s="409">
        <v>0</v>
      </c>
      <c r="AR389" s="409">
        <v>0</v>
      </c>
      <c r="AS389" s="409"/>
      <c r="AT389" s="409"/>
      <c r="AU389" s="409">
        <v>0</v>
      </c>
      <c r="AV389" s="409">
        <v>0</v>
      </c>
      <c r="AW389" s="409">
        <v>0</v>
      </c>
      <c r="AX389" s="409"/>
      <c r="AY389" s="409"/>
      <c r="AZ389" s="409">
        <v>0</v>
      </c>
      <c r="BA389" s="409"/>
      <c r="BB389" s="409">
        <v>0</v>
      </c>
      <c r="BC389" s="409">
        <v>0</v>
      </c>
      <c r="BD389" s="409">
        <v>0</v>
      </c>
      <c r="BE389" s="409">
        <v>0</v>
      </c>
      <c r="BF389" s="409"/>
      <c r="BG389" s="409">
        <v>551.91474602623327</v>
      </c>
      <c r="BH389" s="409">
        <v>0</v>
      </c>
      <c r="BI389" s="409">
        <v>0</v>
      </c>
      <c r="BJ389" s="409">
        <v>0</v>
      </c>
      <c r="BK389" s="409">
        <v>0</v>
      </c>
      <c r="BL389" s="409">
        <v>0</v>
      </c>
      <c r="BM389" s="409"/>
      <c r="BN389" s="409">
        <v>274520.87949067971</v>
      </c>
      <c r="BO389" s="409"/>
      <c r="BP389" s="409"/>
      <c r="BQ389" s="409"/>
      <c r="BR389" s="409"/>
      <c r="BS389" s="409"/>
      <c r="BT389" s="409"/>
      <c r="BU389" s="409"/>
      <c r="BV389" s="409">
        <v>551.91474602623327</v>
      </c>
      <c r="BW389" s="409"/>
      <c r="BX389" s="409"/>
      <c r="BY389" s="409"/>
      <c r="BZ389" s="409"/>
      <c r="CA389" s="409"/>
      <c r="CB389" s="409"/>
      <c r="CC389" s="409"/>
      <c r="CD389" s="409"/>
      <c r="CE389" s="409"/>
      <c r="CF389" s="409"/>
      <c r="CG389" s="409"/>
      <c r="CH389" s="409"/>
      <c r="CI389" s="409">
        <v>274829.1053</v>
      </c>
      <c r="CJ389" s="409">
        <v>-31567.380545169523</v>
      </c>
      <c r="CK389" s="409"/>
      <c r="CL389" s="409"/>
      <c r="CM389" s="409"/>
      <c r="CN389" s="409"/>
      <c r="CO389" s="409">
        <v>-63113.161850000048</v>
      </c>
      <c r="CP389" s="409">
        <v>0</v>
      </c>
      <c r="CQ389" s="409">
        <v>31</v>
      </c>
      <c r="CR389" s="409">
        <v>5170.0613559785706</v>
      </c>
      <c r="CS389" s="409">
        <v>0</v>
      </c>
      <c r="CT389" s="409">
        <v>0</v>
      </c>
      <c r="CU389" s="409">
        <v>0</v>
      </c>
      <c r="CV389" s="409">
        <v>0</v>
      </c>
      <c r="CW389" s="409"/>
      <c r="CX389" s="409"/>
      <c r="CY389" s="409"/>
      <c r="CZ389" s="409">
        <v>5541.0241859913222</v>
      </c>
      <c r="DA389" s="409">
        <v>0</v>
      </c>
      <c r="DB389" s="409">
        <v>0</v>
      </c>
      <c r="DC389" s="409"/>
      <c r="DD389" s="409"/>
      <c r="DE389" s="409">
        <v>0</v>
      </c>
      <c r="DF389" s="409">
        <v>0</v>
      </c>
      <c r="DG389" s="409">
        <v>29.731493090575782</v>
      </c>
      <c r="DH389" s="409">
        <v>0</v>
      </c>
      <c r="DI389" s="409">
        <v>-1104.2931715463965</v>
      </c>
      <c r="DJ389" s="409"/>
      <c r="DK389" s="409">
        <v>0</v>
      </c>
      <c r="DL389" s="409">
        <v>0</v>
      </c>
      <c r="DM389" s="409"/>
      <c r="DN389" s="409">
        <v>0</v>
      </c>
      <c r="DO389" s="409">
        <v>-161.4628421626021</v>
      </c>
      <c r="DP389" s="409">
        <v>-18.891379649817679</v>
      </c>
      <c r="DQ389" s="409">
        <v>0</v>
      </c>
      <c r="DR389" s="409">
        <v>883.95307025545401</v>
      </c>
      <c r="DS389" s="409"/>
      <c r="DT389" s="409"/>
      <c r="DU389" s="409"/>
      <c r="DV389" s="409">
        <v>429565.79943991941</v>
      </c>
      <c r="DW389" s="409">
        <v>0</v>
      </c>
      <c r="DX389" s="409">
        <v>0</v>
      </c>
      <c r="DY389" s="409">
        <v>-63113.161850000033</v>
      </c>
      <c r="DZ389" s="409"/>
      <c r="EA389" s="409">
        <v>0</v>
      </c>
      <c r="EB389" s="409"/>
      <c r="EC389" s="409">
        <v>-68280.764665030583</v>
      </c>
      <c r="ED389" s="409"/>
      <c r="EE389" s="409">
        <v>0</v>
      </c>
      <c r="EF389" s="409">
        <v>0</v>
      </c>
      <c r="EG389" s="409"/>
      <c r="EH389" s="409">
        <v>0</v>
      </c>
      <c r="EI389" s="409">
        <v>0</v>
      </c>
      <c r="EJ389" s="409">
        <v>0</v>
      </c>
      <c r="EK389" s="409">
        <v>0</v>
      </c>
      <c r="EL389" s="409">
        <v>0</v>
      </c>
      <c r="EM389" s="409"/>
      <c r="EN389" s="409"/>
      <c r="EO389" s="409">
        <v>0</v>
      </c>
      <c r="EP389" s="409">
        <v>0</v>
      </c>
      <c r="EQ389" s="409"/>
      <c r="ER389" s="409">
        <v>0</v>
      </c>
      <c r="ES389" s="409"/>
      <c r="ET389" s="409">
        <v>0</v>
      </c>
      <c r="EU389" s="409"/>
      <c r="EV389" s="409">
        <v>210</v>
      </c>
      <c r="EW389" s="409"/>
      <c r="EX389" s="409"/>
      <c r="EY389" s="409"/>
      <c r="EZ389" s="409"/>
      <c r="FA389" s="409">
        <v>0</v>
      </c>
      <c r="FB389" s="409"/>
      <c r="FC389" s="409"/>
      <c r="FD389" s="409"/>
      <c r="FE389" s="409"/>
      <c r="FF389" s="409">
        <v>0</v>
      </c>
      <c r="FG389" s="409">
        <v>0</v>
      </c>
      <c r="FH389" s="409">
        <v>0</v>
      </c>
      <c r="FI389" s="409">
        <v>0</v>
      </c>
    </row>
    <row r="390" spans="1:165">
      <c r="A390" s="409">
        <v>388</v>
      </c>
      <c r="B390" s="409" t="s">
        <v>1035</v>
      </c>
      <c r="C390" s="409" t="s">
        <v>2246</v>
      </c>
      <c r="D390" s="409" t="s">
        <v>595</v>
      </c>
      <c r="E390" s="409" t="s">
        <v>969</v>
      </c>
      <c r="F390" s="409" t="s">
        <v>1323</v>
      </c>
      <c r="G390" s="409" t="s">
        <v>2261</v>
      </c>
      <c r="H390" s="409" t="s">
        <v>1323</v>
      </c>
      <c r="I390" s="409" t="s">
        <v>2234</v>
      </c>
      <c r="J390" s="409" t="s">
        <v>2262</v>
      </c>
      <c r="K390" s="838">
        <v>44562</v>
      </c>
      <c r="L390" s="409">
        <v>0</v>
      </c>
      <c r="M390" s="409">
        <v>0</v>
      </c>
      <c r="N390" s="409">
        <v>3108.2930000000001</v>
      </c>
      <c r="O390" s="409">
        <v>3108.2930000000001</v>
      </c>
      <c r="P390" s="409">
        <v>0</v>
      </c>
      <c r="Q390" s="409">
        <v>0</v>
      </c>
      <c r="R390" s="409"/>
      <c r="S390" s="409">
        <v>64.400000000000006</v>
      </c>
      <c r="T390" s="409"/>
      <c r="U390" s="409"/>
      <c r="V390" s="409">
        <v>200174.06920000003</v>
      </c>
      <c r="W390" s="409">
        <v>200174.06920000003</v>
      </c>
      <c r="X390" s="409">
        <v>188642.30217000001</v>
      </c>
      <c r="Y390" s="409">
        <v>0</v>
      </c>
      <c r="Z390" s="409">
        <v>163265.38562448029</v>
      </c>
      <c r="AA390" s="409">
        <v>0</v>
      </c>
      <c r="AB390" s="409">
        <v>0</v>
      </c>
      <c r="AC390" s="409">
        <v>0</v>
      </c>
      <c r="AD390" s="409">
        <v>0</v>
      </c>
      <c r="AE390" s="409">
        <v>0</v>
      </c>
      <c r="AF390" s="409"/>
      <c r="AG390" s="409"/>
      <c r="AH390" s="409"/>
      <c r="AI390" s="409">
        <v>0</v>
      </c>
      <c r="AJ390" s="409">
        <v>0</v>
      </c>
      <c r="AK390" s="409">
        <v>0</v>
      </c>
      <c r="AL390" s="409">
        <v>29020.729407889536</v>
      </c>
      <c r="AM390" s="409"/>
      <c r="AN390" s="409">
        <v>2698.2715745578339</v>
      </c>
      <c r="AO390" s="409">
        <v>0</v>
      </c>
      <c r="AP390" s="409">
        <v>0</v>
      </c>
      <c r="AQ390" s="409">
        <v>0</v>
      </c>
      <c r="AR390" s="409">
        <v>0</v>
      </c>
      <c r="AS390" s="409"/>
      <c r="AT390" s="409"/>
      <c r="AU390" s="409">
        <v>0</v>
      </c>
      <c r="AV390" s="409">
        <v>0</v>
      </c>
      <c r="AW390" s="409">
        <v>0</v>
      </c>
      <c r="AX390" s="409"/>
      <c r="AY390" s="409"/>
      <c r="AZ390" s="409">
        <v>0</v>
      </c>
      <c r="BA390" s="409"/>
      <c r="BB390" s="409">
        <v>0</v>
      </c>
      <c r="BC390" s="409">
        <v>0</v>
      </c>
      <c r="BD390" s="409">
        <v>0</v>
      </c>
      <c r="BE390" s="409">
        <v>0</v>
      </c>
      <c r="BF390" s="409"/>
      <c r="BG390" s="409">
        <v>5201.187097847439</v>
      </c>
      <c r="BH390" s="409">
        <v>0</v>
      </c>
      <c r="BI390" s="409">
        <v>0</v>
      </c>
      <c r="BJ390" s="409">
        <v>0</v>
      </c>
      <c r="BK390" s="409">
        <v>0</v>
      </c>
      <c r="BL390" s="409">
        <v>0</v>
      </c>
      <c r="BM390" s="409"/>
      <c r="BN390" s="409"/>
      <c r="BO390" s="409"/>
      <c r="BP390" s="409"/>
      <c r="BQ390" s="409"/>
      <c r="BR390" s="409"/>
      <c r="BS390" s="409"/>
      <c r="BT390" s="409"/>
      <c r="BU390" s="409"/>
      <c r="BV390" s="409">
        <v>5201.187097847439</v>
      </c>
      <c r="BW390" s="409"/>
      <c r="BX390" s="409"/>
      <c r="BY390" s="409"/>
      <c r="BZ390" s="409"/>
      <c r="CA390" s="409"/>
      <c r="CB390" s="409"/>
      <c r="CC390" s="409"/>
      <c r="CD390" s="409"/>
      <c r="CE390" s="409"/>
      <c r="CF390" s="409"/>
      <c r="CG390" s="409"/>
      <c r="CH390" s="409"/>
      <c r="CI390" s="409">
        <v>188642.1201</v>
      </c>
      <c r="CJ390" s="409">
        <v>-11531.979100000055</v>
      </c>
      <c r="CK390" s="409"/>
      <c r="CL390" s="409"/>
      <c r="CM390" s="409"/>
      <c r="CN390" s="409"/>
      <c r="CO390" s="409">
        <v>-11531.767030000025</v>
      </c>
      <c r="CP390" s="409">
        <v>0</v>
      </c>
      <c r="CQ390" s="409">
        <v>31</v>
      </c>
      <c r="CR390" s="409">
        <v>-11537.270288735395</v>
      </c>
      <c r="CS390" s="409">
        <v>0</v>
      </c>
      <c r="CT390" s="409">
        <v>0</v>
      </c>
      <c r="CU390" s="409">
        <v>0</v>
      </c>
      <c r="CV390" s="409">
        <v>0</v>
      </c>
      <c r="CW390" s="409"/>
      <c r="CX390" s="409"/>
      <c r="CY390" s="409"/>
      <c r="CZ390" s="409">
        <v>0</v>
      </c>
      <c r="DA390" s="409">
        <v>0</v>
      </c>
      <c r="DB390" s="409">
        <v>0</v>
      </c>
      <c r="DC390" s="409"/>
      <c r="DD390" s="409"/>
      <c r="DE390" s="409">
        <v>0</v>
      </c>
      <c r="DF390" s="409">
        <v>0</v>
      </c>
      <c r="DG390" s="409">
        <v>280.18649506257771</v>
      </c>
      <c r="DH390" s="409">
        <v>0</v>
      </c>
      <c r="DI390" s="409">
        <v>-10406.743862964562</v>
      </c>
      <c r="DJ390" s="409"/>
      <c r="DK390" s="409">
        <v>0</v>
      </c>
      <c r="DL390" s="409">
        <v>0</v>
      </c>
      <c r="DM390" s="409"/>
      <c r="DN390" s="409">
        <v>0</v>
      </c>
      <c r="DO390" s="409">
        <v>-1521.6090120519948</v>
      </c>
      <c r="DP390" s="409">
        <v>-178.03039473509398</v>
      </c>
      <c r="DQ390" s="409">
        <v>0</v>
      </c>
      <c r="DR390" s="409">
        <v>288.92648595368149</v>
      </c>
      <c r="DS390" s="409"/>
      <c r="DT390" s="409"/>
      <c r="DU390" s="409"/>
      <c r="DV390" s="409">
        <v>0</v>
      </c>
      <c r="DW390" s="409">
        <v>0</v>
      </c>
      <c r="DX390" s="409">
        <v>0</v>
      </c>
      <c r="DY390" s="409">
        <v>-11531.767030000017</v>
      </c>
      <c r="DZ390" s="409"/>
      <c r="EA390" s="409">
        <v>0</v>
      </c>
      <c r="EB390" s="409"/>
      <c r="EC390" s="409">
        <v>0</v>
      </c>
      <c r="ED390" s="409"/>
      <c r="EE390" s="409">
        <v>0</v>
      </c>
      <c r="EF390" s="409">
        <v>0</v>
      </c>
      <c r="EG390" s="409"/>
      <c r="EH390" s="409">
        <v>0</v>
      </c>
      <c r="EI390" s="409">
        <v>0</v>
      </c>
      <c r="EJ390" s="409">
        <v>0</v>
      </c>
      <c r="EK390" s="409">
        <v>0</v>
      </c>
      <c r="EL390" s="409">
        <v>0</v>
      </c>
      <c r="EM390" s="409"/>
      <c r="EN390" s="409"/>
      <c r="EO390" s="409">
        <v>0</v>
      </c>
      <c r="EP390" s="409">
        <v>0</v>
      </c>
      <c r="EQ390" s="409"/>
      <c r="ER390" s="409">
        <v>0</v>
      </c>
      <c r="ES390" s="409"/>
      <c r="ET390" s="409">
        <v>0</v>
      </c>
      <c r="EU390" s="409"/>
      <c r="EV390" s="409">
        <v>210</v>
      </c>
      <c r="EW390" s="409"/>
      <c r="EX390" s="409"/>
      <c r="EY390" s="409"/>
      <c r="EZ390" s="409"/>
      <c r="FA390" s="409">
        <v>0</v>
      </c>
      <c r="FB390" s="409"/>
      <c r="FC390" s="409"/>
      <c r="FD390" s="409"/>
      <c r="FE390" s="409"/>
      <c r="FF390" s="409">
        <v>0</v>
      </c>
      <c r="FG390" s="409">
        <v>0</v>
      </c>
      <c r="FH390" s="409">
        <v>0</v>
      </c>
      <c r="FI390" s="409">
        <v>0</v>
      </c>
    </row>
    <row r="391" spans="1:165">
      <c r="A391" s="409">
        <v>389</v>
      </c>
      <c r="B391" s="409" t="s">
        <v>1035</v>
      </c>
      <c r="C391" s="409" t="s">
        <v>2246</v>
      </c>
      <c r="D391" s="409" t="s">
        <v>595</v>
      </c>
      <c r="E391" s="409" t="s">
        <v>969</v>
      </c>
      <c r="F391" s="409" t="s">
        <v>1323</v>
      </c>
      <c r="G391" s="409" t="s">
        <v>2261</v>
      </c>
      <c r="H391" s="409" t="s">
        <v>1323</v>
      </c>
      <c r="I391" s="409" t="s">
        <v>1323</v>
      </c>
      <c r="J391" s="409" t="s">
        <v>2262</v>
      </c>
      <c r="K391" s="838">
        <v>44562</v>
      </c>
      <c r="L391" s="409">
        <v>9540</v>
      </c>
      <c r="M391" s="409">
        <v>4772.6193978000001</v>
      </c>
      <c r="N391" s="409">
        <v>0</v>
      </c>
      <c r="O391" s="409">
        <v>0</v>
      </c>
      <c r="P391" s="409">
        <v>0</v>
      </c>
      <c r="Q391" s="409">
        <v>0</v>
      </c>
      <c r="R391" s="409">
        <v>33.6</v>
      </c>
      <c r="S391" s="409"/>
      <c r="T391" s="409"/>
      <c r="U391" s="409">
        <v>320544</v>
      </c>
      <c r="V391" s="409"/>
      <c r="W391" s="409">
        <v>320544</v>
      </c>
      <c r="X391" s="409">
        <v>302990.40000000002</v>
      </c>
      <c r="Y391" s="409">
        <v>0</v>
      </c>
      <c r="Z391" s="409">
        <v>0</v>
      </c>
      <c r="AA391" s="409">
        <v>0</v>
      </c>
      <c r="AB391" s="409">
        <v>0</v>
      </c>
      <c r="AC391" s="409">
        <v>0</v>
      </c>
      <c r="AD391" s="409">
        <v>170246.21189754215</v>
      </c>
      <c r="AE391" s="409">
        <v>150304.13112434722</v>
      </c>
      <c r="AF391" s="409"/>
      <c r="AG391" s="409"/>
      <c r="AH391" s="409"/>
      <c r="AI391" s="409">
        <v>0</v>
      </c>
      <c r="AJ391" s="409">
        <v>0</v>
      </c>
      <c r="AK391" s="409">
        <v>0</v>
      </c>
      <c r="AL391" s="409">
        <v>0</v>
      </c>
      <c r="AM391" s="409"/>
      <c r="AN391" s="409">
        <v>0</v>
      </c>
      <c r="AO391" s="409">
        <v>0</v>
      </c>
      <c r="AP391" s="409">
        <v>0</v>
      </c>
      <c r="AQ391" s="409">
        <v>0</v>
      </c>
      <c r="AR391" s="409">
        <v>0</v>
      </c>
      <c r="AS391" s="409"/>
      <c r="AT391" s="409"/>
      <c r="AU391" s="409">
        <v>0</v>
      </c>
      <c r="AV391" s="409">
        <v>0</v>
      </c>
      <c r="AW391" s="409">
        <v>0</v>
      </c>
      <c r="AX391" s="409"/>
      <c r="AY391" s="409"/>
      <c r="AZ391" s="409">
        <v>0</v>
      </c>
      <c r="BA391" s="409"/>
      <c r="BB391" s="409">
        <v>0</v>
      </c>
      <c r="BC391" s="409">
        <v>0</v>
      </c>
      <c r="BD391" s="409">
        <v>0</v>
      </c>
      <c r="BE391" s="409">
        <v>0</v>
      </c>
      <c r="BF391" s="409"/>
      <c r="BG391" s="409">
        <v>0</v>
      </c>
      <c r="BH391" s="409">
        <v>0</v>
      </c>
      <c r="BI391" s="409">
        <v>0</v>
      </c>
      <c r="BJ391" s="409">
        <v>0</v>
      </c>
      <c r="BK391" s="409">
        <v>213054.07</v>
      </c>
      <c r="BL391" s="409">
        <v>3</v>
      </c>
      <c r="BM391" s="409"/>
      <c r="BN391" s="409">
        <v>151412.00792587199</v>
      </c>
      <c r="BO391" s="409"/>
      <c r="BP391" s="409"/>
      <c r="BQ391" s="409"/>
      <c r="BR391" s="409"/>
      <c r="BS391" s="409"/>
      <c r="BT391" s="409"/>
      <c r="BU391" s="409"/>
      <c r="BV391" s="409">
        <v>0</v>
      </c>
      <c r="BW391" s="409"/>
      <c r="BX391" s="409"/>
      <c r="BY391" s="409"/>
      <c r="BZ391" s="409"/>
      <c r="CA391" s="409"/>
      <c r="CB391" s="409"/>
      <c r="CC391" s="409"/>
      <c r="CD391" s="409"/>
      <c r="CE391" s="409"/>
      <c r="CF391" s="409"/>
      <c r="CG391" s="409"/>
      <c r="CH391" s="409"/>
      <c r="CI391" s="409">
        <v>151578.4112</v>
      </c>
      <c r="CJ391" s="409">
        <v>-8781.6305660800426</v>
      </c>
      <c r="CK391" s="409"/>
      <c r="CL391" s="409"/>
      <c r="CM391" s="409"/>
      <c r="CN391" s="409"/>
      <c r="CO391" s="409">
        <v>-17553.599999999999</v>
      </c>
      <c r="CP391" s="409">
        <v>0</v>
      </c>
      <c r="CQ391" s="409">
        <v>31</v>
      </c>
      <c r="CR391" s="409">
        <v>6298.4230622142495</v>
      </c>
      <c r="CS391" s="409">
        <v>0</v>
      </c>
      <c r="CT391" s="409">
        <v>0</v>
      </c>
      <c r="CU391" s="409">
        <v>0</v>
      </c>
      <c r="CV391" s="409">
        <v>0</v>
      </c>
      <c r="CW391" s="409"/>
      <c r="CX391" s="409"/>
      <c r="CY391" s="409"/>
      <c r="CZ391" s="409">
        <v>5835.7749179621169</v>
      </c>
      <c r="DA391" s="409">
        <v>0</v>
      </c>
      <c r="DB391" s="409">
        <v>0</v>
      </c>
      <c r="DC391" s="409"/>
      <c r="DD391" s="409"/>
      <c r="DE391" s="409">
        <v>0</v>
      </c>
      <c r="DF391" s="409">
        <v>0</v>
      </c>
      <c r="DG391" s="409">
        <v>0</v>
      </c>
      <c r="DH391" s="409">
        <v>0</v>
      </c>
      <c r="DI391" s="409">
        <v>0</v>
      </c>
      <c r="DJ391" s="409"/>
      <c r="DK391" s="409">
        <v>0</v>
      </c>
      <c r="DL391" s="409">
        <v>0</v>
      </c>
      <c r="DM391" s="409"/>
      <c r="DN391" s="409">
        <v>0</v>
      </c>
      <c r="DO391" s="409">
        <v>0</v>
      </c>
      <c r="DP391" s="409">
        <v>0</v>
      </c>
      <c r="DQ391" s="409">
        <v>0</v>
      </c>
      <c r="DR391" s="409">
        <v>462.64814425212649</v>
      </c>
      <c r="DS391" s="409"/>
      <c r="DT391" s="409"/>
      <c r="DU391" s="409">
        <v>150304.13112434722</v>
      </c>
      <c r="DV391" s="409"/>
      <c r="DW391" s="409">
        <v>0</v>
      </c>
      <c r="DX391" s="409">
        <v>0</v>
      </c>
      <c r="DY391" s="409">
        <v>-17553.599999999977</v>
      </c>
      <c r="DZ391" s="409"/>
      <c r="EA391" s="409">
        <v>0</v>
      </c>
      <c r="EB391" s="409"/>
      <c r="EC391" s="409">
        <v>-23891.289806741668</v>
      </c>
      <c r="ED391" s="409"/>
      <c r="EE391" s="409">
        <v>0</v>
      </c>
      <c r="EF391" s="409">
        <v>0</v>
      </c>
      <c r="EG391" s="409"/>
      <c r="EH391" s="409">
        <v>0</v>
      </c>
      <c r="EI391" s="409">
        <v>0</v>
      </c>
      <c r="EJ391" s="409">
        <v>0</v>
      </c>
      <c r="EK391" s="409">
        <v>0</v>
      </c>
      <c r="EL391" s="409">
        <v>0</v>
      </c>
      <c r="EM391" s="409"/>
      <c r="EN391" s="409"/>
      <c r="EO391" s="409">
        <v>0</v>
      </c>
      <c r="EP391" s="409">
        <v>0</v>
      </c>
      <c r="EQ391" s="409"/>
      <c r="ER391" s="409">
        <v>0</v>
      </c>
      <c r="ES391" s="409"/>
      <c r="ET391" s="409">
        <v>0</v>
      </c>
      <c r="EU391" s="409"/>
      <c r="EV391" s="409">
        <v>210</v>
      </c>
      <c r="EW391" s="409"/>
      <c r="EX391" s="409"/>
      <c r="EY391" s="409"/>
      <c r="EZ391" s="409"/>
      <c r="FA391" s="409">
        <v>0</v>
      </c>
      <c r="FB391" s="409"/>
      <c r="FC391" s="409"/>
      <c r="FD391" s="409"/>
      <c r="FE391" s="409"/>
      <c r="FF391" s="409">
        <v>0</v>
      </c>
      <c r="FG391" s="409">
        <v>0</v>
      </c>
      <c r="FH391" s="409">
        <v>0</v>
      </c>
      <c r="FI391" s="409">
        <v>0</v>
      </c>
    </row>
    <row r="392" spans="1:165">
      <c r="A392" s="409">
        <v>390</v>
      </c>
      <c r="B392" s="409" t="s">
        <v>1035</v>
      </c>
      <c r="C392" s="409" t="s">
        <v>2246</v>
      </c>
      <c r="D392" s="409" t="s">
        <v>595</v>
      </c>
      <c r="E392" s="409" t="s">
        <v>969</v>
      </c>
      <c r="F392" s="409" t="s">
        <v>1323</v>
      </c>
      <c r="G392" s="409" t="s">
        <v>2261</v>
      </c>
      <c r="H392" s="409" t="s">
        <v>1323</v>
      </c>
      <c r="I392" s="409" t="s">
        <v>972</v>
      </c>
      <c r="J392" s="409" t="s">
        <v>2262</v>
      </c>
      <c r="K392" s="838">
        <v>44593</v>
      </c>
      <c r="L392" s="409">
        <v>0</v>
      </c>
      <c r="M392" s="409">
        <v>0</v>
      </c>
      <c r="N392" s="409">
        <v>330.07299999999998</v>
      </c>
      <c r="O392" s="409">
        <v>165.49168056919001</v>
      </c>
      <c r="P392" s="409">
        <v>0</v>
      </c>
      <c r="Q392" s="409">
        <v>0</v>
      </c>
      <c r="R392" s="409"/>
      <c r="S392" s="409">
        <v>1856.88</v>
      </c>
      <c r="T392" s="409"/>
      <c r="U392" s="409"/>
      <c r="V392" s="409">
        <v>612905.95224000001</v>
      </c>
      <c r="W392" s="409">
        <v>612905.95224000001</v>
      </c>
      <c r="X392" s="409">
        <v>549746.48368999991</v>
      </c>
      <c r="Y392" s="409">
        <v>0</v>
      </c>
      <c r="Z392" s="409">
        <v>17337.328118433197</v>
      </c>
      <c r="AA392" s="409">
        <v>0</v>
      </c>
      <c r="AB392" s="409">
        <v>0</v>
      </c>
      <c r="AC392" s="409">
        <v>0</v>
      </c>
      <c r="AD392" s="409">
        <v>161766.09394690522</v>
      </c>
      <c r="AE392" s="409">
        <v>429880.9757679918</v>
      </c>
      <c r="AF392" s="409"/>
      <c r="AG392" s="409"/>
      <c r="AH392" s="409"/>
      <c r="AI392" s="409">
        <v>0</v>
      </c>
      <c r="AJ392" s="409">
        <v>0</v>
      </c>
      <c r="AK392" s="409">
        <v>0</v>
      </c>
      <c r="AL392" s="409">
        <v>3081.7426857282508</v>
      </c>
      <c r="AM392" s="409"/>
      <c r="AN392" s="409">
        <v>286.53238077267099</v>
      </c>
      <c r="AO392" s="409">
        <v>0</v>
      </c>
      <c r="AP392" s="409">
        <v>0</v>
      </c>
      <c r="AQ392" s="409">
        <v>0</v>
      </c>
      <c r="AR392" s="409">
        <v>0</v>
      </c>
      <c r="AS392" s="409"/>
      <c r="AT392" s="409"/>
      <c r="AU392" s="409">
        <v>0</v>
      </c>
      <c r="AV392" s="409">
        <v>0</v>
      </c>
      <c r="AW392" s="409">
        <v>0</v>
      </c>
      <c r="AX392" s="409"/>
      <c r="AY392" s="409"/>
      <c r="AZ392" s="409">
        <v>0</v>
      </c>
      <c r="BA392" s="409"/>
      <c r="BB392" s="409">
        <v>0</v>
      </c>
      <c r="BC392" s="409">
        <v>0</v>
      </c>
      <c r="BD392" s="409">
        <v>0</v>
      </c>
      <c r="BE392" s="409">
        <v>0</v>
      </c>
      <c r="BF392" s="409"/>
      <c r="BG392" s="409">
        <v>552.31969088750566</v>
      </c>
      <c r="BH392" s="409">
        <v>0</v>
      </c>
      <c r="BI392" s="409">
        <v>0</v>
      </c>
      <c r="BJ392" s="409">
        <v>0</v>
      </c>
      <c r="BK392" s="409">
        <v>0</v>
      </c>
      <c r="BL392" s="409">
        <v>0</v>
      </c>
      <c r="BM392" s="409"/>
      <c r="BN392" s="409">
        <v>274115.1249515969</v>
      </c>
      <c r="BO392" s="409"/>
      <c r="BP392" s="409"/>
      <c r="BQ392" s="409"/>
      <c r="BR392" s="409"/>
      <c r="BS392" s="409"/>
      <c r="BT392" s="409"/>
      <c r="BU392" s="409"/>
      <c r="BV392" s="409">
        <v>552.31969088750566</v>
      </c>
      <c r="BW392" s="409"/>
      <c r="BX392" s="409"/>
      <c r="BY392" s="409"/>
      <c r="BZ392" s="409"/>
      <c r="CA392" s="409"/>
      <c r="CB392" s="409"/>
      <c r="CC392" s="409"/>
      <c r="CD392" s="409"/>
      <c r="CE392" s="409"/>
      <c r="CF392" s="409"/>
      <c r="CG392" s="409"/>
      <c r="CH392" s="409"/>
      <c r="CI392" s="409">
        <v>275628.55969999998</v>
      </c>
      <c r="CJ392" s="409">
        <v>-31669.662115317595</v>
      </c>
      <c r="CK392" s="409"/>
      <c r="CL392" s="409"/>
      <c r="CM392" s="409"/>
      <c r="CN392" s="409"/>
      <c r="CO392" s="409">
        <v>-63159.468550000041</v>
      </c>
      <c r="CP392" s="409">
        <v>0</v>
      </c>
      <c r="CQ392" s="409">
        <v>29</v>
      </c>
      <c r="CR392" s="409">
        <v>5173.8546769463574</v>
      </c>
      <c r="CS392" s="409">
        <v>0</v>
      </c>
      <c r="CT392" s="409">
        <v>0</v>
      </c>
      <c r="CU392" s="409">
        <v>0</v>
      </c>
      <c r="CV392" s="409">
        <v>0</v>
      </c>
      <c r="CW392" s="409"/>
      <c r="CX392" s="409"/>
      <c r="CY392" s="409"/>
      <c r="CZ392" s="409">
        <v>5545.0896857563639</v>
      </c>
      <c r="DA392" s="409">
        <v>0</v>
      </c>
      <c r="DB392" s="409">
        <v>0</v>
      </c>
      <c r="DC392" s="409"/>
      <c r="DD392" s="409"/>
      <c r="DE392" s="409">
        <v>0</v>
      </c>
      <c r="DF392" s="409">
        <v>0</v>
      </c>
      <c r="DG392" s="409">
        <v>29.753307357057452</v>
      </c>
      <c r="DH392" s="409">
        <v>0</v>
      </c>
      <c r="DI392" s="409">
        <v>-1105.1034014747984</v>
      </c>
      <c r="DJ392" s="409"/>
      <c r="DK392" s="409">
        <v>0</v>
      </c>
      <c r="DL392" s="409">
        <v>0</v>
      </c>
      <c r="DM392" s="409"/>
      <c r="DN392" s="409">
        <v>0</v>
      </c>
      <c r="DO392" s="409">
        <v>-161.58130891619248</v>
      </c>
      <c r="DP392" s="409">
        <v>-18.905240426625369</v>
      </c>
      <c r="DQ392" s="409">
        <v>0</v>
      </c>
      <c r="DR392" s="409">
        <v>884.60163465055882</v>
      </c>
      <c r="DS392" s="409"/>
      <c r="DT392" s="409"/>
      <c r="DU392" s="409"/>
      <c r="DV392" s="409">
        <v>429880.9757679918</v>
      </c>
      <c r="DW392" s="409">
        <v>0</v>
      </c>
      <c r="DX392" s="409">
        <v>0</v>
      </c>
      <c r="DY392" s="409">
        <v>-63159.468550000107</v>
      </c>
      <c r="DZ392" s="409"/>
      <c r="EA392" s="409">
        <v>0</v>
      </c>
      <c r="EB392" s="409"/>
      <c r="EC392" s="409">
        <v>-68330.862882144575</v>
      </c>
      <c r="ED392" s="409"/>
      <c r="EE392" s="409">
        <v>0</v>
      </c>
      <c r="EF392" s="409">
        <v>0</v>
      </c>
      <c r="EG392" s="409"/>
      <c r="EH392" s="409">
        <v>0</v>
      </c>
      <c r="EI392" s="409">
        <v>0</v>
      </c>
      <c r="EJ392" s="409">
        <v>0</v>
      </c>
      <c r="EK392" s="409">
        <v>0</v>
      </c>
      <c r="EL392" s="409">
        <v>0</v>
      </c>
      <c r="EM392" s="409"/>
      <c r="EN392" s="409"/>
      <c r="EO392" s="409">
        <v>0</v>
      </c>
      <c r="EP392" s="409">
        <v>0</v>
      </c>
      <c r="EQ392" s="409"/>
      <c r="ER392" s="409">
        <v>0</v>
      </c>
      <c r="ES392" s="409"/>
      <c r="ET392" s="409">
        <v>0</v>
      </c>
      <c r="EU392" s="409"/>
      <c r="EV392" s="409">
        <v>210</v>
      </c>
      <c r="EW392" s="409"/>
      <c r="EX392" s="409"/>
      <c r="EY392" s="409"/>
      <c r="EZ392" s="409"/>
      <c r="FA392" s="409">
        <v>0</v>
      </c>
      <c r="FB392" s="409"/>
      <c r="FC392" s="409"/>
      <c r="FD392" s="409"/>
      <c r="FE392" s="409"/>
      <c r="FF392" s="409">
        <v>0</v>
      </c>
      <c r="FG392" s="409">
        <v>0</v>
      </c>
      <c r="FH392" s="409">
        <v>0</v>
      </c>
      <c r="FI392" s="409">
        <v>0</v>
      </c>
    </row>
    <row r="393" spans="1:165">
      <c r="A393" s="409">
        <v>391</v>
      </c>
      <c r="B393" s="409" t="s">
        <v>1035</v>
      </c>
      <c r="C393" s="409" t="s">
        <v>2246</v>
      </c>
      <c r="D393" s="409" t="s">
        <v>595</v>
      </c>
      <c r="E393" s="409" t="s">
        <v>969</v>
      </c>
      <c r="F393" s="409" t="s">
        <v>1323</v>
      </c>
      <c r="G393" s="409" t="s">
        <v>2261</v>
      </c>
      <c r="H393" s="409" t="s">
        <v>1323</v>
      </c>
      <c r="I393" s="409" t="s">
        <v>2234</v>
      </c>
      <c r="J393" s="409" t="s">
        <v>2262</v>
      </c>
      <c r="K393" s="838">
        <v>44593</v>
      </c>
      <c r="L393" s="409">
        <v>0</v>
      </c>
      <c r="M393" s="409">
        <v>0</v>
      </c>
      <c r="N393" s="409">
        <v>3493.6329999999998</v>
      </c>
      <c r="O393" s="409">
        <v>3493.6329999999998</v>
      </c>
      <c r="P393" s="409">
        <v>0</v>
      </c>
      <c r="Q393" s="409">
        <v>0</v>
      </c>
      <c r="R393" s="409"/>
      <c r="S393" s="409">
        <v>64.400000000000006</v>
      </c>
      <c r="T393" s="409"/>
      <c r="U393" s="409"/>
      <c r="V393" s="409">
        <v>224989.96520000001</v>
      </c>
      <c r="W393" s="409">
        <v>224989.96520000001</v>
      </c>
      <c r="X393" s="409">
        <v>212028.58676999999</v>
      </c>
      <c r="Y393" s="409">
        <v>0</v>
      </c>
      <c r="Z393" s="409">
        <v>183505.6537383734</v>
      </c>
      <c r="AA393" s="409">
        <v>0</v>
      </c>
      <c r="AB393" s="409">
        <v>0</v>
      </c>
      <c r="AC393" s="409">
        <v>0</v>
      </c>
      <c r="AD393" s="409">
        <v>0</v>
      </c>
      <c r="AE393" s="409">
        <v>0</v>
      </c>
      <c r="AF393" s="409"/>
      <c r="AG393" s="409"/>
      <c r="AH393" s="409"/>
      <c r="AI393" s="409">
        <v>0</v>
      </c>
      <c r="AJ393" s="409">
        <v>0</v>
      </c>
      <c r="AK393" s="409">
        <v>0</v>
      </c>
      <c r="AL393" s="409">
        <v>32618.475138435577</v>
      </c>
      <c r="AM393" s="409"/>
      <c r="AN393" s="409">
        <v>3032.780569861724</v>
      </c>
      <c r="AO393" s="409">
        <v>0</v>
      </c>
      <c r="AP393" s="409">
        <v>0</v>
      </c>
      <c r="AQ393" s="409">
        <v>0</v>
      </c>
      <c r="AR393" s="409">
        <v>0</v>
      </c>
      <c r="AS393" s="409"/>
      <c r="AT393" s="409"/>
      <c r="AU393" s="409">
        <v>0</v>
      </c>
      <c r="AV393" s="409">
        <v>0</v>
      </c>
      <c r="AW393" s="409">
        <v>0</v>
      </c>
      <c r="AX393" s="409"/>
      <c r="AY393" s="409"/>
      <c r="AZ393" s="409">
        <v>0</v>
      </c>
      <c r="BA393" s="409"/>
      <c r="BB393" s="409">
        <v>0</v>
      </c>
      <c r="BC393" s="409">
        <v>0</v>
      </c>
      <c r="BD393" s="409">
        <v>0</v>
      </c>
      <c r="BE393" s="409">
        <v>0</v>
      </c>
      <c r="BF393" s="409"/>
      <c r="BG393" s="409">
        <v>5845.9864897595044</v>
      </c>
      <c r="BH393" s="409">
        <v>0</v>
      </c>
      <c r="BI393" s="409">
        <v>0</v>
      </c>
      <c r="BJ393" s="409">
        <v>0</v>
      </c>
      <c r="BK393" s="409">
        <v>0</v>
      </c>
      <c r="BL393" s="409">
        <v>0</v>
      </c>
      <c r="BM393" s="409"/>
      <c r="BN393" s="409"/>
      <c r="BO393" s="409"/>
      <c r="BP393" s="409"/>
      <c r="BQ393" s="409"/>
      <c r="BR393" s="409"/>
      <c r="BS393" s="409"/>
      <c r="BT393" s="409"/>
      <c r="BU393" s="409"/>
      <c r="BV393" s="409">
        <v>5845.9864897595044</v>
      </c>
      <c r="BW393" s="409"/>
      <c r="BX393" s="409"/>
      <c r="BY393" s="409"/>
      <c r="BZ393" s="409"/>
      <c r="CA393" s="409"/>
      <c r="CB393" s="409"/>
      <c r="CC393" s="409"/>
      <c r="CD393" s="409"/>
      <c r="CE393" s="409"/>
      <c r="CF393" s="409"/>
      <c r="CG393" s="409"/>
      <c r="CH393" s="409"/>
      <c r="CI393" s="409">
        <v>212028.40469999998</v>
      </c>
      <c r="CJ393" s="409">
        <v>-12961.590500000049</v>
      </c>
      <c r="CK393" s="409"/>
      <c r="CL393" s="409"/>
      <c r="CM393" s="409"/>
      <c r="CN393" s="409"/>
      <c r="CO393" s="409">
        <v>-12961.378430000028</v>
      </c>
      <c r="CP393" s="409">
        <v>0</v>
      </c>
      <c r="CQ393" s="409">
        <v>29</v>
      </c>
      <c r="CR393" s="409">
        <v>-12967.563936426042</v>
      </c>
      <c r="CS393" s="409">
        <v>0</v>
      </c>
      <c r="CT393" s="409">
        <v>0</v>
      </c>
      <c r="CU393" s="409">
        <v>0</v>
      </c>
      <c r="CV393" s="409">
        <v>0</v>
      </c>
      <c r="CW393" s="409"/>
      <c r="CX393" s="409"/>
      <c r="CY393" s="409"/>
      <c r="CZ393" s="409">
        <v>0</v>
      </c>
      <c r="DA393" s="409">
        <v>0</v>
      </c>
      <c r="DB393" s="409">
        <v>0</v>
      </c>
      <c r="DC393" s="409"/>
      <c r="DD393" s="409"/>
      <c r="DE393" s="409">
        <v>0</v>
      </c>
      <c r="DF393" s="409">
        <v>0</v>
      </c>
      <c r="DG393" s="409">
        <v>314.92165806278899</v>
      </c>
      <c r="DH393" s="409">
        <v>0</v>
      </c>
      <c r="DI393" s="409">
        <v>-11696.884361352189</v>
      </c>
      <c r="DJ393" s="409"/>
      <c r="DK393" s="409">
        <v>0</v>
      </c>
      <c r="DL393" s="409">
        <v>0</v>
      </c>
      <c r="DM393" s="409"/>
      <c r="DN393" s="409">
        <v>0</v>
      </c>
      <c r="DO393" s="409">
        <v>-1710.2452882023172</v>
      </c>
      <c r="DP393" s="409">
        <v>-200.10110438415859</v>
      </c>
      <c r="DQ393" s="409">
        <v>0</v>
      </c>
      <c r="DR393" s="409">
        <v>324.74515944983887</v>
      </c>
      <c r="DS393" s="409"/>
      <c r="DT393" s="409"/>
      <c r="DU393" s="409"/>
      <c r="DV393" s="409">
        <v>0</v>
      </c>
      <c r="DW393" s="409">
        <v>0</v>
      </c>
      <c r="DX393" s="409">
        <v>0</v>
      </c>
      <c r="DY393" s="409">
        <v>-12961.378430000012</v>
      </c>
      <c r="DZ393" s="409"/>
      <c r="EA393" s="409">
        <v>0</v>
      </c>
      <c r="EB393" s="409"/>
      <c r="EC393" s="409">
        <v>0</v>
      </c>
      <c r="ED393" s="409"/>
      <c r="EE393" s="409">
        <v>0</v>
      </c>
      <c r="EF393" s="409">
        <v>0</v>
      </c>
      <c r="EG393" s="409"/>
      <c r="EH393" s="409">
        <v>0</v>
      </c>
      <c r="EI393" s="409">
        <v>0</v>
      </c>
      <c r="EJ393" s="409">
        <v>0</v>
      </c>
      <c r="EK393" s="409">
        <v>0</v>
      </c>
      <c r="EL393" s="409">
        <v>0</v>
      </c>
      <c r="EM393" s="409"/>
      <c r="EN393" s="409"/>
      <c r="EO393" s="409">
        <v>0</v>
      </c>
      <c r="EP393" s="409">
        <v>0</v>
      </c>
      <c r="EQ393" s="409"/>
      <c r="ER393" s="409">
        <v>0</v>
      </c>
      <c r="ES393" s="409"/>
      <c r="ET393" s="409">
        <v>0</v>
      </c>
      <c r="EU393" s="409"/>
      <c r="EV393" s="409">
        <v>210</v>
      </c>
      <c r="EW393" s="409"/>
      <c r="EX393" s="409"/>
      <c r="EY393" s="409"/>
      <c r="EZ393" s="409"/>
      <c r="FA393" s="409">
        <v>0</v>
      </c>
      <c r="FB393" s="409"/>
      <c r="FC393" s="409"/>
      <c r="FD393" s="409"/>
      <c r="FE393" s="409"/>
      <c r="FF393" s="409">
        <v>0</v>
      </c>
      <c r="FG393" s="409">
        <v>0</v>
      </c>
      <c r="FH393" s="409">
        <v>0</v>
      </c>
      <c r="FI393" s="409">
        <v>0</v>
      </c>
    </row>
    <row r="394" spans="1:165">
      <c r="A394" s="409">
        <v>392</v>
      </c>
      <c r="B394" s="409" t="s">
        <v>1035</v>
      </c>
      <c r="C394" s="409" t="s">
        <v>2246</v>
      </c>
      <c r="D394" s="409" t="s">
        <v>595</v>
      </c>
      <c r="E394" s="409" t="s">
        <v>969</v>
      </c>
      <c r="F394" s="409" t="s">
        <v>1323</v>
      </c>
      <c r="G394" s="409" t="s">
        <v>2261</v>
      </c>
      <c r="H394" s="409" t="s">
        <v>1323</v>
      </c>
      <c r="I394" s="409" t="s">
        <v>1323</v>
      </c>
      <c r="J394" s="409" t="s">
        <v>2262</v>
      </c>
      <c r="K394" s="838">
        <v>44593</v>
      </c>
      <c r="L394" s="409">
        <v>9540</v>
      </c>
      <c r="M394" s="409">
        <v>4783.1559461999996</v>
      </c>
      <c r="N394" s="409">
        <v>0</v>
      </c>
      <c r="O394" s="409">
        <v>0</v>
      </c>
      <c r="P394" s="409">
        <v>0</v>
      </c>
      <c r="Q394" s="409">
        <v>0</v>
      </c>
      <c r="R394" s="409">
        <v>33.6</v>
      </c>
      <c r="S394" s="409"/>
      <c r="T394" s="409"/>
      <c r="U394" s="409">
        <v>320544</v>
      </c>
      <c r="V394" s="409"/>
      <c r="W394" s="409">
        <v>320544</v>
      </c>
      <c r="X394" s="409">
        <v>302990.40000000002</v>
      </c>
      <c r="Y394" s="409">
        <v>0</v>
      </c>
      <c r="Z394" s="409">
        <v>0</v>
      </c>
      <c r="AA394" s="409">
        <v>0</v>
      </c>
      <c r="AB394" s="409">
        <v>0</v>
      </c>
      <c r="AC394" s="409">
        <v>0</v>
      </c>
      <c r="AD394" s="409">
        <v>170246.21189754215</v>
      </c>
      <c r="AE394" s="409">
        <v>150304.13112434722</v>
      </c>
      <c r="AF394" s="409"/>
      <c r="AG394" s="409"/>
      <c r="AH394" s="409"/>
      <c r="AI394" s="409">
        <v>0</v>
      </c>
      <c r="AJ394" s="409">
        <v>0</v>
      </c>
      <c r="AK394" s="409">
        <v>0</v>
      </c>
      <c r="AL394" s="409">
        <v>0</v>
      </c>
      <c r="AM394" s="409"/>
      <c r="AN394" s="409">
        <v>0</v>
      </c>
      <c r="AO394" s="409">
        <v>0</v>
      </c>
      <c r="AP394" s="409">
        <v>0</v>
      </c>
      <c r="AQ394" s="409">
        <v>0</v>
      </c>
      <c r="AR394" s="409">
        <v>0</v>
      </c>
      <c r="AS394" s="409"/>
      <c r="AT394" s="409"/>
      <c r="AU394" s="409">
        <v>0</v>
      </c>
      <c r="AV394" s="409">
        <v>0</v>
      </c>
      <c r="AW394" s="409">
        <v>0</v>
      </c>
      <c r="AX394" s="409"/>
      <c r="AY394" s="409"/>
      <c r="AZ394" s="409">
        <v>0</v>
      </c>
      <c r="BA394" s="409"/>
      <c r="BB394" s="409">
        <v>0</v>
      </c>
      <c r="BC394" s="409">
        <v>0</v>
      </c>
      <c r="BD394" s="409">
        <v>0</v>
      </c>
      <c r="BE394" s="409">
        <v>0</v>
      </c>
      <c r="BF394" s="409"/>
      <c r="BG394" s="409">
        <v>0</v>
      </c>
      <c r="BH394" s="409">
        <v>0</v>
      </c>
      <c r="BI394" s="409">
        <v>0</v>
      </c>
      <c r="BJ394" s="409">
        <v>0</v>
      </c>
      <c r="BK394" s="409">
        <v>221076.88</v>
      </c>
      <c r="BL394" s="409">
        <v>3</v>
      </c>
      <c r="BM394" s="409"/>
      <c r="BN394" s="409">
        <v>151077.36714868803</v>
      </c>
      <c r="BO394" s="409"/>
      <c r="BP394" s="409"/>
      <c r="BQ394" s="409"/>
      <c r="BR394" s="409"/>
      <c r="BS394" s="409"/>
      <c r="BT394" s="409"/>
      <c r="BU394" s="409"/>
      <c r="BV394" s="409">
        <v>0</v>
      </c>
      <c r="BW394" s="409"/>
      <c r="BX394" s="409"/>
      <c r="BY394" s="409"/>
      <c r="BZ394" s="409"/>
      <c r="CA394" s="409"/>
      <c r="CB394" s="409"/>
      <c r="CC394" s="409"/>
      <c r="CD394" s="409"/>
      <c r="CE394" s="409"/>
      <c r="CF394" s="409"/>
      <c r="CG394" s="409"/>
      <c r="CH394" s="409"/>
      <c r="CI394" s="409">
        <v>151913.16159999999</v>
      </c>
      <c r="CJ394" s="409">
        <v>-8800.9081923200283</v>
      </c>
      <c r="CK394" s="409"/>
      <c r="CL394" s="409"/>
      <c r="CM394" s="409"/>
      <c r="CN394" s="409"/>
      <c r="CO394" s="409">
        <v>-17553.599999999999</v>
      </c>
      <c r="CP394" s="409">
        <v>0</v>
      </c>
      <c r="CQ394" s="409">
        <v>29</v>
      </c>
      <c r="CR394" s="409">
        <v>6298.4230622142495</v>
      </c>
      <c r="CS394" s="409">
        <v>0</v>
      </c>
      <c r="CT394" s="409">
        <v>0</v>
      </c>
      <c r="CU394" s="409">
        <v>0</v>
      </c>
      <c r="CV394" s="409">
        <v>0</v>
      </c>
      <c r="CW394" s="409"/>
      <c r="CX394" s="409"/>
      <c r="CY394" s="409"/>
      <c r="CZ394" s="409">
        <v>5835.7749179621169</v>
      </c>
      <c r="DA394" s="409">
        <v>0</v>
      </c>
      <c r="DB394" s="409">
        <v>0</v>
      </c>
      <c r="DC394" s="409"/>
      <c r="DD394" s="409"/>
      <c r="DE394" s="409">
        <v>0</v>
      </c>
      <c r="DF394" s="409">
        <v>0</v>
      </c>
      <c r="DG394" s="409">
        <v>0</v>
      </c>
      <c r="DH394" s="409">
        <v>0</v>
      </c>
      <c r="DI394" s="409">
        <v>0</v>
      </c>
      <c r="DJ394" s="409"/>
      <c r="DK394" s="409">
        <v>0</v>
      </c>
      <c r="DL394" s="409">
        <v>0</v>
      </c>
      <c r="DM394" s="409"/>
      <c r="DN394" s="409">
        <v>0</v>
      </c>
      <c r="DO394" s="409">
        <v>0</v>
      </c>
      <c r="DP394" s="409">
        <v>0</v>
      </c>
      <c r="DQ394" s="409">
        <v>0</v>
      </c>
      <c r="DR394" s="409">
        <v>462.64814425212649</v>
      </c>
      <c r="DS394" s="409"/>
      <c r="DT394" s="409"/>
      <c r="DU394" s="409">
        <v>150304.13112434722</v>
      </c>
      <c r="DV394" s="409"/>
      <c r="DW394" s="409">
        <v>0</v>
      </c>
      <c r="DX394" s="409">
        <v>0</v>
      </c>
      <c r="DY394" s="409">
        <v>-17553.599999999977</v>
      </c>
      <c r="DZ394" s="409"/>
      <c r="EA394" s="409">
        <v>0</v>
      </c>
      <c r="EB394" s="409"/>
      <c r="EC394" s="409">
        <v>-23891.289806741668</v>
      </c>
      <c r="ED394" s="409"/>
      <c r="EE394" s="409">
        <v>0</v>
      </c>
      <c r="EF394" s="409">
        <v>0</v>
      </c>
      <c r="EG394" s="409"/>
      <c r="EH394" s="409">
        <v>0</v>
      </c>
      <c r="EI394" s="409">
        <v>0</v>
      </c>
      <c r="EJ394" s="409">
        <v>0</v>
      </c>
      <c r="EK394" s="409">
        <v>0</v>
      </c>
      <c r="EL394" s="409">
        <v>0</v>
      </c>
      <c r="EM394" s="409"/>
      <c r="EN394" s="409"/>
      <c r="EO394" s="409">
        <v>0</v>
      </c>
      <c r="EP394" s="409">
        <v>0</v>
      </c>
      <c r="EQ394" s="409"/>
      <c r="ER394" s="409">
        <v>0</v>
      </c>
      <c r="ES394" s="409"/>
      <c r="ET394" s="409">
        <v>0</v>
      </c>
      <c r="EU394" s="409"/>
      <c r="EV394" s="409">
        <v>210</v>
      </c>
      <c r="EW394" s="409"/>
      <c r="EX394" s="409"/>
      <c r="EY394" s="409"/>
      <c r="EZ394" s="409"/>
      <c r="FA394" s="409">
        <v>0</v>
      </c>
      <c r="FB394" s="409"/>
      <c r="FC394" s="409"/>
      <c r="FD394" s="409"/>
      <c r="FE394" s="409"/>
      <c r="FF394" s="409">
        <v>0</v>
      </c>
      <c r="FG394" s="409">
        <v>0</v>
      </c>
      <c r="FH394" s="409">
        <v>0</v>
      </c>
      <c r="FI394" s="409">
        <v>0</v>
      </c>
    </row>
    <row r="395" spans="1:165">
      <c r="A395" s="1653">
        <v>393</v>
      </c>
      <c r="B395" s="1653" t="s">
        <v>2260</v>
      </c>
      <c r="C395" s="1653" t="s">
        <v>2246</v>
      </c>
      <c r="D395" s="1653" t="s">
        <v>595</v>
      </c>
      <c r="E395" s="1653" t="s">
        <v>969</v>
      </c>
      <c r="F395" s="1653" t="s">
        <v>1323</v>
      </c>
      <c r="G395" s="1653" t="s">
        <v>2261</v>
      </c>
      <c r="H395" s="1653" t="s">
        <v>1323</v>
      </c>
      <c r="I395" s="1653" t="s">
        <v>972</v>
      </c>
      <c r="J395" s="1653" t="s">
        <v>2262</v>
      </c>
      <c r="K395" s="1654">
        <v>44621</v>
      </c>
      <c r="L395" s="1653">
        <v>0</v>
      </c>
      <c r="M395" s="1653">
        <v>0</v>
      </c>
      <c r="N395" s="1653">
        <v>330.07299999999998</v>
      </c>
      <c r="O395" s="1653">
        <v>165.49168056919001</v>
      </c>
      <c r="P395" s="1653">
        <v>0</v>
      </c>
      <c r="Q395" s="1653">
        <v>0</v>
      </c>
      <c r="R395" s="1653"/>
      <c r="S395" s="1653">
        <v>1856.88</v>
      </c>
      <c r="T395" s="1653"/>
      <c r="U395" s="1653"/>
      <c r="V395" s="1653">
        <v>612905.95224000001</v>
      </c>
      <c r="W395" s="1653">
        <v>612905.95224000001</v>
      </c>
      <c r="X395" s="1653">
        <v>549746.48368999991</v>
      </c>
      <c r="Y395" s="1653">
        <v>0</v>
      </c>
      <c r="Z395" s="1653">
        <v>17337.328118433197</v>
      </c>
      <c r="AA395" s="1653">
        <v>0</v>
      </c>
      <c r="AB395" s="1653">
        <v>0</v>
      </c>
      <c r="AC395" s="1653">
        <v>0</v>
      </c>
      <c r="AD395" s="1653">
        <v>161766.09394690522</v>
      </c>
      <c r="AE395" s="1653">
        <v>429880.9757679918</v>
      </c>
      <c r="AF395" s="1653"/>
      <c r="AG395" s="1653"/>
      <c r="AH395" s="1653"/>
      <c r="AI395" s="1653">
        <v>0</v>
      </c>
      <c r="AJ395" s="1653">
        <v>0</v>
      </c>
      <c r="AK395" s="1653">
        <v>0</v>
      </c>
      <c r="AL395" s="1653">
        <v>3081.7426857282508</v>
      </c>
      <c r="AM395" s="1653"/>
      <c r="AN395" s="1653">
        <v>286.53238077267099</v>
      </c>
      <c r="AO395" s="1653">
        <v>0</v>
      </c>
      <c r="AP395" s="1653">
        <v>0</v>
      </c>
      <c r="AQ395" s="1653">
        <v>0</v>
      </c>
      <c r="AR395" s="1653">
        <v>0</v>
      </c>
      <c r="AS395" s="1653"/>
      <c r="AT395" s="1653"/>
      <c r="AU395" s="1653">
        <v>0</v>
      </c>
      <c r="AV395" s="1653">
        <v>0</v>
      </c>
      <c r="AW395" s="1653">
        <v>0</v>
      </c>
      <c r="AX395" s="1653"/>
      <c r="AY395" s="1653"/>
      <c r="AZ395" s="1653">
        <v>0</v>
      </c>
      <c r="BA395" s="1653"/>
      <c r="BB395" s="1653">
        <v>0</v>
      </c>
      <c r="BC395" s="1653">
        <v>0</v>
      </c>
      <c r="BD395" s="1653">
        <v>0</v>
      </c>
      <c r="BE395" s="1653">
        <v>0</v>
      </c>
      <c r="BF395" s="1653"/>
      <c r="BG395" s="1653">
        <v>552.31969088750566</v>
      </c>
      <c r="BH395" s="1653">
        <v>0</v>
      </c>
      <c r="BI395" s="1653">
        <v>0</v>
      </c>
      <c r="BJ395" s="1653">
        <v>0</v>
      </c>
      <c r="BK395" s="1653">
        <v>0</v>
      </c>
      <c r="BL395" s="1653">
        <v>0</v>
      </c>
      <c r="BM395" s="1653"/>
      <c r="BN395" s="1653">
        <v>274115.1249515969</v>
      </c>
      <c r="BO395" s="1653"/>
      <c r="BP395" s="1653"/>
      <c r="BQ395" s="1653"/>
      <c r="BR395" s="1653"/>
      <c r="BS395" s="1653"/>
      <c r="BT395" s="1653"/>
      <c r="BU395" s="1653"/>
      <c r="BV395" s="1653">
        <v>552.31969088750566</v>
      </c>
      <c r="BW395" s="1653"/>
      <c r="BX395" s="1653"/>
      <c r="BY395" s="1653"/>
      <c r="BZ395" s="1653"/>
      <c r="CA395" s="1653"/>
      <c r="CB395" s="1653"/>
      <c r="CC395" s="1653"/>
      <c r="CD395" s="1653"/>
      <c r="CE395" s="1653"/>
      <c r="CF395" s="1653"/>
      <c r="CG395" s="1653"/>
      <c r="CH395" s="1653"/>
      <c r="CI395" s="1653">
        <v>275628.55969999998</v>
      </c>
      <c r="CJ395" s="1653">
        <v>-31669.662115317595</v>
      </c>
      <c r="CK395" s="1653"/>
      <c r="CL395" s="1653"/>
      <c r="CM395" s="1653"/>
      <c r="CN395" s="1653"/>
      <c r="CO395" s="1653">
        <v>-63159.468550000041</v>
      </c>
      <c r="CP395" s="1653">
        <v>0</v>
      </c>
      <c r="CQ395" s="1653">
        <v>31</v>
      </c>
      <c r="CR395" s="1653">
        <v>5173.8546769463574</v>
      </c>
      <c r="CS395" s="1653">
        <v>0</v>
      </c>
      <c r="CT395" s="1653">
        <v>0</v>
      </c>
      <c r="CU395" s="1653">
        <v>0</v>
      </c>
      <c r="CV395" s="1653">
        <v>0</v>
      </c>
      <c r="CW395" s="1653"/>
      <c r="CX395" s="1653"/>
      <c r="CY395" s="1653"/>
      <c r="CZ395" s="1653">
        <v>5545.0896857563639</v>
      </c>
      <c r="DA395" s="1653">
        <v>0</v>
      </c>
      <c r="DB395" s="1653">
        <v>0</v>
      </c>
      <c r="DC395" s="1653"/>
      <c r="DD395" s="1653"/>
      <c r="DE395" s="1653">
        <v>0</v>
      </c>
      <c r="DF395" s="1653">
        <v>0</v>
      </c>
      <c r="DG395" s="1653">
        <v>29.753307357057452</v>
      </c>
      <c r="DH395" s="1653">
        <v>0</v>
      </c>
      <c r="DI395" s="1653">
        <v>-1105.1034014747984</v>
      </c>
      <c r="DJ395" s="1653"/>
      <c r="DK395" s="1653">
        <v>0</v>
      </c>
      <c r="DL395" s="1653">
        <v>0</v>
      </c>
      <c r="DM395" s="1653"/>
      <c r="DN395" s="1653">
        <v>0</v>
      </c>
      <c r="DO395" s="1653">
        <v>-161.58130891619248</v>
      </c>
      <c r="DP395" s="1653">
        <v>-18.905240426625369</v>
      </c>
      <c r="DQ395" s="1653">
        <v>0</v>
      </c>
      <c r="DR395" s="1653">
        <v>884.60163465055882</v>
      </c>
      <c r="DS395" s="1653"/>
      <c r="DT395" s="1653"/>
      <c r="DU395" s="1653"/>
      <c r="DV395" s="1653">
        <v>429880.9757679918</v>
      </c>
      <c r="DW395" s="1653">
        <v>0</v>
      </c>
      <c r="DX395" s="1653">
        <v>0</v>
      </c>
      <c r="DY395" s="1653">
        <v>-63159.468550000107</v>
      </c>
      <c r="DZ395" s="1653"/>
      <c r="EA395" s="1653">
        <v>0</v>
      </c>
      <c r="EB395" s="1653"/>
      <c r="EC395" s="1653">
        <v>-68330.862882144575</v>
      </c>
      <c r="ED395" s="1653"/>
      <c r="EE395" s="1653">
        <v>0</v>
      </c>
      <c r="EF395" s="1653">
        <v>0</v>
      </c>
      <c r="EG395" s="1653"/>
      <c r="EH395" s="1653">
        <v>0</v>
      </c>
      <c r="EI395" s="1653">
        <v>0</v>
      </c>
      <c r="EJ395" s="1653">
        <v>0</v>
      </c>
      <c r="EK395" s="1653">
        <v>0</v>
      </c>
      <c r="EL395" s="1653">
        <v>0</v>
      </c>
      <c r="EM395" s="1653"/>
      <c r="EN395" s="1653"/>
      <c r="EO395" s="1653">
        <v>0</v>
      </c>
      <c r="EP395" s="1653">
        <v>0</v>
      </c>
      <c r="EQ395" s="1653"/>
      <c r="ER395" s="1653">
        <v>0</v>
      </c>
      <c r="ES395" s="1653"/>
      <c r="ET395" s="1653">
        <v>0</v>
      </c>
      <c r="EU395" s="1653"/>
      <c r="EV395" s="1653">
        <v>210</v>
      </c>
      <c r="EW395" s="1653"/>
      <c r="EX395" s="1653"/>
      <c r="EY395" s="1653"/>
      <c r="EZ395" s="1653"/>
      <c r="FA395" s="1653">
        <v>0</v>
      </c>
      <c r="FB395" s="1653"/>
      <c r="FC395" s="1653"/>
      <c r="FD395" s="1653"/>
      <c r="FE395" s="1653"/>
      <c r="FF395" s="1653">
        <v>0</v>
      </c>
      <c r="FG395" s="1653">
        <v>0</v>
      </c>
      <c r="FH395" s="1653">
        <v>0</v>
      </c>
      <c r="FI395" s="1653">
        <v>0</v>
      </c>
    </row>
    <row r="396" spans="1:165">
      <c r="A396" s="1653">
        <v>394</v>
      </c>
      <c r="B396" s="1653" t="s">
        <v>2260</v>
      </c>
      <c r="C396" s="1653" t="s">
        <v>2246</v>
      </c>
      <c r="D396" s="1653" t="s">
        <v>595</v>
      </c>
      <c r="E396" s="1653" t="s">
        <v>969</v>
      </c>
      <c r="F396" s="1653" t="s">
        <v>1323</v>
      </c>
      <c r="G396" s="1653" t="s">
        <v>2261</v>
      </c>
      <c r="H396" s="1653" t="s">
        <v>1323</v>
      </c>
      <c r="I396" s="1653" t="s">
        <v>2234</v>
      </c>
      <c r="J396" s="1653" t="s">
        <v>2262</v>
      </c>
      <c r="K396" s="1654">
        <v>44621</v>
      </c>
      <c r="L396" s="1653">
        <v>0</v>
      </c>
      <c r="M396" s="1653">
        <v>0</v>
      </c>
      <c r="N396" s="1653">
        <v>3493.6329999999998</v>
      </c>
      <c r="O396" s="1653">
        <v>3493.6329999999998</v>
      </c>
      <c r="P396" s="1653">
        <v>0</v>
      </c>
      <c r="Q396" s="1653">
        <v>0</v>
      </c>
      <c r="R396" s="1653"/>
      <c r="S396" s="1653">
        <v>64.400000000000006</v>
      </c>
      <c r="T396" s="1653"/>
      <c r="U396" s="1653"/>
      <c r="V396" s="1653">
        <v>224989.96520000001</v>
      </c>
      <c r="W396" s="1653">
        <v>224989.96520000001</v>
      </c>
      <c r="X396" s="1653">
        <v>212028.58676999999</v>
      </c>
      <c r="Y396" s="1653">
        <v>0</v>
      </c>
      <c r="Z396" s="1653">
        <v>183505.6537383734</v>
      </c>
      <c r="AA396" s="1653">
        <v>0</v>
      </c>
      <c r="AB396" s="1653">
        <v>0</v>
      </c>
      <c r="AC396" s="1653">
        <v>0</v>
      </c>
      <c r="AD396" s="1653">
        <v>0</v>
      </c>
      <c r="AE396" s="1653">
        <v>0</v>
      </c>
      <c r="AF396" s="1653"/>
      <c r="AG396" s="1653"/>
      <c r="AH396" s="1653"/>
      <c r="AI396" s="1653">
        <v>0</v>
      </c>
      <c r="AJ396" s="1653">
        <v>0</v>
      </c>
      <c r="AK396" s="1653">
        <v>0</v>
      </c>
      <c r="AL396" s="1653">
        <v>32618.475138435577</v>
      </c>
      <c r="AM396" s="1653"/>
      <c r="AN396" s="1653">
        <v>3032.780569861724</v>
      </c>
      <c r="AO396" s="1653">
        <v>0</v>
      </c>
      <c r="AP396" s="1653">
        <v>0</v>
      </c>
      <c r="AQ396" s="1653">
        <v>0</v>
      </c>
      <c r="AR396" s="1653">
        <v>0</v>
      </c>
      <c r="AS396" s="1653"/>
      <c r="AT396" s="1653"/>
      <c r="AU396" s="1653">
        <v>0</v>
      </c>
      <c r="AV396" s="1653">
        <v>0</v>
      </c>
      <c r="AW396" s="1653">
        <v>0</v>
      </c>
      <c r="AX396" s="1653"/>
      <c r="AY396" s="1653"/>
      <c r="AZ396" s="1653">
        <v>0</v>
      </c>
      <c r="BA396" s="1653"/>
      <c r="BB396" s="1653">
        <v>0</v>
      </c>
      <c r="BC396" s="1653">
        <v>0</v>
      </c>
      <c r="BD396" s="1653">
        <v>0</v>
      </c>
      <c r="BE396" s="1653">
        <v>0</v>
      </c>
      <c r="BF396" s="1653"/>
      <c r="BG396" s="1653">
        <v>5845.9864897595044</v>
      </c>
      <c r="BH396" s="1653">
        <v>0</v>
      </c>
      <c r="BI396" s="1653">
        <v>0</v>
      </c>
      <c r="BJ396" s="1653">
        <v>0</v>
      </c>
      <c r="BK396" s="1653">
        <v>0</v>
      </c>
      <c r="BL396" s="1653">
        <v>0</v>
      </c>
      <c r="BM396" s="1653"/>
      <c r="BN396" s="1653"/>
      <c r="BO396" s="1653"/>
      <c r="BP396" s="1653"/>
      <c r="BQ396" s="1653"/>
      <c r="BR396" s="1653"/>
      <c r="BS396" s="1653"/>
      <c r="BT396" s="1653"/>
      <c r="BU396" s="1653"/>
      <c r="BV396" s="1653">
        <v>5845.9864897595044</v>
      </c>
      <c r="BW396" s="1653"/>
      <c r="BX396" s="1653"/>
      <c r="BY396" s="1653"/>
      <c r="BZ396" s="1653"/>
      <c r="CA396" s="1653"/>
      <c r="CB396" s="1653"/>
      <c r="CC396" s="1653"/>
      <c r="CD396" s="1653"/>
      <c r="CE396" s="1653"/>
      <c r="CF396" s="1653"/>
      <c r="CG396" s="1653"/>
      <c r="CH396" s="1653"/>
      <c r="CI396" s="1653">
        <v>212028.40469999998</v>
      </c>
      <c r="CJ396" s="1653">
        <v>-12961.590500000049</v>
      </c>
      <c r="CK396" s="1653"/>
      <c r="CL396" s="1653"/>
      <c r="CM396" s="1653"/>
      <c r="CN396" s="1653"/>
      <c r="CO396" s="1653">
        <v>-12961.378430000028</v>
      </c>
      <c r="CP396" s="1653">
        <v>0</v>
      </c>
      <c r="CQ396" s="1653">
        <v>31</v>
      </c>
      <c r="CR396" s="1653">
        <v>-12967.563936426042</v>
      </c>
      <c r="CS396" s="1653">
        <v>0</v>
      </c>
      <c r="CT396" s="1653">
        <v>0</v>
      </c>
      <c r="CU396" s="1653">
        <v>0</v>
      </c>
      <c r="CV396" s="1653">
        <v>0</v>
      </c>
      <c r="CW396" s="1653"/>
      <c r="CX396" s="1653"/>
      <c r="CY396" s="1653"/>
      <c r="CZ396" s="1653">
        <v>0</v>
      </c>
      <c r="DA396" s="1653">
        <v>0</v>
      </c>
      <c r="DB396" s="1653">
        <v>0</v>
      </c>
      <c r="DC396" s="1653"/>
      <c r="DD396" s="1653"/>
      <c r="DE396" s="1653">
        <v>0</v>
      </c>
      <c r="DF396" s="1653">
        <v>0</v>
      </c>
      <c r="DG396" s="1653">
        <v>314.92165806278899</v>
      </c>
      <c r="DH396" s="1653">
        <v>0</v>
      </c>
      <c r="DI396" s="1653">
        <v>-11696.884361352189</v>
      </c>
      <c r="DJ396" s="1653"/>
      <c r="DK396" s="1653">
        <v>0</v>
      </c>
      <c r="DL396" s="1653">
        <v>0</v>
      </c>
      <c r="DM396" s="1653"/>
      <c r="DN396" s="1653">
        <v>0</v>
      </c>
      <c r="DO396" s="1653">
        <v>-1710.2452882023172</v>
      </c>
      <c r="DP396" s="1653">
        <v>-200.10110438415859</v>
      </c>
      <c r="DQ396" s="1653">
        <v>0</v>
      </c>
      <c r="DR396" s="1653">
        <v>324.74515944983887</v>
      </c>
      <c r="DS396" s="1653"/>
      <c r="DT396" s="1653"/>
      <c r="DU396" s="1653"/>
      <c r="DV396" s="1653">
        <v>0</v>
      </c>
      <c r="DW396" s="1653">
        <v>0</v>
      </c>
      <c r="DX396" s="1653">
        <v>0</v>
      </c>
      <c r="DY396" s="1653">
        <v>-12961.378430000012</v>
      </c>
      <c r="DZ396" s="1653"/>
      <c r="EA396" s="1653">
        <v>0</v>
      </c>
      <c r="EB396" s="1653"/>
      <c r="EC396" s="1653">
        <v>0</v>
      </c>
      <c r="ED396" s="1653"/>
      <c r="EE396" s="1653">
        <v>0</v>
      </c>
      <c r="EF396" s="1653">
        <v>0</v>
      </c>
      <c r="EG396" s="1653"/>
      <c r="EH396" s="1653">
        <v>0</v>
      </c>
      <c r="EI396" s="1653">
        <v>0</v>
      </c>
      <c r="EJ396" s="1653">
        <v>0</v>
      </c>
      <c r="EK396" s="1653">
        <v>0</v>
      </c>
      <c r="EL396" s="1653">
        <v>0</v>
      </c>
      <c r="EM396" s="1653"/>
      <c r="EN396" s="1653"/>
      <c r="EO396" s="1653">
        <v>0</v>
      </c>
      <c r="EP396" s="1653">
        <v>0</v>
      </c>
      <c r="EQ396" s="1653"/>
      <c r="ER396" s="1653">
        <v>0</v>
      </c>
      <c r="ES396" s="1653"/>
      <c r="ET396" s="1653">
        <v>0</v>
      </c>
      <c r="EU396" s="1653"/>
      <c r="EV396" s="1653">
        <v>210</v>
      </c>
      <c r="EW396" s="1653"/>
      <c r="EX396" s="1653"/>
      <c r="EY396" s="1653"/>
      <c r="EZ396" s="1653"/>
      <c r="FA396" s="1653">
        <v>0</v>
      </c>
      <c r="FB396" s="1653"/>
      <c r="FC396" s="1653"/>
      <c r="FD396" s="1653"/>
      <c r="FE396" s="1653"/>
      <c r="FF396" s="1653">
        <v>0</v>
      </c>
      <c r="FG396" s="1653">
        <v>0</v>
      </c>
      <c r="FH396" s="1653">
        <v>0</v>
      </c>
      <c r="FI396" s="1653">
        <v>0</v>
      </c>
    </row>
    <row r="397" spans="1:165">
      <c r="A397" s="1653">
        <v>395</v>
      </c>
      <c r="B397" s="1653" t="s">
        <v>2260</v>
      </c>
      <c r="C397" s="1653" t="s">
        <v>2246</v>
      </c>
      <c r="D397" s="1653" t="s">
        <v>595</v>
      </c>
      <c r="E397" s="1653" t="s">
        <v>969</v>
      </c>
      <c r="F397" s="1653" t="s">
        <v>1323</v>
      </c>
      <c r="G397" s="1653" t="s">
        <v>2261</v>
      </c>
      <c r="H397" s="1653" t="s">
        <v>1323</v>
      </c>
      <c r="I397" s="1653" t="s">
        <v>1323</v>
      </c>
      <c r="J397" s="1653" t="s">
        <v>2262</v>
      </c>
      <c r="K397" s="1654">
        <v>44621</v>
      </c>
      <c r="L397" s="1653">
        <v>9540</v>
      </c>
      <c r="M397" s="1653">
        <v>4783.1559461999996</v>
      </c>
      <c r="N397" s="1653">
        <v>0</v>
      </c>
      <c r="O397" s="1653">
        <v>0</v>
      </c>
      <c r="P397" s="1653">
        <v>0</v>
      </c>
      <c r="Q397" s="1653">
        <v>0</v>
      </c>
      <c r="R397" s="1653">
        <v>33.6</v>
      </c>
      <c r="S397" s="1653"/>
      <c r="T397" s="1653"/>
      <c r="U397" s="1653">
        <v>320544</v>
      </c>
      <c r="V397" s="1653"/>
      <c r="W397" s="1653">
        <v>320544</v>
      </c>
      <c r="X397" s="1653">
        <v>302990.40000000002</v>
      </c>
      <c r="Y397" s="1653">
        <v>0</v>
      </c>
      <c r="Z397" s="1653">
        <v>0</v>
      </c>
      <c r="AA397" s="1653">
        <v>0</v>
      </c>
      <c r="AB397" s="1653">
        <v>0</v>
      </c>
      <c r="AC397" s="1653">
        <v>0</v>
      </c>
      <c r="AD397" s="1653">
        <v>170246.21189754215</v>
      </c>
      <c r="AE397" s="1653">
        <v>150304.13112434722</v>
      </c>
      <c r="AF397" s="1653"/>
      <c r="AG397" s="1653"/>
      <c r="AH397" s="1653"/>
      <c r="AI397" s="1653">
        <v>0</v>
      </c>
      <c r="AJ397" s="1653">
        <v>0</v>
      </c>
      <c r="AK397" s="1653">
        <v>0</v>
      </c>
      <c r="AL397" s="1653">
        <v>0</v>
      </c>
      <c r="AM397" s="1653"/>
      <c r="AN397" s="1653">
        <v>0</v>
      </c>
      <c r="AO397" s="1653">
        <v>0</v>
      </c>
      <c r="AP397" s="1653">
        <v>0</v>
      </c>
      <c r="AQ397" s="1653">
        <v>0</v>
      </c>
      <c r="AR397" s="1653">
        <v>0</v>
      </c>
      <c r="AS397" s="1653"/>
      <c r="AT397" s="1653"/>
      <c r="AU397" s="1653">
        <v>0</v>
      </c>
      <c r="AV397" s="1653">
        <v>0</v>
      </c>
      <c r="AW397" s="1653">
        <v>0</v>
      </c>
      <c r="AX397" s="1653"/>
      <c r="AY397" s="1653"/>
      <c r="AZ397" s="1653">
        <v>0</v>
      </c>
      <c r="BA397" s="1653"/>
      <c r="BB397" s="1653">
        <v>0</v>
      </c>
      <c r="BC397" s="1653">
        <v>0</v>
      </c>
      <c r="BD397" s="1653">
        <v>0</v>
      </c>
      <c r="BE397" s="1653">
        <v>0</v>
      </c>
      <c r="BF397" s="1653"/>
      <c r="BG397" s="1653">
        <v>0</v>
      </c>
      <c r="BH397" s="1653">
        <v>0</v>
      </c>
      <c r="BI397" s="1653">
        <v>0</v>
      </c>
      <c r="BJ397" s="1653">
        <v>0</v>
      </c>
      <c r="BK397" s="1653">
        <v>221076.88</v>
      </c>
      <c r="BL397" s="1653">
        <v>3</v>
      </c>
      <c r="BM397" s="1653"/>
      <c r="BN397" s="1653">
        <v>151077.36714868803</v>
      </c>
      <c r="BO397" s="1653"/>
      <c r="BP397" s="1653"/>
      <c r="BQ397" s="1653"/>
      <c r="BR397" s="1653"/>
      <c r="BS397" s="1653"/>
      <c r="BT397" s="1653"/>
      <c r="BU397" s="1653"/>
      <c r="BV397" s="1653">
        <v>0</v>
      </c>
      <c r="BW397" s="1653"/>
      <c r="BX397" s="1653"/>
      <c r="BY397" s="1653"/>
      <c r="BZ397" s="1653"/>
      <c r="CA397" s="1653"/>
      <c r="CB397" s="1653"/>
      <c r="CC397" s="1653"/>
      <c r="CD397" s="1653"/>
      <c r="CE397" s="1653"/>
      <c r="CF397" s="1653"/>
      <c r="CG397" s="1653"/>
      <c r="CH397" s="1653"/>
      <c r="CI397" s="1653">
        <v>151913.16159999999</v>
      </c>
      <c r="CJ397" s="1653">
        <v>-8800.9081923200283</v>
      </c>
      <c r="CK397" s="1653"/>
      <c r="CL397" s="1653"/>
      <c r="CM397" s="1653"/>
      <c r="CN397" s="1653"/>
      <c r="CO397" s="1653">
        <v>-17553.599999999999</v>
      </c>
      <c r="CP397" s="1653">
        <v>0</v>
      </c>
      <c r="CQ397" s="1653">
        <v>31</v>
      </c>
      <c r="CR397" s="1653">
        <v>6298.4230622142495</v>
      </c>
      <c r="CS397" s="1653">
        <v>0</v>
      </c>
      <c r="CT397" s="1653">
        <v>0</v>
      </c>
      <c r="CU397" s="1653">
        <v>0</v>
      </c>
      <c r="CV397" s="1653">
        <v>0</v>
      </c>
      <c r="CW397" s="1653"/>
      <c r="CX397" s="1653"/>
      <c r="CY397" s="1653"/>
      <c r="CZ397" s="1653">
        <v>5835.7749179621169</v>
      </c>
      <c r="DA397" s="1653">
        <v>0</v>
      </c>
      <c r="DB397" s="1653">
        <v>0</v>
      </c>
      <c r="DC397" s="1653"/>
      <c r="DD397" s="1653"/>
      <c r="DE397" s="1653">
        <v>0</v>
      </c>
      <c r="DF397" s="1653">
        <v>0</v>
      </c>
      <c r="DG397" s="1653">
        <v>0</v>
      </c>
      <c r="DH397" s="1653">
        <v>0</v>
      </c>
      <c r="DI397" s="1653">
        <v>0</v>
      </c>
      <c r="DJ397" s="1653"/>
      <c r="DK397" s="1653">
        <v>0</v>
      </c>
      <c r="DL397" s="1653">
        <v>0</v>
      </c>
      <c r="DM397" s="1653"/>
      <c r="DN397" s="1653">
        <v>0</v>
      </c>
      <c r="DO397" s="1653">
        <v>0</v>
      </c>
      <c r="DP397" s="1653">
        <v>0</v>
      </c>
      <c r="DQ397" s="1653">
        <v>0</v>
      </c>
      <c r="DR397" s="1653">
        <v>462.64814425212649</v>
      </c>
      <c r="DS397" s="1653"/>
      <c r="DT397" s="1653"/>
      <c r="DU397" s="1653">
        <v>150304.13112434722</v>
      </c>
      <c r="DV397" s="1653"/>
      <c r="DW397" s="1653">
        <v>0</v>
      </c>
      <c r="DX397" s="1653">
        <v>0</v>
      </c>
      <c r="DY397" s="1653">
        <v>-17553.599999999977</v>
      </c>
      <c r="DZ397" s="1653"/>
      <c r="EA397" s="1653">
        <v>0</v>
      </c>
      <c r="EB397" s="1653"/>
      <c r="EC397" s="1653">
        <v>-23891.289806741668</v>
      </c>
      <c r="ED397" s="1653"/>
      <c r="EE397" s="1653">
        <v>0</v>
      </c>
      <c r="EF397" s="1653">
        <v>0</v>
      </c>
      <c r="EG397" s="1653"/>
      <c r="EH397" s="1653">
        <v>0</v>
      </c>
      <c r="EI397" s="1653">
        <v>0</v>
      </c>
      <c r="EJ397" s="1653">
        <v>0</v>
      </c>
      <c r="EK397" s="1653">
        <v>0</v>
      </c>
      <c r="EL397" s="1653">
        <v>0</v>
      </c>
      <c r="EM397" s="1653"/>
      <c r="EN397" s="1653"/>
      <c r="EO397" s="1653">
        <v>0</v>
      </c>
      <c r="EP397" s="1653">
        <v>0</v>
      </c>
      <c r="EQ397" s="1653"/>
      <c r="ER397" s="1653">
        <v>0</v>
      </c>
      <c r="ES397" s="1653"/>
      <c r="ET397" s="1653">
        <v>0</v>
      </c>
      <c r="EU397" s="1653"/>
      <c r="EV397" s="1653">
        <v>210</v>
      </c>
      <c r="EW397" s="1653"/>
      <c r="EX397" s="1653"/>
      <c r="EY397" s="1653"/>
      <c r="EZ397" s="1653"/>
      <c r="FA397" s="1653">
        <v>0</v>
      </c>
      <c r="FB397" s="1653"/>
      <c r="FC397" s="1653"/>
      <c r="FD397" s="1653"/>
      <c r="FE397" s="1653"/>
      <c r="FF397" s="1653">
        <v>0</v>
      </c>
      <c r="FG397" s="1653">
        <v>0</v>
      </c>
      <c r="FH397" s="1653">
        <v>0</v>
      </c>
      <c r="FI397" s="1653">
        <v>0</v>
      </c>
    </row>
    <row r="398" spans="1:165">
      <c r="A398" s="1653">
        <v>396</v>
      </c>
      <c r="B398" s="1653" t="s">
        <v>2260</v>
      </c>
      <c r="C398" s="1653" t="s">
        <v>2246</v>
      </c>
      <c r="D398" s="1653" t="s">
        <v>595</v>
      </c>
      <c r="E398" s="1653" t="s">
        <v>969</v>
      </c>
      <c r="F398" s="1653" t="s">
        <v>1323</v>
      </c>
      <c r="G398" s="1653" t="s">
        <v>2261</v>
      </c>
      <c r="H398" s="1653" t="s">
        <v>1323</v>
      </c>
      <c r="I398" s="1653" t="s">
        <v>972</v>
      </c>
      <c r="J398" s="1653" t="s">
        <v>2262</v>
      </c>
      <c r="K398" s="1654">
        <v>44652</v>
      </c>
      <c r="L398" s="1653">
        <v>0</v>
      </c>
      <c r="M398" s="1653">
        <v>0</v>
      </c>
      <c r="N398" s="1653">
        <v>330.07299999999998</v>
      </c>
      <c r="O398" s="1653">
        <v>165.49168056919001</v>
      </c>
      <c r="P398" s="1653">
        <v>0</v>
      </c>
      <c r="Q398" s="1653">
        <v>0</v>
      </c>
      <c r="R398" s="1653"/>
      <c r="S398" s="1653">
        <v>1856.88</v>
      </c>
      <c r="T398" s="1653"/>
      <c r="U398" s="1653"/>
      <c r="V398" s="1653">
        <v>612905.95224000001</v>
      </c>
      <c r="W398" s="1653">
        <v>612905.95224000001</v>
      </c>
      <c r="X398" s="1653">
        <v>549746.48368999991</v>
      </c>
      <c r="Y398" s="1653">
        <v>0</v>
      </c>
      <c r="Z398" s="1653">
        <v>17337.328118433197</v>
      </c>
      <c r="AA398" s="1653">
        <v>0</v>
      </c>
      <c r="AB398" s="1653">
        <v>0</v>
      </c>
      <c r="AC398" s="1653">
        <v>0</v>
      </c>
      <c r="AD398" s="1653">
        <v>161766.09394690522</v>
      </c>
      <c r="AE398" s="1653">
        <v>429880.9757679918</v>
      </c>
      <c r="AF398" s="1653"/>
      <c r="AG398" s="1653"/>
      <c r="AH398" s="1653"/>
      <c r="AI398" s="1653">
        <v>0</v>
      </c>
      <c r="AJ398" s="1653">
        <v>0</v>
      </c>
      <c r="AK398" s="1653">
        <v>0</v>
      </c>
      <c r="AL398" s="1653">
        <v>3081.7426857282508</v>
      </c>
      <c r="AM398" s="1653"/>
      <c r="AN398" s="1653">
        <v>286.53238077267099</v>
      </c>
      <c r="AO398" s="1653">
        <v>0</v>
      </c>
      <c r="AP398" s="1653">
        <v>0</v>
      </c>
      <c r="AQ398" s="1653">
        <v>0</v>
      </c>
      <c r="AR398" s="1653">
        <v>0</v>
      </c>
      <c r="AS398" s="1653"/>
      <c r="AT398" s="1653"/>
      <c r="AU398" s="1653">
        <v>0</v>
      </c>
      <c r="AV398" s="1653">
        <v>0</v>
      </c>
      <c r="AW398" s="1653">
        <v>0</v>
      </c>
      <c r="AX398" s="1653"/>
      <c r="AY398" s="1653"/>
      <c r="AZ398" s="1653">
        <v>0</v>
      </c>
      <c r="BA398" s="1653"/>
      <c r="BB398" s="1653">
        <v>0</v>
      </c>
      <c r="BC398" s="1653">
        <v>0</v>
      </c>
      <c r="BD398" s="1653">
        <v>0</v>
      </c>
      <c r="BE398" s="1653">
        <v>0</v>
      </c>
      <c r="BF398" s="1653"/>
      <c r="BG398" s="1653">
        <v>552.31969088750566</v>
      </c>
      <c r="BH398" s="1653">
        <v>0</v>
      </c>
      <c r="BI398" s="1653">
        <v>0</v>
      </c>
      <c r="BJ398" s="1653">
        <v>0</v>
      </c>
      <c r="BK398" s="1653">
        <v>0</v>
      </c>
      <c r="BL398" s="1653">
        <v>0</v>
      </c>
      <c r="BM398" s="1653"/>
      <c r="BN398" s="1653">
        <v>274115.1249515969</v>
      </c>
      <c r="BO398" s="1653"/>
      <c r="BP398" s="1653"/>
      <c r="BQ398" s="1653"/>
      <c r="BR398" s="1653"/>
      <c r="BS398" s="1653"/>
      <c r="BT398" s="1653"/>
      <c r="BU398" s="1653"/>
      <c r="BV398" s="1653">
        <v>552.31969088750566</v>
      </c>
      <c r="BW398" s="1653"/>
      <c r="BX398" s="1653"/>
      <c r="BY398" s="1653"/>
      <c r="BZ398" s="1653"/>
      <c r="CA398" s="1653"/>
      <c r="CB398" s="1653"/>
      <c r="CC398" s="1653"/>
      <c r="CD398" s="1653"/>
      <c r="CE398" s="1653"/>
      <c r="CF398" s="1653"/>
      <c r="CG398" s="1653"/>
      <c r="CH398" s="1653"/>
      <c r="CI398" s="1653">
        <v>275628.55969999998</v>
      </c>
      <c r="CJ398" s="1653">
        <v>-31669.662115317595</v>
      </c>
      <c r="CK398" s="1653"/>
      <c r="CL398" s="1653"/>
      <c r="CM398" s="1653"/>
      <c r="CN398" s="1653"/>
      <c r="CO398" s="1653">
        <v>-63159.468550000041</v>
      </c>
      <c r="CP398" s="1653">
        <v>0</v>
      </c>
      <c r="CQ398" s="1653">
        <v>30</v>
      </c>
      <c r="CR398" s="1653">
        <v>5173.8546769463574</v>
      </c>
      <c r="CS398" s="1653">
        <v>0</v>
      </c>
      <c r="CT398" s="1653">
        <v>0</v>
      </c>
      <c r="CU398" s="1653">
        <v>0</v>
      </c>
      <c r="CV398" s="1653">
        <v>0</v>
      </c>
      <c r="CW398" s="1653"/>
      <c r="CX398" s="1653"/>
      <c r="CY398" s="1653"/>
      <c r="CZ398" s="1653">
        <v>5545.0896857563639</v>
      </c>
      <c r="DA398" s="1653">
        <v>0</v>
      </c>
      <c r="DB398" s="1653">
        <v>0</v>
      </c>
      <c r="DC398" s="1653"/>
      <c r="DD398" s="1653"/>
      <c r="DE398" s="1653">
        <v>0</v>
      </c>
      <c r="DF398" s="1653">
        <v>0</v>
      </c>
      <c r="DG398" s="1653">
        <v>29.753307357057452</v>
      </c>
      <c r="DH398" s="1653">
        <v>0</v>
      </c>
      <c r="DI398" s="1653">
        <v>-1105.1034014747984</v>
      </c>
      <c r="DJ398" s="1653"/>
      <c r="DK398" s="1653">
        <v>0</v>
      </c>
      <c r="DL398" s="1653">
        <v>0</v>
      </c>
      <c r="DM398" s="1653"/>
      <c r="DN398" s="1653">
        <v>0</v>
      </c>
      <c r="DO398" s="1653">
        <v>-161.58130891619248</v>
      </c>
      <c r="DP398" s="1653">
        <v>-18.905240426625369</v>
      </c>
      <c r="DQ398" s="1653">
        <v>0</v>
      </c>
      <c r="DR398" s="1653">
        <v>884.60163465055882</v>
      </c>
      <c r="DS398" s="1653"/>
      <c r="DT398" s="1653"/>
      <c r="DU398" s="1653"/>
      <c r="DV398" s="1653">
        <v>429880.9757679918</v>
      </c>
      <c r="DW398" s="1653">
        <v>0</v>
      </c>
      <c r="DX398" s="1653">
        <v>0</v>
      </c>
      <c r="DY398" s="1653">
        <v>-63159.468550000107</v>
      </c>
      <c r="DZ398" s="1653"/>
      <c r="EA398" s="1653">
        <v>0</v>
      </c>
      <c r="EB398" s="1653"/>
      <c r="EC398" s="1653">
        <v>-68330.862882144575</v>
      </c>
      <c r="ED398" s="1653"/>
      <c r="EE398" s="1653">
        <v>0</v>
      </c>
      <c r="EF398" s="1653">
        <v>0</v>
      </c>
      <c r="EG398" s="1653"/>
      <c r="EH398" s="1653">
        <v>0</v>
      </c>
      <c r="EI398" s="1653">
        <v>0</v>
      </c>
      <c r="EJ398" s="1653">
        <v>0</v>
      </c>
      <c r="EK398" s="1653">
        <v>0</v>
      </c>
      <c r="EL398" s="1653">
        <v>0</v>
      </c>
      <c r="EM398" s="1653"/>
      <c r="EN398" s="1653"/>
      <c r="EO398" s="1653">
        <v>0</v>
      </c>
      <c r="EP398" s="1653">
        <v>0</v>
      </c>
      <c r="EQ398" s="1653"/>
      <c r="ER398" s="1653">
        <v>0</v>
      </c>
      <c r="ES398" s="1653"/>
      <c r="ET398" s="1653">
        <v>0</v>
      </c>
      <c r="EU398" s="1653"/>
      <c r="EV398" s="1653">
        <v>210</v>
      </c>
      <c r="EW398" s="1653"/>
      <c r="EX398" s="1653"/>
      <c r="EY398" s="1653"/>
      <c r="EZ398" s="1653"/>
      <c r="FA398" s="1653">
        <v>0</v>
      </c>
      <c r="FB398" s="1653"/>
      <c r="FC398" s="1653"/>
      <c r="FD398" s="1653"/>
      <c r="FE398" s="1653"/>
      <c r="FF398" s="1653">
        <v>0</v>
      </c>
      <c r="FG398" s="1653">
        <v>0</v>
      </c>
      <c r="FH398" s="1653">
        <v>0</v>
      </c>
      <c r="FI398" s="1653">
        <v>0</v>
      </c>
    </row>
    <row r="399" spans="1:165">
      <c r="A399" s="1653">
        <v>397</v>
      </c>
      <c r="B399" s="1653" t="s">
        <v>2260</v>
      </c>
      <c r="C399" s="1653" t="s">
        <v>2246</v>
      </c>
      <c r="D399" s="1653" t="s">
        <v>595</v>
      </c>
      <c r="E399" s="1653" t="s">
        <v>969</v>
      </c>
      <c r="F399" s="1653" t="s">
        <v>1323</v>
      </c>
      <c r="G399" s="1653" t="s">
        <v>2261</v>
      </c>
      <c r="H399" s="1653" t="s">
        <v>1323</v>
      </c>
      <c r="I399" s="1653" t="s">
        <v>2234</v>
      </c>
      <c r="J399" s="1653" t="s">
        <v>2262</v>
      </c>
      <c r="K399" s="1654">
        <v>44652</v>
      </c>
      <c r="L399" s="1653">
        <v>0</v>
      </c>
      <c r="M399" s="1653">
        <v>0</v>
      </c>
      <c r="N399" s="1653">
        <v>3493.6329999999998</v>
      </c>
      <c r="O399" s="1653">
        <v>3493.6329999999998</v>
      </c>
      <c r="P399" s="1653">
        <v>0</v>
      </c>
      <c r="Q399" s="1653">
        <v>0</v>
      </c>
      <c r="R399" s="1653"/>
      <c r="S399" s="1653">
        <v>64.400000000000006</v>
      </c>
      <c r="T399" s="1653"/>
      <c r="U399" s="1653"/>
      <c r="V399" s="1653">
        <v>224989.96520000001</v>
      </c>
      <c r="W399" s="1653">
        <v>224989.96520000001</v>
      </c>
      <c r="X399" s="1653">
        <v>212028.58676999999</v>
      </c>
      <c r="Y399" s="1653">
        <v>0</v>
      </c>
      <c r="Z399" s="1653">
        <v>183505.6537383734</v>
      </c>
      <c r="AA399" s="1653">
        <v>0</v>
      </c>
      <c r="AB399" s="1653">
        <v>0</v>
      </c>
      <c r="AC399" s="1653">
        <v>0</v>
      </c>
      <c r="AD399" s="1653">
        <v>0</v>
      </c>
      <c r="AE399" s="1653">
        <v>0</v>
      </c>
      <c r="AF399" s="1653"/>
      <c r="AG399" s="1653"/>
      <c r="AH399" s="1653"/>
      <c r="AI399" s="1653">
        <v>0</v>
      </c>
      <c r="AJ399" s="1653">
        <v>0</v>
      </c>
      <c r="AK399" s="1653">
        <v>0</v>
      </c>
      <c r="AL399" s="1653">
        <v>32618.475138435577</v>
      </c>
      <c r="AM399" s="1653"/>
      <c r="AN399" s="1653">
        <v>3032.780569861724</v>
      </c>
      <c r="AO399" s="1653">
        <v>0</v>
      </c>
      <c r="AP399" s="1653">
        <v>0</v>
      </c>
      <c r="AQ399" s="1653">
        <v>0</v>
      </c>
      <c r="AR399" s="1653">
        <v>0</v>
      </c>
      <c r="AS399" s="1653"/>
      <c r="AT399" s="1653"/>
      <c r="AU399" s="1653">
        <v>0</v>
      </c>
      <c r="AV399" s="1653">
        <v>0</v>
      </c>
      <c r="AW399" s="1653">
        <v>0</v>
      </c>
      <c r="AX399" s="1653"/>
      <c r="AY399" s="1653"/>
      <c r="AZ399" s="1653">
        <v>0</v>
      </c>
      <c r="BA399" s="1653"/>
      <c r="BB399" s="1653">
        <v>0</v>
      </c>
      <c r="BC399" s="1653">
        <v>0</v>
      </c>
      <c r="BD399" s="1653">
        <v>0</v>
      </c>
      <c r="BE399" s="1653">
        <v>0</v>
      </c>
      <c r="BF399" s="1653"/>
      <c r="BG399" s="1653">
        <v>5845.9864897595044</v>
      </c>
      <c r="BH399" s="1653">
        <v>0</v>
      </c>
      <c r="BI399" s="1653">
        <v>0</v>
      </c>
      <c r="BJ399" s="1653">
        <v>0</v>
      </c>
      <c r="BK399" s="1653">
        <v>0</v>
      </c>
      <c r="BL399" s="1653">
        <v>0</v>
      </c>
      <c r="BM399" s="1653"/>
      <c r="BN399" s="1653"/>
      <c r="BO399" s="1653"/>
      <c r="BP399" s="1653"/>
      <c r="BQ399" s="1653"/>
      <c r="BR399" s="1653"/>
      <c r="BS399" s="1653"/>
      <c r="BT399" s="1653"/>
      <c r="BU399" s="1653"/>
      <c r="BV399" s="1653">
        <v>5845.9864897595044</v>
      </c>
      <c r="BW399" s="1653"/>
      <c r="BX399" s="1653"/>
      <c r="BY399" s="1653"/>
      <c r="BZ399" s="1653"/>
      <c r="CA399" s="1653"/>
      <c r="CB399" s="1653"/>
      <c r="CC399" s="1653"/>
      <c r="CD399" s="1653"/>
      <c r="CE399" s="1653"/>
      <c r="CF399" s="1653"/>
      <c r="CG399" s="1653"/>
      <c r="CH399" s="1653"/>
      <c r="CI399" s="1653">
        <v>212028.40469999998</v>
      </c>
      <c r="CJ399" s="1653">
        <v>-12961.590500000049</v>
      </c>
      <c r="CK399" s="1653"/>
      <c r="CL399" s="1653"/>
      <c r="CM399" s="1653"/>
      <c r="CN399" s="1653"/>
      <c r="CO399" s="1653">
        <v>-12961.378430000028</v>
      </c>
      <c r="CP399" s="1653">
        <v>0</v>
      </c>
      <c r="CQ399" s="1653">
        <v>30</v>
      </c>
      <c r="CR399" s="1653">
        <v>-12967.563936426042</v>
      </c>
      <c r="CS399" s="1653">
        <v>0</v>
      </c>
      <c r="CT399" s="1653">
        <v>0</v>
      </c>
      <c r="CU399" s="1653">
        <v>0</v>
      </c>
      <c r="CV399" s="1653">
        <v>0</v>
      </c>
      <c r="CW399" s="1653"/>
      <c r="CX399" s="1653"/>
      <c r="CY399" s="1653"/>
      <c r="CZ399" s="1653">
        <v>0</v>
      </c>
      <c r="DA399" s="1653">
        <v>0</v>
      </c>
      <c r="DB399" s="1653">
        <v>0</v>
      </c>
      <c r="DC399" s="1653"/>
      <c r="DD399" s="1653"/>
      <c r="DE399" s="1653">
        <v>0</v>
      </c>
      <c r="DF399" s="1653">
        <v>0</v>
      </c>
      <c r="DG399" s="1653">
        <v>314.92165806278899</v>
      </c>
      <c r="DH399" s="1653">
        <v>0</v>
      </c>
      <c r="DI399" s="1653">
        <v>-11696.884361352189</v>
      </c>
      <c r="DJ399" s="1653"/>
      <c r="DK399" s="1653">
        <v>0</v>
      </c>
      <c r="DL399" s="1653">
        <v>0</v>
      </c>
      <c r="DM399" s="1653"/>
      <c r="DN399" s="1653">
        <v>0</v>
      </c>
      <c r="DO399" s="1653">
        <v>-1710.2452882023172</v>
      </c>
      <c r="DP399" s="1653">
        <v>-200.10110438415859</v>
      </c>
      <c r="DQ399" s="1653">
        <v>0</v>
      </c>
      <c r="DR399" s="1653">
        <v>324.74515944983887</v>
      </c>
      <c r="DS399" s="1653"/>
      <c r="DT399" s="1653"/>
      <c r="DU399" s="1653"/>
      <c r="DV399" s="1653">
        <v>0</v>
      </c>
      <c r="DW399" s="1653">
        <v>0</v>
      </c>
      <c r="DX399" s="1653">
        <v>0</v>
      </c>
      <c r="DY399" s="1653">
        <v>-12961.378430000012</v>
      </c>
      <c r="DZ399" s="1653"/>
      <c r="EA399" s="1653">
        <v>0</v>
      </c>
      <c r="EB399" s="1653"/>
      <c r="EC399" s="1653">
        <v>0</v>
      </c>
      <c r="ED399" s="1653"/>
      <c r="EE399" s="1653">
        <v>0</v>
      </c>
      <c r="EF399" s="1653">
        <v>0</v>
      </c>
      <c r="EG399" s="1653"/>
      <c r="EH399" s="1653">
        <v>0</v>
      </c>
      <c r="EI399" s="1653">
        <v>0</v>
      </c>
      <c r="EJ399" s="1653">
        <v>0</v>
      </c>
      <c r="EK399" s="1653">
        <v>0</v>
      </c>
      <c r="EL399" s="1653">
        <v>0</v>
      </c>
      <c r="EM399" s="1653"/>
      <c r="EN399" s="1653"/>
      <c r="EO399" s="1653">
        <v>0</v>
      </c>
      <c r="EP399" s="1653">
        <v>0</v>
      </c>
      <c r="EQ399" s="1653"/>
      <c r="ER399" s="1653">
        <v>0</v>
      </c>
      <c r="ES399" s="1653"/>
      <c r="ET399" s="1653">
        <v>0</v>
      </c>
      <c r="EU399" s="1653"/>
      <c r="EV399" s="1653">
        <v>210</v>
      </c>
      <c r="EW399" s="1653"/>
      <c r="EX399" s="1653"/>
      <c r="EY399" s="1653"/>
      <c r="EZ399" s="1653"/>
      <c r="FA399" s="1653">
        <v>0</v>
      </c>
      <c r="FB399" s="1653"/>
      <c r="FC399" s="1653"/>
      <c r="FD399" s="1653"/>
      <c r="FE399" s="1653"/>
      <c r="FF399" s="1653">
        <v>0</v>
      </c>
      <c r="FG399" s="1653">
        <v>0</v>
      </c>
      <c r="FH399" s="1653">
        <v>0</v>
      </c>
      <c r="FI399" s="1653">
        <v>0</v>
      </c>
    </row>
    <row r="400" spans="1:165">
      <c r="A400" s="1653">
        <v>398</v>
      </c>
      <c r="B400" s="1653" t="s">
        <v>2260</v>
      </c>
      <c r="C400" s="1653" t="s">
        <v>2246</v>
      </c>
      <c r="D400" s="1653" t="s">
        <v>595</v>
      </c>
      <c r="E400" s="1653" t="s">
        <v>969</v>
      </c>
      <c r="F400" s="1653" t="s">
        <v>1323</v>
      </c>
      <c r="G400" s="1653" t="s">
        <v>2261</v>
      </c>
      <c r="H400" s="1653" t="s">
        <v>1323</v>
      </c>
      <c r="I400" s="1653" t="s">
        <v>1323</v>
      </c>
      <c r="J400" s="1653" t="s">
        <v>2262</v>
      </c>
      <c r="K400" s="1654">
        <v>44652</v>
      </c>
      <c r="L400" s="1653">
        <v>9540</v>
      </c>
      <c r="M400" s="1653">
        <v>4783.1559461999996</v>
      </c>
      <c r="N400" s="1653">
        <v>0</v>
      </c>
      <c r="O400" s="1653">
        <v>0</v>
      </c>
      <c r="P400" s="1653">
        <v>0</v>
      </c>
      <c r="Q400" s="1653">
        <v>0</v>
      </c>
      <c r="R400" s="1653">
        <v>33.6</v>
      </c>
      <c r="S400" s="1653"/>
      <c r="T400" s="1653"/>
      <c r="U400" s="1653">
        <v>320544</v>
      </c>
      <c r="V400" s="1653"/>
      <c r="W400" s="1653">
        <v>320544</v>
      </c>
      <c r="X400" s="1653">
        <v>302990.40000000002</v>
      </c>
      <c r="Y400" s="1653">
        <v>0</v>
      </c>
      <c r="Z400" s="1653">
        <v>0</v>
      </c>
      <c r="AA400" s="1653">
        <v>0</v>
      </c>
      <c r="AB400" s="1653">
        <v>0</v>
      </c>
      <c r="AC400" s="1653">
        <v>0</v>
      </c>
      <c r="AD400" s="1653">
        <v>170246.21189754215</v>
      </c>
      <c r="AE400" s="1653">
        <v>150304.13112434722</v>
      </c>
      <c r="AF400" s="1653"/>
      <c r="AG400" s="1653"/>
      <c r="AH400" s="1653"/>
      <c r="AI400" s="1653">
        <v>0</v>
      </c>
      <c r="AJ400" s="1653">
        <v>0</v>
      </c>
      <c r="AK400" s="1653">
        <v>0</v>
      </c>
      <c r="AL400" s="1653">
        <v>0</v>
      </c>
      <c r="AM400" s="1653"/>
      <c r="AN400" s="1653">
        <v>0</v>
      </c>
      <c r="AO400" s="1653">
        <v>0</v>
      </c>
      <c r="AP400" s="1653">
        <v>0</v>
      </c>
      <c r="AQ400" s="1653">
        <v>0</v>
      </c>
      <c r="AR400" s="1653">
        <v>0</v>
      </c>
      <c r="AS400" s="1653"/>
      <c r="AT400" s="1653"/>
      <c r="AU400" s="1653">
        <v>0</v>
      </c>
      <c r="AV400" s="1653">
        <v>0</v>
      </c>
      <c r="AW400" s="1653">
        <v>0</v>
      </c>
      <c r="AX400" s="1653"/>
      <c r="AY400" s="1653"/>
      <c r="AZ400" s="1653">
        <v>0</v>
      </c>
      <c r="BA400" s="1653"/>
      <c r="BB400" s="1653">
        <v>0</v>
      </c>
      <c r="BC400" s="1653">
        <v>0</v>
      </c>
      <c r="BD400" s="1653">
        <v>0</v>
      </c>
      <c r="BE400" s="1653">
        <v>0</v>
      </c>
      <c r="BF400" s="1653"/>
      <c r="BG400" s="1653">
        <v>0</v>
      </c>
      <c r="BH400" s="1653">
        <v>0</v>
      </c>
      <c r="BI400" s="1653">
        <v>0</v>
      </c>
      <c r="BJ400" s="1653">
        <v>0</v>
      </c>
      <c r="BK400" s="1653">
        <v>221076.88</v>
      </c>
      <c r="BL400" s="1653">
        <v>3</v>
      </c>
      <c r="BM400" s="1653"/>
      <c r="BN400" s="1653">
        <v>151077.36714868803</v>
      </c>
      <c r="BO400" s="1653"/>
      <c r="BP400" s="1653"/>
      <c r="BQ400" s="1653"/>
      <c r="BR400" s="1653"/>
      <c r="BS400" s="1653"/>
      <c r="BT400" s="1653"/>
      <c r="BU400" s="1653"/>
      <c r="BV400" s="1653">
        <v>0</v>
      </c>
      <c r="BW400" s="1653"/>
      <c r="BX400" s="1653"/>
      <c r="BY400" s="1653"/>
      <c r="BZ400" s="1653"/>
      <c r="CA400" s="1653"/>
      <c r="CB400" s="1653"/>
      <c r="CC400" s="1653"/>
      <c r="CD400" s="1653"/>
      <c r="CE400" s="1653"/>
      <c r="CF400" s="1653"/>
      <c r="CG400" s="1653"/>
      <c r="CH400" s="1653"/>
      <c r="CI400" s="1653">
        <v>151913.16159999999</v>
      </c>
      <c r="CJ400" s="1653">
        <v>-8800.9081923200283</v>
      </c>
      <c r="CK400" s="1653"/>
      <c r="CL400" s="1653"/>
      <c r="CM400" s="1653"/>
      <c r="CN400" s="1653"/>
      <c r="CO400" s="1653">
        <v>-17553.599999999999</v>
      </c>
      <c r="CP400" s="1653">
        <v>0</v>
      </c>
      <c r="CQ400" s="1653">
        <v>30</v>
      </c>
      <c r="CR400" s="1653">
        <v>6298.4230622142495</v>
      </c>
      <c r="CS400" s="1653">
        <v>0</v>
      </c>
      <c r="CT400" s="1653">
        <v>0</v>
      </c>
      <c r="CU400" s="1653">
        <v>0</v>
      </c>
      <c r="CV400" s="1653">
        <v>0</v>
      </c>
      <c r="CW400" s="1653"/>
      <c r="CX400" s="1653"/>
      <c r="CY400" s="1653"/>
      <c r="CZ400" s="1653">
        <v>5835.7749179621169</v>
      </c>
      <c r="DA400" s="1653">
        <v>0</v>
      </c>
      <c r="DB400" s="1653">
        <v>0</v>
      </c>
      <c r="DC400" s="1653"/>
      <c r="DD400" s="1653"/>
      <c r="DE400" s="1653">
        <v>0</v>
      </c>
      <c r="DF400" s="1653">
        <v>0</v>
      </c>
      <c r="DG400" s="1653">
        <v>0</v>
      </c>
      <c r="DH400" s="1653">
        <v>0</v>
      </c>
      <c r="DI400" s="1653">
        <v>0</v>
      </c>
      <c r="DJ400" s="1653"/>
      <c r="DK400" s="1653">
        <v>0</v>
      </c>
      <c r="DL400" s="1653">
        <v>0</v>
      </c>
      <c r="DM400" s="1653"/>
      <c r="DN400" s="1653">
        <v>0</v>
      </c>
      <c r="DO400" s="1653">
        <v>0</v>
      </c>
      <c r="DP400" s="1653">
        <v>0</v>
      </c>
      <c r="DQ400" s="1653">
        <v>0</v>
      </c>
      <c r="DR400" s="1653">
        <v>462.64814425212649</v>
      </c>
      <c r="DS400" s="1653"/>
      <c r="DT400" s="1653"/>
      <c r="DU400" s="1653">
        <v>150304.13112434722</v>
      </c>
      <c r="DV400" s="1653"/>
      <c r="DW400" s="1653">
        <v>0</v>
      </c>
      <c r="DX400" s="1653">
        <v>0</v>
      </c>
      <c r="DY400" s="1653">
        <v>-17553.599999999977</v>
      </c>
      <c r="DZ400" s="1653"/>
      <c r="EA400" s="1653">
        <v>0</v>
      </c>
      <c r="EB400" s="1653"/>
      <c r="EC400" s="1653">
        <v>-23891.289806741668</v>
      </c>
      <c r="ED400" s="1653"/>
      <c r="EE400" s="1653">
        <v>0</v>
      </c>
      <c r="EF400" s="1653">
        <v>0</v>
      </c>
      <c r="EG400" s="1653"/>
      <c r="EH400" s="1653">
        <v>0</v>
      </c>
      <c r="EI400" s="1653">
        <v>0</v>
      </c>
      <c r="EJ400" s="1653">
        <v>0</v>
      </c>
      <c r="EK400" s="1653">
        <v>0</v>
      </c>
      <c r="EL400" s="1653">
        <v>0</v>
      </c>
      <c r="EM400" s="1653"/>
      <c r="EN400" s="1653"/>
      <c r="EO400" s="1653">
        <v>0</v>
      </c>
      <c r="EP400" s="1653">
        <v>0</v>
      </c>
      <c r="EQ400" s="1653"/>
      <c r="ER400" s="1653">
        <v>0</v>
      </c>
      <c r="ES400" s="1653"/>
      <c r="ET400" s="1653">
        <v>0</v>
      </c>
      <c r="EU400" s="1653"/>
      <c r="EV400" s="1653">
        <v>210</v>
      </c>
      <c r="EW400" s="1653"/>
      <c r="EX400" s="1653"/>
      <c r="EY400" s="1653"/>
      <c r="EZ400" s="1653"/>
      <c r="FA400" s="1653">
        <v>0</v>
      </c>
      <c r="FB400" s="1653"/>
      <c r="FC400" s="1653"/>
      <c r="FD400" s="1653"/>
      <c r="FE400" s="1653"/>
      <c r="FF400" s="1653">
        <v>0</v>
      </c>
      <c r="FG400" s="1653">
        <v>0</v>
      </c>
      <c r="FH400" s="1653">
        <v>0</v>
      </c>
      <c r="FI400" s="1653">
        <v>0</v>
      </c>
    </row>
    <row r="401" spans="1:165">
      <c r="A401" s="1655"/>
      <c r="B401" s="1655"/>
      <c r="C401" s="1655"/>
      <c r="D401" s="1655"/>
      <c r="E401" s="1655"/>
      <c r="F401" s="1655"/>
      <c r="G401" s="1655"/>
      <c r="H401" s="1655"/>
      <c r="I401" s="1655"/>
      <c r="J401" s="1655"/>
      <c r="K401" s="1655"/>
      <c r="L401" s="1655"/>
      <c r="M401" s="1655"/>
      <c r="N401" s="1655"/>
      <c r="O401" s="1655"/>
      <c r="P401" s="1655"/>
      <c r="Q401" s="1655"/>
      <c r="R401" s="1655"/>
      <c r="S401" s="1655"/>
      <c r="T401" s="1655"/>
      <c r="U401" s="1655"/>
      <c r="V401" s="1655"/>
      <c r="W401" s="1655"/>
      <c r="X401" s="1655"/>
      <c r="Y401" s="1655"/>
      <c r="Z401" s="1655"/>
      <c r="AA401" s="1655"/>
      <c r="AB401" s="1655"/>
      <c r="AC401" s="1655"/>
      <c r="AD401" s="1655"/>
      <c r="AE401" s="1655"/>
      <c r="AF401" s="1655"/>
      <c r="AG401" s="1655"/>
      <c r="AH401" s="1655"/>
      <c r="AI401" s="1655"/>
      <c r="AJ401" s="1655"/>
      <c r="AK401" s="1655"/>
      <c r="AL401" s="1655"/>
      <c r="AM401" s="1655"/>
      <c r="AN401" s="1655"/>
      <c r="AO401" s="1655"/>
      <c r="AP401" s="1655"/>
      <c r="AQ401" s="1655"/>
      <c r="AR401" s="1655"/>
      <c r="AS401" s="1655"/>
      <c r="AT401" s="1655"/>
      <c r="AU401" s="1655"/>
      <c r="AV401" s="1655"/>
      <c r="AW401" s="1655"/>
      <c r="AX401" s="1655"/>
      <c r="AY401" s="1655"/>
      <c r="AZ401" s="1655"/>
      <c r="BA401" s="1655"/>
      <c r="BB401" s="1655"/>
      <c r="BC401" s="1655"/>
      <c r="BD401" s="1655"/>
      <c r="BE401" s="1655"/>
      <c r="BF401" s="1655"/>
      <c r="BG401" s="1655"/>
      <c r="BH401" s="1655"/>
      <c r="BI401" s="1655"/>
      <c r="BJ401" s="1655"/>
      <c r="BK401" s="1655"/>
      <c r="BL401" s="1655"/>
      <c r="BM401" s="1655"/>
      <c r="BN401" s="1655"/>
      <c r="BO401" s="1655"/>
      <c r="BP401" s="1655"/>
      <c r="BQ401" s="1655"/>
      <c r="BR401" s="1655"/>
      <c r="BS401" s="1655"/>
      <c r="BT401" s="1655"/>
      <c r="BU401" s="1655"/>
      <c r="BV401" s="1655"/>
      <c r="BW401" s="1655"/>
      <c r="BX401" s="1655"/>
      <c r="BY401" s="1655"/>
      <c r="BZ401" s="1655"/>
      <c r="CA401" s="1655"/>
      <c r="CB401" s="1655"/>
      <c r="CC401" s="1655"/>
      <c r="CD401" s="1655"/>
      <c r="CE401" s="1655"/>
      <c r="CF401" s="1655"/>
      <c r="CG401" s="1655"/>
      <c r="CH401" s="1655"/>
      <c r="CI401" s="1655"/>
      <c r="CJ401" s="1655"/>
      <c r="CK401" s="1655"/>
      <c r="CL401" s="1655"/>
      <c r="CM401" s="1655"/>
      <c r="CN401" s="1655"/>
      <c r="CO401" s="1655"/>
      <c r="CP401" s="1655"/>
      <c r="CQ401" s="1655"/>
      <c r="CR401" s="1655"/>
      <c r="CS401" s="1655"/>
      <c r="CT401" s="1655"/>
      <c r="CU401" s="1655"/>
      <c r="CV401" s="1655"/>
      <c r="CW401" s="1655"/>
      <c r="CX401" s="1655"/>
      <c r="CY401" s="1655"/>
      <c r="CZ401" s="1655"/>
      <c r="DA401" s="1655"/>
      <c r="DB401" s="1655"/>
      <c r="DC401" s="1655"/>
      <c r="DD401" s="1655"/>
      <c r="DE401" s="1655"/>
      <c r="DF401" s="1655"/>
      <c r="DG401" s="1655"/>
      <c r="DH401" s="1655"/>
      <c r="DI401" s="1655"/>
      <c r="DJ401" s="1655"/>
      <c r="DK401" s="1655"/>
      <c r="DL401" s="1655"/>
      <c r="DM401" s="1655"/>
      <c r="DN401" s="1655"/>
      <c r="DO401" s="1655"/>
      <c r="DP401" s="1655"/>
      <c r="DQ401" s="1655"/>
      <c r="DR401" s="1655"/>
      <c r="DS401" s="1655"/>
      <c r="DT401" s="1655"/>
      <c r="DU401" s="1655"/>
      <c r="DV401" s="1655"/>
      <c r="DW401" s="1655"/>
      <c r="DX401" s="1655"/>
      <c r="DY401" s="1655"/>
      <c r="DZ401" s="1655"/>
      <c r="EA401" s="1655"/>
      <c r="EB401" s="1655"/>
      <c r="EC401" s="1655"/>
      <c r="ED401" s="1655"/>
      <c r="EE401" s="1655"/>
      <c r="EF401" s="1655"/>
      <c r="EG401" s="1655"/>
      <c r="EH401" s="1655"/>
      <c r="EI401" s="1655"/>
      <c r="EJ401" s="1655"/>
      <c r="EK401" s="1655"/>
      <c r="EL401" s="1655"/>
      <c r="EM401" s="1655"/>
      <c r="EN401" s="1655"/>
      <c r="EO401" s="1655"/>
      <c r="EP401" s="1655"/>
      <c r="EQ401" s="1655"/>
      <c r="ER401" s="1655"/>
      <c r="ES401" s="1655"/>
      <c r="ET401" s="1655"/>
      <c r="EU401" s="1655"/>
      <c r="EV401" s="1655"/>
      <c r="EW401" s="1655"/>
      <c r="EX401" s="1655"/>
      <c r="EY401" s="1655"/>
      <c r="EZ401" s="1655"/>
      <c r="FA401" s="1655"/>
      <c r="FB401" s="1655"/>
      <c r="FC401" s="1655"/>
      <c r="FD401" s="1655"/>
      <c r="FE401" s="1655"/>
      <c r="FF401" s="1655"/>
      <c r="FG401" s="1655"/>
      <c r="FH401" s="1655"/>
      <c r="FI401" s="1655"/>
    </row>
    <row r="402" spans="1:165">
      <c r="A402" s="1655"/>
      <c r="B402" s="1655"/>
      <c r="C402" s="1655"/>
      <c r="D402" s="1655"/>
      <c r="E402" s="1655"/>
      <c r="F402" s="1655"/>
      <c r="G402" s="1655"/>
      <c r="H402" s="1655"/>
      <c r="I402" s="1655"/>
      <c r="J402" s="1655"/>
      <c r="K402" s="1655"/>
      <c r="L402" s="1655"/>
      <c r="M402" s="1655"/>
      <c r="N402" s="1655"/>
      <c r="O402" s="1655"/>
      <c r="P402" s="1655"/>
      <c r="Q402" s="1655"/>
      <c r="R402" s="1655"/>
      <c r="S402" s="1655"/>
      <c r="T402" s="1655"/>
      <c r="U402" s="1655"/>
      <c r="V402" s="1655"/>
      <c r="W402" s="1655"/>
      <c r="X402" s="1655"/>
      <c r="Y402" s="1655"/>
      <c r="Z402" s="1655"/>
      <c r="AA402" s="1655"/>
      <c r="AB402" s="1655"/>
      <c r="AC402" s="1655"/>
      <c r="AD402" s="1655"/>
      <c r="AE402" s="1655"/>
      <c r="AF402" s="1655"/>
      <c r="AG402" s="1655"/>
      <c r="AH402" s="1655"/>
      <c r="AI402" s="1655"/>
      <c r="AJ402" s="1655"/>
      <c r="AK402" s="1655"/>
      <c r="AL402" s="1655"/>
      <c r="AM402" s="1655"/>
      <c r="AN402" s="1655"/>
      <c r="AO402" s="1655"/>
      <c r="AP402" s="1655"/>
      <c r="AQ402" s="1655"/>
      <c r="AR402" s="1655"/>
      <c r="AS402" s="1655"/>
      <c r="AT402" s="1655"/>
      <c r="AU402" s="1655"/>
      <c r="AV402" s="1655"/>
      <c r="AW402" s="1655"/>
      <c r="AX402" s="1655"/>
      <c r="AY402" s="1655"/>
      <c r="AZ402" s="1655"/>
      <c r="BA402" s="1655"/>
      <c r="BB402" s="1655"/>
      <c r="BC402" s="1655"/>
      <c r="BD402" s="1655"/>
      <c r="BE402" s="1655"/>
      <c r="BF402" s="1655"/>
      <c r="BG402" s="1655"/>
      <c r="BH402" s="1655"/>
      <c r="BI402" s="1655"/>
      <c r="BJ402" s="1655"/>
      <c r="BK402" s="1655"/>
      <c r="BL402" s="1655"/>
      <c r="BM402" s="1655"/>
      <c r="BN402" s="1655"/>
      <c r="BO402" s="1655"/>
      <c r="BP402" s="1655"/>
      <c r="BQ402" s="1655"/>
      <c r="BR402" s="1655"/>
      <c r="BS402" s="1655"/>
      <c r="BT402" s="1655"/>
      <c r="BU402" s="1655"/>
      <c r="BV402" s="1655"/>
      <c r="BW402" s="1655"/>
      <c r="BX402" s="1655"/>
      <c r="BY402" s="1655"/>
      <c r="BZ402" s="1655"/>
      <c r="CA402" s="1655"/>
      <c r="CB402" s="1655"/>
      <c r="CC402" s="1655"/>
      <c r="CD402" s="1655"/>
      <c r="CE402" s="1655"/>
      <c r="CF402" s="1655"/>
      <c r="CG402" s="1655"/>
      <c r="CH402" s="1655"/>
      <c r="CI402" s="1655"/>
      <c r="CJ402" s="1655"/>
      <c r="CK402" s="1655"/>
      <c r="CL402" s="1655"/>
      <c r="CM402" s="1655"/>
      <c r="CN402" s="1655"/>
      <c r="CO402" s="1655"/>
      <c r="CP402" s="1655"/>
      <c r="CQ402" s="1655"/>
      <c r="CR402" s="1655"/>
      <c r="CS402" s="1655"/>
      <c r="CT402" s="1655"/>
      <c r="CU402" s="1655"/>
      <c r="CV402" s="1655"/>
      <c r="CW402" s="1655"/>
      <c r="CX402" s="1655"/>
      <c r="CY402" s="1655"/>
      <c r="CZ402" s="1655"/>
      <c r="DA402" s="1655"/>
      <c r="DB402" s="1655"/>
      <c r="DC402" s="1655"/>
      <c r="DD402" s="1655"/>
      <c r="DE402" s="1655"/>
      <c r="DF402" s="1655"/>
      <c r="DG402" s="1655"/>
      <c r="DH402" s="1655"/>
      <c r="DI402" s="1655"/>
      <c r="DJ402" s="1655"/>
      <c r="DK402" s="1655"/>
      <c r="DL402" s="1655"/>
      <c r="DM402" s="1655"/>
      <c r="DN402" s="1655"/>
      <c r="DO402" s="1655"/>
      <c r="DP402" s="1655"/>
      <c r="DQ402" s="1655"/>
      <c r="DR402" s="1655"/>
      <c r="DS402" s="1655"/>
      <c r="DT402" s="1655"/>
      <c r="DU402" s="1655"/>
      <c r="DV402" s="1655"/>
      <c r="DW402" s="1655"/>
      <c r="DX402" s="1655"/>
      <c r="DY402" s="1655"/>
      <c r="DZ402" s="1655"/>
      <c r="EA402" s="1655"/>
      <c r="EB402" s="1655"/>
      <c r="EC402" s="1655"/>
      <c r="ED402" s="1655"/>
      <c r="EE402" s="1655"/>
      <c r="EF402" s="1655"/>
      <c r="EG402" s="1655"/>
      <c r="EH402" s="1655"/>
      <c r="EI402" s="1655"/>
      <c r="EJ402" s="1655"/>
      <c r="EK402" s="1655"/>
      <c r="EL402" s="1655"/>
      <c r="EM402" s="1655"/>
      <c r="EN402" s="1655"/>
      <c r="EO402" s="1655"/>
      <c r="EP402" s="1655"/>
      <c r="EQ402" s="1655"/>
      <c r="ER402" s="1655"/>
      <c r="ES402" s="1655"/>
      <c r="ET402" s="1655"/>
      <c r="EU402" s="1655"/>
      <c r="EV402" s="1655"/>
      <c r="EW402" s="1655"/>
      <c r="EX402" s="1655"/>
      <c r="EY402" s="1655"/>
      <c r="EZ402" s="1655"/>
      <c r="FA402" s="1655"/>
      <c r="FB402" s="1655"/>
      <c r="FC402" s="1655"/>
      <c r="FD402" s="1655"/>
      <c r="FE402" s="1655"/>
      <c r="FF402" s="1655"/>
      <c r="FG402" s="1655"/>
      <c r="FH402" s="1655"/>
      <c r="FI402" s="1655"/>
    </row>
    <row r="403" spans="1:165">
      <c r="A403" s="1655"/>
      <c r="B403" s="1655"/>
      <c r="C403" s="1655"/>
      <c r="D403" s="1655"/>
      <c r="E403" s="1655"/>
      <c r="F403" s="1655"/>
      <c r="G403" s="1655"/>
      <c r="H403" s="1655"/>
      <c r="I403" s="1655"/>
      <c r="J403" s="1655"/>
      <c r="K403" s="1655"/>
      <c r="L403" s="1655"/>
      <c r="M403" s="1655"/>
      <c r="N403" s="1655"/>
      <c r="O403" s="1655"/>
      <c r="P403" s="1655"/>
      <c r="Q403" s="1655"/>
      <c r="R403" s="1655"/>
      <c r="S403" s="1655"/>
      <c r="T403" s="1655"/>
      <c r="U403" s="1655"/>
      <c r="V403" s="1655"/>
      <c r="W403" s="1655"/>
      <c r="X403" s="1655"/>
      <c r="Y403" s="1655"/>
      <c r="Z403" s="1655"/>
      <c r="AA403" s="1655"/>
      <c r="AB403" s="1655"/>
      <c r="AC403" s="1655"/>
      <c r="AD403" s="1655"/>
      <c r="AE403" s="1655"/>
      <c r="AF403" s="1655"/>
      <c r="AG403" s="1655"/>
      <c r="AH403" s="1655"/>
      <c r="AI403" s="1655"/>
      <c r="AJ403" s="1655"/>
      <c r="AK403" s="1655"/>
      <c r="AL403" s="1655"/>
      <c r="AM403" s="1655"/>
      <c r="AN403" s="1655"/>
      <c r="AO403" s="1655"/>
      <c r="AP403" s="1655"/>
      <c r="AQ403" s="1655"/>
      <c r="AR403" s="1655"/>
      <c r="AS403" s="1655"/>
      <c r="AT403" s="1655"/>
      <c r="AU403" s="1655"/>
      <c r="AV403" s="1655"/>
      <c r="AW403" s="1655"/>
      <c r="AX403" s="1655"/>
      <c r="AY403" s="1655"/>
      <c r="AZ403" s="1655"/>
      <c r="BA403" s="1655"/>
      <c r="BB403" s="1655"/>
      <c r="BC403" s="1655"/>
      <c r="BD403" s="1655"/>
      <c r="BE403" s="1655"/>
      <c r="BF403" s="1655"/>
      <c r="BG403" s="1655"/>
      <c r="BH403" s="1655"/>
      <c r="BI403" s="1655"/>
      <c r="BJ403" s="1655"/>
      <c r="BK403" s="1655"/>
      <c r="BL403" s="1655"/>
      <c r="BM403" s="1655"/>
      <c r="BN403" s="1655"/>
      <c r="BO403" s="1655"/>
      <c r="BP403" s="1655"/>
      <c r="BQ403" s="1655"/>
      <c r="BR403" s="1655"/>
      <c r="BS403" s="1655"/>
      <c r="BT403" s="1655"/>
      <c r="BU403" s="1655"/>
      <c r="BV403" s="1655"/>
      <c r="BW403" s="1655"/>
      <c r="BX403" s="1655"/>
      <c r="BY403" s="1655"/>
      <c r="BZ403" s="1655"/>
      <c r="CA403" s="1655"/>
      <c r="CB403" s="1655"/>
      <c r="CC403" s="1655"/>
      <c r="CD403" s="1655"/>
      <c r="CE403" s="1655"/>
      <c r="CF403" s="1655"/>
      <c r="CG403" s="1655"/>
      <c r="CH403" s="1655"/>
      <c r="CI403" s="1655"/>
      <c r="CJ403" s="1655"/>
      <c r="CK403" s="1655"/>
      <c r="CL403" s="1655"/>
      <c r="CM403" s="1655"/>
      <c r="CN403" s="1655"/>
      <c r="CO403" s="1655"/>
      <c r="CP403" s="1655"/>
      <c r="CQ403" s="1655"/>
      <c r="CR403" s="1655"/>
      <c r="CS403" s="1655"/>
      <c r="CT403" s="1655"/>
      <c r="CU403" s="1655"/>
      <c r="CV403" s="1655"/>
      <c r="CW403" s="1655"/>
      <c r="CX403" s="1655"/>
      <c r="CY403" s="1655"/>
      <c r="CZ403" s="1655"/>
      <c r="DA403" s="1655"/>
      <c r="DB403" s="1655"/>
      <c r="DC403" s="1655"/>
      <c r="DD403" s="1655"/>
      <c r="DE403" s="1655"/>
      <c r="DF403" s="1655"/>
      <c r="DG403" s="1655"/>
      <c r="DH403" s="1655"/>
      <c r="DI403" s="1655"/>
      <c r="DJ403" s="1655"/>
      <c r="DK403" s="1655"/>
      <c r="DL403" s="1655"/>
      <c r="DM403" s="1655"/>
      <c r="DN403" s="1655"/>
      <c r="DO403" s="1655"/>
      <c r="DP403" s="1655"/>
      <c r="DQ403" s="1655"/>
      <c r="DR403" s="1655"/>
      <c r="DS403" s="1655"/>
      <c r="DT403" s="1655"/>
      <c r="DU403" s="1655"/>
      <c r="DV403" s="1655"/>
      <c r="DW403" s="1655"/>
      <c r="DX403" s="1655"/>
      <c r="DY403" s="1655"/>
      <c r="DZ403" s="1655"/>
      <c r="EA403" s="1655"/>
      <c r="EB403" s="1655"/>
      <c r="EC403" s="1655"/>
      <c r="ED403" s="1655"/>
      <c r="EE403" s="1655"/>
      <c r="EF403" s="1655"/>
      <c r="EG403" s="1655"/>
      <c r="EH403" s="1655"/>
      <c r="EI403" s="1655"/>
      <c r="EJ403" s="1655"/>
      <c r="EK403" s="1655"/>
      <c r="EL403" s="1655"/>
      <c r="EM403" s="1655"/>
      <c r="EN403" s="1655"/>
      <c r="EO403" s="1655"/>
      <c r="EP403" s="1655"/>
      <c r="EQ403" s="1655"/>
      <c r="ER403" s="1655"/>
      <c r="ES403" s="1655"/>
      <c r="ET403" s="1655"/>
      <c r="EU403" s="1655"/>
      <c r="EV403" s="1655"/>
      <c r="EW403" s="1655"/>
      <c r="EX403" s="1655"/>
      <c r="EY403" s="1655"/>
      <c r="EZ403" s="1655"/>
      <c r="FA403" s="1655"/>
      <c r="FB403" s="1655"/>
      <c r="FC403" s="1655"/>
      <c r="FD403" s="1655"/>
      <c r="FE403" s="1655"/>
      <c r="FF403" s="1655"/>
      <c r="FG403" s="1655"/>
      <c r="FH403" s="1655"/>
      <c r="FI403" s="1655"/>
    </row>
    <row r="404" spans="1:165">
      <c r="A404" s="1655"/>
      <c r="B404" s="1655"/>
      <c r="C404" s="1655"/>
      <c r="D404" s="1655"/>
      <c r="E404" s="1655"/>
      <c r="F404" s="1655"/>
      <c r="G404" s="1655"/>
      <c r="H404" s="1655"/>
      <c r="I404" s="1655"/>
      <c r="J404" s="1655"/>
      <c r="K404" s="1655"/>
      <c r="L404" s="1655"/>
      <c r="M404" s="1655"/>
      <c r="N404" s="1655"/>
      <c r="O404" s="1655"/>
      <c r="P404" s="1655"/>
      <c r="Q404" s="1655"/>
      <c r="R404" s="1655"/>
      <c r="S404" s="1655"/>
      <c r="T404" s="1655"/>
      <c r="U404" s="1655"/>
      <c r="V404" s="1655"/>
      <c r="W404" s="1655"/>
      <c r="X404" s="1655"/>
      <c r="Y404" s="1655"/>
      <c r="Z404" s="1655"/>
      <c r="AA404" s="1655"/>
      <c r="AB404" s="1655"/>
      <c r="AC404" s="1655"/>
      <c r="AD404" s="1655"/>
      <c r="AE404" s="1655"/>
      <c r="AF404" s="1655"/>
      <c r="AG404" s="1655"/>
      <c r="AH404" s="1655"/>
      <c r="AI404" s="1655"/>
      <c r="AJ404" s="1655"/>
      <c r="AK404" s="1655"/>
      <c r="AL404" s="1655"/>
      <c r="AM404" s="1655"/>
      <c r="AN404" s="1655"/>
      <c r="AO404" s="1655"/>
      <c r="AP404" s="1655"/>
      <c r="AQ404" s="1655"/>
      <c r="AR404" s="1655"/>
      <c r="AS404" s="1655"/>
      <c r="AT404" s="1655"/>
      <c r="AU404" s="1655"/>
      <c r="AV404" s="1655"/>
      <c r="AW404" s="1655"/>
      <c r="AX404" s="1655"/>
      <c r="AY404" s="1655"/>
      <c r="AZ404" s="1655"/>
      <c r="BA404" s="1655"/>
      <c r="BB404" s="1655"/>
      <c r="BC404" s="1655"/>
      <c r="BD404" s="1655"/>
      <c r="BE404" s="1655"/>
      <c r="BF404" s="1655"/>
      <c r="BG404" s="1655"/>
      <c r="BH404" s="1655"/>
      <c r="BI404" s="1655"/>
      <c r="BJ404" s="1655"/>
      <c r="BK404" s="1655"/>
      <c r="BL404" s="1655"/>
      <c r="BM404" s="1655"/>
      <c r="BN404" s="1655"/>
      <c r="BO404" s="1655"/>
      <c r="BP404" s="1655"/>
      <c r="BQ404" s="1655"/>
      <c r="BR404" s="1655"/>
      <c r="BS404" s="1655"/>
      <c r="BT404" s="1655"/>
      <c r="BU404" s="1655"/>
      <c r="BV404" s="1655"/>
      <c r="BW404" s="1655"/>
      <c r="BX404" s="1655"/>
      <c r="BY404" s="1655"/>
      <c r="BZ404" s="1655"/>
      <c r="CA404" s="1655"/>
      <c r="CB404" s="1655"/>
      <c r="CC404" s="1655"/>
      <c r="CD404" s="1655"/>
      <c r="CE404" s="1655"/>
      <c r="CF404" s="1655"/>
      <c r="CG404" s="1655"/>
      <c r="CH404" s="1655"/>
      <c r="CI404" s="1655"/>
      <c r="CJ404" s="1655"/>
      <c r="CK404" s="1655"/>
      <c r="CL404" s="1655"/>
      <c r="CM404" s="1655"/>
      <c r="CN404" s="1655"/>
      <c r="CO404" s="1655"/>
      <c r="CP404" s="1655"/>
      <c r="CQ404" s="1655"/>
      <c r="CR404" s="1655"/>
      <c r="CS404" s="1655"/>
      <c r="CT404" s="1655"/>
      <c r="CU404" s="1655"/>
      <c r="CV404" s="1655"/>
      <c r="CW404" s="1655"/>
      <c r="CX404" s="1655"/>
      <c r="CY404" s="1655"/>
      <c r="CZ404" s="1655"/>
      <c r="DA404" s="1655"/>
      <c r="DB404" s="1655"/>
      <c r="DC404" s="1655"/>
      <c r="DD404" s="1655"/>
      <c r="DE404" s="1655"/>
      <c r="DF404" s="1655"/>
      <c r="DG404" s="1655"/>
      <c r="DH404" s="1655"/>
      <c r="DI404" s="1655"/>
      <c r="DJ404" s="1655"/>
      <c r="DK404" s="1655"/>
      <c r="DL404" s="1655"/>
      <c r="DM404" s="1655"/>
      <c r="DN404" s="1655"/>
      <c r="DO404" s="1655"/>
      <c r="DP404" s="1655"/>
      <c r="DQ404" s="1655"/>
      <c r="DR404" s="1655"/>
      <c r="DS404" s="1655"/>
      <c r="DT404" s="1655"/>
      <c r="DU404" s="1655"/>
      <c r="DV404" s="1655"/>
      <c r="DW404" s="1655"/>
      <c r="DX404" s="1655"/>
      <c r="DY404" s="1655"/>
      <c r="DZ404" s="1655"/>
      <c r="EA404" s="1655"/>
      <c r="EB404" s="1655"/>
      <c r="EC404" s="1655"/>
      <c r="ED404" s="1655"/>
      <c r="EE404" s="1655"/>
      <c r="EF404" s="1655"/>
      <c r="EG404" s="1655"/>
      <c r="EH404" s="1655"/>
      <c r="EI404" s="1655"/>
      <c r="EJ404" s="1655"/>
      <c r="EK404" s="1655"/>
      <c r="EL404" s="1655"/>
      <c r="EM404" s="1655"/>
      <c r="EN404" s="1655"/>
      <c r="EO404" s="1655"/>
      <c r="EP404" s="1655"/>
      <c r="EQ404" s="1655"/>
      <c r="ER404" s="1655"/>
      <c r="ES404" s="1655"/>
      <c r="ET404" s="1655"/>
      <c r="EU404" s="1655"/>
      <c r="EV404" s="1655"/>
      <c r="EW404" s="1655"/>
      <c r="EX404" s="1655"/>
      <c r="EY404" s="1655"/>
      <c r="EZ404" s="1655"/>
      <c r="FA404" s="1655"/>
      <c r="FB404" s="1655"/>
      <c r="FC404" s="1655"/>
      <c r="FD404" s="1655"/>
      <c r="FE404" s="1655"/>
      <c r="FF404" s="1655"/>
      <c r="FG404" s="1655"/>
      <c r="FH404" s="1655"/>
      <c r="FI404" s="1655"/>
    </row>
    <row r="405" spans="1:165">
      <c r="A405" s="1655"/>
      <c r="B405" s="1655"/>
      <c r="C405" s="1655"/>
      <c r="D405" s="1655"/>
      <c r="E405" s="1655"/>
      <c r="F405" s="1655"/>
      <c r="G405" s="1655"/>
      <c r="H405" s="1655"/>
      <c r="I405" s="1655"/>
      <c r="J405" s="1655"/>
      <c r="K405" s="1655"/>
      <c r="L405" s="1655"/>
      <c r="M405" s="1655"/>
      <c r="N405" s="1655"/>
      <c r="O405" s="1655"/>
      <c r="P405" s="1655"/>
      <c r="Q405" s="1655"/>
      <c r="R405" s="1655"/>
      <c r="S405" s="1655"/>
      <c r="T405" s="1655"/>
      <c r="U405" s="1655"/>
      <c r="V405" s="1655"/>
      <c r="W405" s="1655"/>
      <c r="X405" s="1655"/>
      <c r="Y405" s="1655"/>
      <c r="Z405" s="1655"/>
      <c r="AA405" s="1655"/>
      <c r="AB405" s="1655"/>
      <c r="AC405" s="1655"/>
      <c r="AD405" s="1655"/>
      <c r="AE405" s="1655"/>
      <c r="AF405" s="1655"/>
      <c r="AG405" s="1655"/>
      <c r="AH405" s="1655"/>
      <c r="AI405" s="1655"/>
      <c r="AJ405" s="1655"/>
      <c r="AK405" s="1655"/>
      <c r="AL405" s="1655"/>
      <c r="AM405" s="1655"/>
      <c r="AN405" s="1655"/>
      <c r="AO405" s="1655"/>
      <c r="AP405" s="1655"/>
      <c r="AQ405" s="1655"/>
      <c r="AR405" s="1655"/>
      <c r="AS405" s="1655"/>
      <c r="AT405" s="1655"/>
      <c r="AU405" s="1655"/>
      <c r="AV405" s="1655"/>
      <c r="AW405" s="1655"/>
      <c r="AX405" s="1655"/>
      <c r="AY405" s="1655"/>
      <c r="AZ405" s="1655"/>
      <c r="BA405" s="1655"/>
      <c r="BB405" s="1655"/>
      <c r="BC405" s="1655"/>
      <c r="BD405" s="1655"/>
      <c r="BE405" s="1655"/>
      <c r="BF405" s="1655"/>
      <c r="BG405" s="1655"/>
      <c r="BH405" s="1655"/>
      <c r="BI405" s="1655"/>
      <c r="BJ405" s="1655"/>
      <c r="BK405" s="1655"/>
      <c r="BL405" s="1655"/>
      <c r="BM405" s="1655"/>
      <c r="BN405" s="1655"/>
      <c r="BO405" s="1655"/>
      <c r="BP405" s="1655"/>
      <c r="BQ405" s="1655"/>
      <c r="BR405" s="1655"/>
      <c r="BS405" s="1655"/>
      <c r="BT405" s="1655"/>
      <c r="BU405" s="1655"/>
      <c r="BV405" s="1655"/>
      <c r="BW405" s="1655"/>
      <c r="BX405" s="1655"/>
      <c r="BY405" s="1655"/>
      <c r="BZ405" s="1655"/>
      <c r="CA405" s="1655"/>
      <c r="CB405" s="1655"/>
      <c r="CC405" s="1655"/>
      <c r="CD405" s="1655"/>
      <c r="CE405" s="1655"/>
      <c r="CF405" s="1655"/>
      <c r="CG405" s="1655"/>
      <c r="CH405" s="1655"/>
      <c r="CI405" s="1655"/>
      <c r="CJ405" s="1655"/>
      <c r="CK405" s="1655"/>
      <c r="CL405" s="1655"/>
      <c r="CM405" s="1655"/>
      <c r="CN405" s="1655"/>
      <c r="CO405" s="1655"/>
      <c r="CP405" s="1655"/>
      <c r="CQ405" s="1655"/>
      <c r="CR405" s="1655"/>
      <c r="CS405" s="1655"/>
      <c r="CT405" s="1655"/>
      <c r="CU405" s="1655"/>
      <c r="CV405" s="1655"/>
      <c r="CW405" s="1655"/>
      <c r="CX405" s="1655"/>
      <c r="CY405" s="1655"/>
      <c r="CZ405" s="1655"/>
      <c r="DA405" s="1655"/>
      <c r="DB405" s="1655"/>
      <c r="DC405" s="1655"/>
      <c r="DD405" s="1655"/>
      <c r="DE405" s="1655"/>
      <c r="DF405" s="1655"/>
      <c r="DG405" s="1655"/>
      <c r="DH405" s="1655"/>
      <c r="DI405" s="1655"/>
      <c r="DJ405" s="1655"/>
      <c r="DK405" s="1655"/>
      <c r="DL405" s="1655"/>
      <c r="DM405" s="1655"/>
      <c r="DN405" s="1655"/>
      <c r="DO405" s="1655"/>
      <c r="DP405" s="1655"/>
      <c r="DQ405" s="1655"/>
      <c r="DR405" s="1655"/>
      <c r="DS405" s="1655"/>
      <c r="DT405" s="1655"/>
      <c r="DU405" s="1655"/>
      <c r="DV405" s="1655"/>
      <c r="DW405" s="1655"/>
      <c r="DX405" s="1655"/>
      <c r="DY405" s="1655"/>
      <c r="DZ405" s="1655"/>
      <c r="EA405" s="1655"/>
      <c r="EB405" s="1655"/>
      <c r="EC405" s="1655"/>
      <c r="ED405" s="1655"/>
      <c r="EE405" s="1655"/>
      <c r="EF405" s="1655"/>
      <c r="EG405" s="1655"/>
      <c r="EH405" s="1655"/>
      <c r="EI405" s="1655"/>
      <c r="EJ405" s="1655"/>
      <c r="EK405" s="1655"/>
      <c r="EL405" s="1655"/>
      <c r="EM405" s="1655"/>
      <c r="EN405" s="1655"/>
      <c r="EO405" s="1655"/>
      <c r="EP405" s="1655"/>
      <c r="EQ405" s="1655"/>
      <c r="ER405" s="1655"/>
      <c r="ES405" s="1655"/>
      <c r="ET405" s="1655"/>
      <c r="EU405" s="1655"/>
      <c r="EV405" s="1655"/>
      <c r="EW405" s="1655"/>
      <c r="EX405" s="1655"/>
      <c r="EY405" s="1655"/>
      <c r="EZ405" s="1655"/>
      <c r="FA405" s="1655"/>
      <c r="FB405" s="1655"/>
      <c r="FC405" s="1655"/>
      <c r="FD405" s="1655"/>
      <c r="FE405" s="1655"/>
      <c r="FF405" s="1655"/>
      <c r="FG405" s="1655"/>
      <c r="FH405" s="1655"/>
      <c r="FI405" s="1655"/>
    </row>
    <row r="406" spans="1:165">
      <c r="A406" s="1655"/>
      <c r="B406" s="1655"/>
      <c r="C406" s="1655"/>
      <c r="D406" s="1655"/>
      <c r="E406" s="1655"/>
      <c r="F406" s="1655"/>
      <c r="G406" s="1655"/>
      <c r="H406" s="1655"/>
      <c r="I406" s="1655"/>
      <c r="J406" s="1655"/>
      <c r="K406" s="1655"/>
      <c r="L406" s="1655"/>
      <c r="M406" s="1655"/>
      <c r="N406" s="1655"/>
      <c r="O406" s="1655"/>
      <c r="P406" s="1655"/>
      <c r="Q406" s="1655"/>
      <c r="R406" s="1655"/>
      <c r="S406" s="1655"/>
      <c r="T406" s="1655"/>
      <c r="U406" s="1655"/>
      <c r="V406" s="1655"/>
      <c r="W406" s="1655"/>
      <c r="X406" s="1655"/>
      <c r="Y406" s="1655"/>
      <c r="Z406" s="1655"/>
      <c r="AA406" s="1655"/>
      <c r="AB406" s="1655"/>
      <c r="AC406" s="1655"/>
      <c r="AD406" s="1655"/>
      <c r="AE406" s="1655"/>
      <c r="AF406" s="1655"/>
      <c r="AG406" s="1655"/>
      <c r="AH406" s="1655"/>
      <c r="AI406" s="1655"/>
      <c r="AJ406" s="1655"/>
      <c r="AK406" s="1655"/>
      <c r="AL406" s="1655"/>
      <c r="AM406" s="1655"/>
      <c r="AN406" s="1655"/>
      <c r="AO406" s="1655"/>
      <c r="AP406" s="1655"/>
      <c r="AQ406" s="1655"/>
      <c r="AR406" s="1655"/>
      <c r="AS406" s="1655"/>
      <c r="AT406" s="1655"/>
      <c r="AU406" s="1655"/>
      <c r="AV406" s="1655"/>
      <c r="AW406" s="1655"/>
      <c r="AX406" s="1655"/>
      <c r="AY406" s="1655"/>
      <c r="AZ406" s="1655"/>
      <c r="BA406" s="1655"/>
      <c r="BB406" s="1655"/>
      <c r="BC406" s="1655"/>
      <c r="BD406" s="1655"/>
      <c r="BE406" s="1655"/>
      <c r="BF406" s="1655"/>
      <c r="BG406" s="1655"/>
      <c r="BH406" s="1655"/>
      <c r="BI406" s="1655"/>
      <c r="BJ406" s="1655"/>
      <c r="BK406" s="1655"/>
      <c r="BL406" s="1655"/>
      <c r="BM406" s="1655"/>
      <c r="BN406" s="1655"/>
      <c r="BO406" s="1655"/>
      <c r="BP406" s="1655"/>
      <c r="BQ406" s="1655"/>
      <c r="BR406" s="1655"/>
      <c r="BS406" s="1655"/>
      <c r="BT406" s="1655"/>
      <c r="BU406" s="1655"/>
      <c r="BV406" s="1655"/>
      <c r="BW406" s="1655"/>
      <c r="BX406" s="1655"/>
      <c r="BY406" s="1655"/>
      <c r="BZ406" s="1655"/>
      <c r="CA406" s="1655"/>
      <c r="CB406" s="1655"/>
      <c r="CC406" s="1655"/>
      <c r="CD406" s="1655"/>
      <c r="CE406" s="1655"/>
      <c r="CF406" s="1655"/>
      <c r="CG406" s="1655"/>
      <c r="CH406" s="1655"/>
      <c r="CI406" s="1655"/>
      <c r="CJ406" s="1655"/>
      <c r="CK406" s="1655"/>
      <c r="CL406" s="1655"/>
      <c r="CM406" s="1655"/>
      <c r="CN406" s="1655"/>
      <c r="CO406" s="1655"/>
      <c r="CP406" s="1655"/>
      <c r="CQ406" s="1655"/>
      <c r="CR406" s="1655"/>
      <c r="CS406" s="1655"/>
      <c r="CT406" s="1655"/>
      <c r="CU406" s="1655"/>
      <c r="CV406" s="1655"/>
      <c r="CW406" s="1655"/>
      <c r="CX406" s="1655"/>
      <c r="CY406" s="1655"/>
      <c r="CZ406" s="1655"/>
      <c r="DA406" s="1655"/>
      <c r="DB406" s="1655"/>
      <c r="DC406" s="1655"/>
      <c r="DD406" s="1655"/>
      <c r="DE406" s="1655"/>
      <c r="DF406" s="1655"/>
      <c r="DG406" s="1655"/>
      <c r="DH406" s="1655"/>
      <c r="DI406" s="1655"/>
      <c r="DJ406" s="1655"/>
      <c r="DK406" s="1655"/>
      <c r="DL406" s="1655"/>
      <c r="DM406" s="1655"/>
      <c r="DN406" s="1655"/>
      <c r="DO406" s="1655"/>
      <c r="DP406" s="1655"/>
      <c r="DQ406" s="1655"/>
      <c r="DR406" s="1655"/>
      <c r="DS406" s="1655"/>
      <c r="DT406" s="1655"/>
      <c r="DU406" s="1655"/>
      <c r="DV406" s="1655"/>
      <c r="DW406" s="1655"/>
      <c r="DX406" s="1655"/>
      <c r="DY406" s="1655"/>
      <c r="DZ406" s="1655"/>
      <c r="EA406" s="1655"/>
      <c r="EB406" s="1655"/>
      <c r="EC406" s="1655"/>
      <c r="ED406" s="1655"/>
      <c r="EE406" s="1655"/>
      <c r="EF406" s="1655"/>
      <c r="EG406" s="1655"/>
      <c r="EH406" s="1655"/>
      <c r="EI406" s="1655"/>
      <c r="EJ406" s="1655"/>
      <c r="EK406" s="1655"/>
      <c r="EL406" s="1655"/>
      <c r="EM406" s="1655"/>
      <c r="EN406" s="1655"/>
      <c r="EO406" s="1655"/>
      <c r="EP406" s="1655"/>
      <c r="EQ406" s="1655"/>
      <c r="ER406" s="1655"/>
      <c r="ES406" s="1655"/>
      <c r="ET406" s="1655"/>
      <c r="EU406" s="1655"/>
      <c r="EV406" s="1655"/>
      <c r="EW406" s="1655"/>
      <c r="EX406" s="1655"/>
      <c r="EY406" s="1655"/>
      <c r="EZ406" s="1655"/>
      <c r="FA406" s="1655"/>
      <c r="FB406" s="1655"/>
      <c r="FC406" s="1655"/>
      <c r="FD406" s="1655"/>
      <c r="FE406" s="1655"/>
      <c r="FF406" s="1655"/>
      <c r="FG406" s="1655"/>
      <c r="FH406" s="1655"/>
      <c r="FI406" s="1655"/>
    </row>
    <row r="407" spans="1:165">
      <c r="A407" s="1655"/>
      <c r="B407" s="1655"/>
      <c r="C407" s="1655"/>
      <c r="D407" s="1655"/>
      <c r="E407" s="1655"/>
      <c r="F407" s="1655"/>
      <c r="G407" s="1655"/>
      <c r="H407" s="1655"/>
      <c r="I407" s="1655"/>
      <c r="J407" s="1655"/>
      <c r="K407" s="1655"/>
      <c r="L407" s="1655"/>
      <c r="M407" s="1655"/>
      <c r="N407" s="1655"/>
      <c r="O407" s="1655"/>
      <c r="P407" s="1655"/>
      <c r="Q407" s="1655"/>
      <c r="R407" s="1655"/>
      <c r="S407" s="1655"/>
      <c r="T407" s="1655"/>
      <c r="U407" s="1655"/>
      <c r="V407" s="1655"/>
      <c r="W407" s="1655"/>
      <c r="X407" s="1655"/>
      <c r="Y407" s="1655"/>
      <c r="Z407" s="1655"/>
      <c r="AA407" s="1655"/>
      <c r="AB407" s="1655"/>
      <c r="AC407" s="1655"/>
      <c r="AD407" s="1655"/>
      <c r="AE407" s="1655"/>
      <c r="AF407" s="1655"/>
      <c r="AG407" s="1655"/>
      <c r="AH407" s="1655"/>
      <c r="AI407" s="1655"/>
      <c r="AJ407" s="1655"/>
      <c r="AK407" s="1655"/>
      <c r="AL407" s="1655"/>
      <c r="AM407" s="1655"/>
      <c r="AN407" s="1655"/>
      <c r="AO407" s="1655"/>
      <c r="AP407" s="1655"/>
      <c r="AQ407" s="1655"/>
      <c r="AR407" s="1655"/>
      <c r="AS407" s="1655"/>
      <c r="AT407" s="1655"/>
      <c r="AU407" s="1655"/>
      <c r="AV407" s="1655"/>
      <c r="AW407" s="1655"/>
      <c r="AX407" s="1655"/>
      <c r="AY407" s="1655"/>
      <c r="AZ407" s="1655"/>
      <c r="BA407" s="1655"/>
      <c r="BB407" s="1655"/>
      <c r="BC407" s="1655"/>
      <c r="BD407" s="1655"/>
      <c r="BE407" s="1655"/>
      <c r="BF407" s="1655"/>
      <c r="BG407" s="1655"/>
      <c r="BH407" s="1655"/>
      <c r="BI407" s="1655"/>
      <c r="BJ407" s="1655"/>
      <c r="BK407" s="1655"/>
      <c r="BL407" s="1655"/>
      <c r="BM407" s="1655"/>
      <c r="BN407" s="1655"/>
      <c r="BO407" s="1655"/>
      <c r="BP407" s="1655"/>
      <c r="BQ407" s="1655"/>
      <c r="BR407" s="1655"/>
      <c r="BS407" s="1655"/>
      <c r="BT407" s="1655"/>
      <c r="BU407" s="1655"/>
      <c r="BV407" s="1655"/>
      <c r="BW407" s="1655"/>
      <c r="BX407" s="1655"/>
      <c r="BY407" s="1655"/>
      <c r="BZ407" s="1655"/>
      <c r="CA407" s="1655"/>
      <c r="CB407" s="1655"/>
      <c r="CC407" s="1655"/>
      <c r="CD407" s="1655"/>
      <c r="CE407" s="1655"/>
      <c r="CF407" s="1655"/>
      <c r="CG407" s="1655"/>
      <c r="CH407" s="1655"/>
      <c r="CI407" s="1655"/>
      <c r="CJ407" s="1655"/>
      <c r="CK407" s="1655"/>
      <c r="CL407" s="1655"/>
      <c r="CM407" s="1655"/>
      <c r="CN407" s="1655"/>
      <c r="CO407" s="1655"/>
      <c r="CP407" s="1655"/>
      <c r="CQ407" s="1655"/>
      <c r="CR407" s="1655"/>
      <c r="CS407" s="1655"/>
      <c r="CT407" s="1655"/>
      <c r="CU407" s="1655"/>
      <c r="CV407" s="1655"/>
      <c r="CW407" s="1655"/>
      <c r="CX407" s="1655"/>
      <c r="CY407" s="1655"/>
      <c r="CZ407" s="1655"/>
      <c r="DA407" s="1655"/>
      <c r="DB407" s="1655"/>
      <c r="DC407" s="1655"/>
      <c r="DD407" s="1655"/>
      <c r="DE407" s="1655"/>
      <c r="DF407" s="1655"/>
      <c r="DG407" s="1655"/>
      <c r="DH407" s="1655"/>
      <c r="DI407" s="1655"/>
      <c r="DJ407" s="1655"/>
      <c r="DK407" s="1655"/>
      <c r="DL407" s="1655"/>
      <c r="DM407" s="1655"/>
      <c r="DN407" s="1655"/>
      <c r="DO407" s="1655"/>
      <c r="DP407" s="1655"/>
      <c r="DQ407" s="1655"/>
      <c r="DR407" s="1655"/>
      <c r="DS407" s="1655"/>
      <c r="DT407" s="1655"/>
      <c r="DU407" s="1655"/>
      <c r="DV407" s="1655"/>
      <c r="DW407" s="1655"/>
      <c r="DX407" s="1655"/>
      <c r="DY407" s="1655"/>
      <c r="DZ407" s="1655"/>
      <c r="EA407" s="1655"/>
      <c r="EB407" s="1655"/>
      <c r="EC407" s="1655"/>
      <c r="ED407" s="1655"/>
      <c r="EE407" s="1655"/>
      <c r="EF407" s="1655"/>
      <c r="EG407" s="1655"/>
      <c r="EH407" s="1655"/>
      <c r="EI407" s="1655"/>
      <c r="EJ407" s="1655"/>
      <c r="EK407" s="1655"/>
      <c r="EL407" s="1655"/>
      <c r="EM407" s="1655"/>
      <c r="EN407" s="1655"/>
      <c r="EO407" s="1655"/>
      <c r="EP407" s="1655"/>
      <c r="EQ407" s="1655"/>
      <c r="ER407" s="1655"/>
      <c r="ES407" s="1655"/>
      <c r="ET407" s="1655"/>
      <c r="EU407" s="1655"/>
      <c r="EV407" s="1655"/>
      <c r="EW407" s="1655"/>
      <c r="EX407" s="1655"/>
      <c r="EY407" s="1655"/>
      <c r="EZ407" s="1655"/>
      <c r="FA407" s="1655"/>
      <c r="FB407" s="1655"/>
      <c r="FC407" s="1655"/>
      <c r="FD407" s="1655"/>
      <c r="FE407" s="1655"/>
      <c r="FF407" s="1655"/>
      <c r="FG407" s="1655"/>
      <c r="FH407" s="1655"/>
      <c r="FI407" s="1655"/>
    </row>
    <row r="408" spans="1:165">
      <c r="A408" s="1655"/>
      <c r="B408" s="1655"/>
      <c r="C408" s="1655"/>
      <c r="D408" s="1655"/>
      <c r="E408" s="1655"/>
      <c r="F408" s="1655"/>
      <c r="G408" s="1655"/>
      <c r="H408" s="1655"/>
      <c r="I408" s="1655"/>
      <c r="J408" s="1655"/>
      <c r="K408" s="1655"/>
      <c r="L408" s="1655"/>
      <c r="M408" s="1655"/>
      <c r="N408" s="1655"/>
      <c r="O408" s="1655"/>
      <c r="P408" s="1655"/>
      <c r="Q408" s="1655"/>
      <c r="R408" s="1655"/>
      <c r="S408" s="1655"/>
      <c r="T408" s="1655"/>
      <c r="U408" s="1655"/>
      <c r="V408" s="1655"/>
      <c r="W408" s="1655"/>
      <c r="X408" s="1655"/>
      <c r="Y408" s="1655"/>
      <c r="Z408" s="1655"/>
      <c r="AA408" s="1655"/>
      <c r="AB408" s="1655"/>
      <c r="AC408" s="1655"/>
      <c r="AD408" s="1655"/>
      <c r="AE408" s="1655"/>
      <c r="AF408" s="1655"/>
      <c r="AG408" s="1655"/>
      <c r="AH408" s="1655"/>
      <c r="AI408" s="1655"/>
      <c r="AJ408" s="1655"/>
      <c r="AK408" s="1655"/>
      <c r="AL408" s="1655"/>
      <c r="AM408" s="1655"/>
      <c r="AN408" s="1655"/>
      <c r="AO408" s="1655"/>
      <c r="AP408" s="1655"/>
      <c r="AQ408" s="1655"/>
      <c r="AR408" s="1655"/>
      <c r="AS408" s="1655"/>
      <c r="AT408" s="1655"/>
      <c r="AU408" s="1655"/>
      <c r="AV408" s="1655"/>
      <c r="AW408" s="1655"/>
      <c r="AX408" s="1655"/>
      <c r="AY408" s="1655"/>
      <c r="AZ408" s="1655"/>
      <c r="BA408" s="1655"/>
      <c r="BB408" s="1655"/>
      <c r="BC408" s="1655"/>
      <c r="BD408" s="1655"/>
      <c r="BE408" s="1655"/>
      <c r="BF408" s="1655"/>
      <c r="BG408" s="1655"/>
      <c r="BH408" s="1655"/>
      <c r="BI408" s="1655"/>
      <c r="BJ408" s="1655"/>
      <c r="BK408" s="1655"/>
      <c r="BL408" s="1655"/>
      <c r="BM408" s="1655"/>
      <c r="BN408" s="1655"/>
      <c r="BO408" s="1655"/>
      <c r="BP408" s="1655"/>
      <c r="BQ408" s="1655"/>
      <c r="BR408" s="1655"/>
      <c r="BS408" s="1655"/>
      <c r="BT408" s="1655"/>
      <c r="BU408" s="1655"/>
      <c r="BV408" s="1655"/>
      <c r="BW408" s="1655"/>
      <c r="BX408" s="1655"/>
      <c r="BY408" s="1655"/>
      <c r="BZ408" s="1655"/>
      <c r="CA408" s="1655"/>
      <c r="CB408" s="1655"/>
      <c r="CC408" s="1655"/>
      <c r="CD408" s="1655"/>
      <c r="CE408" s="1655"/>
      <c r="CF408" s="1655"/>
      <c r="CG408" s="1655"/>
      <c r="CH408" s="1655"/>
      <c r="CI408" s="1655"/>
      <c r="CJ408" s="1655"/>
      <c r="CK408" s="1655"/>
      <c r="CL408" s="1655"/>
      <c r="CM408" s="1655"/>
      <c r="CN408" s="1655"/>
      <c r="CO408" s="1655"/>
      <c r="CP408" s="1655"/>
      <c r="CQ408" s="1655"/>
      <c r="CR408" s="1655"/>
      <c r="CS408" s="1655"/>
      <c r="CT408" s="1655"/>
      <c r="CU408" s="1655"/>
      <c r="CV408" s="1655"/>
      <c r="CW408" s="1655"/>
      <c r="CX408" s="1655"/>
      <c r="CY408" s="1655"/>
      <c r="CZ408" s="1655"/>
      <c r="DA408" s="1655"/>
      <c r="DB408" s="1655"/>
      <c r="DC408" s="1655"/>
      <c r="DD408" s="1655"/>
      <c r="DE408" s="1655"/>
      <c r="DF408" s="1655"/>
      <c r="DG408" s="1655"/>
      <c r="DH408" s="1655"/>
      <c r="DI408" s="1655"/>
      <c r="DJ408" s="1655"/>
      <c r="DK408" s="1655"/>
      <c r="DL408" s="1655"/>
      <c r="DM408" s="1655"/>
      <c r="DN408" s="1655"/>
      <c r="DO408" s="1655"/>
      <c r="DP408" s="1655"/>
      <c r="DQ408" s="1655"/>
      <c r="DR408" s="1655"/>
      <c r="DS408" s="1655"/>
      <c r="DT408" s="1655"/>
      <c r="DU408" s="1655"/>
      <c r="DV408" s="1655"/>
      <c r="DW408" s="1655"/>
      <c r="DX408" s="1655"/>
      <c r="DY408" s="1655"/>
      <c r="DZ408" s="1655"/>
      <c r="EA408" s="1655"/>
      <c r="EB408" s="1655"/>
      <c r="EC408" s="1655"/>
      <c r="ED408" s="1655"/>
      <c r="EE408" s="1655"/>
      <c r="EF408" s="1655"/>
      <c r="EG408" s="1655"/>
      <c r="EH408" s="1655"/>
      <c r="EI408" s="1655"/>
      <c r="EJ408" s="1655"/>
      <c r="EK408" s="1655"/>
      <c r="EL408" s="1655"/>
      <c r="EM408" s="1655"/>
      <c r="EN408" s="1655"/>
      <c r="EO408" s="1655"/>
      <c r="EP408" s="1655"/>
      <c r="EQ408" s="1655"/>
      <c r="ER408" s="1655"/>
      <c r="ES408" s="1655"/>
      <c r="ET408" s="1655"/>
      <c r="EU408" s="1655"/>
      <c r="EV408" s="1655"/>
      <c r="EW408" s="1655"/>
      <c r="EX408" s="1655"/>
      <c r="EY408" s="1655"/>
      <c r="EZ408" s="1655"/>
      <c r="FA408" s="1655"/>
      <c r="FB408" s="1655"/>
      <c r="FC408" s="1655"/>
      <c r="FD408" s="1655"/>
      <c r="FE408" s="1655"/>
      <c r="FF408" s="1655"/>
      <c r="FG408" s="1655"/>
      <c r="FH408" s="1655"/>
      <c r="FI408" s="1655"/>
    </row>
    <row r="409" spans="1:165">
      <c r="A409" s="1655"/>
      <c r="B409" s="1655"/>
      <c r="C409" s="1655"/>
      <c r="D409" s="1655"/>
      <c r="E409" s="1655"/>
      <c r="F409" s="1655"/>
      <c r="G409" s="1655"/>
      <c r="H409" s="1655"/>
      <c r="I409" s="1655"/>
      <c r="J409" s="1655"/>
      <c r="K409" s="1655"/>
      <c r="L409" s="1655"/>
      <c r="M409" s="1655"/>
      <c r="N409" s="1655"/>
      <c r="O409" s="1655"/>
      <c r="P409" s="1655"/>
      <c r="Q409" s="1655"/>
      <c r="R409" s="1655"/>
      <c r="S409" s="1655"/>
      <c r="T409" s="1655"/>
      <c r="U409" s="1655"/>
      <c r="V409" s="1655"/>
      <c r="W409" s="1655"/>
      <c r="X409" s="1655"/>
      <c r="Y409" s="1655"/>
      <c r="Z409" s="1655"/>
      <c r="AA409" s="1655"/>
      <c r="AB409" s="1655"/>
      <c r="AC409" s="1655"/>
      <c r="AD409" s="1655"/>
      <c r="AE409" s="1655"/>
      <c r="AF409" s="1655"/>
      <c r="AG409" s="1655"/>
      <c r="AH409" s="1655"/>
      <c r="AI409" s="1655"/>
      <c r="AJ409" s="1655"/>
      <c r="AK409" s="1655"/>
      <c r="AL409" s="1655"/>
      <c r="AM409" s="1655"/>
      <c r="AN409" s="1655"/>
      <c r="AO409" s="1655"/>
      <c r="AP409" s="1655"/>
      <c r="AQ409" s="1655"/>
      <c r="AR409" s="1655"/>
      <c r="AS409" s="1655"/>
      <c r="AT409" s="1655"/>
      <c r="AU409" s="1655"/>
      <c r="AV409" s="1655"/>
      <c r="AW409" s="1655"/>
      <c r="AX409" s="1655"/>
      <c r="AY409" s="1655"/>
      <c r="AZ409" s="1655"/>
      <c r="BA409" s="1655"/>
      <c r="BB409" s="1655"/>
      <c r="BC409" s="1655"/>
      <c r="BD409" s="1655"/>
      <c r="BE409" s="1655"/>
      <c r="BF409" s="1655"/>
      <c r="BG409" s="1655"/>
      <c r="BH409" s="1655"/>
      <c r="BI409" s="1655"/>
      <c r="BJ409" s="1655"/>
      <c r="BK409" s="1655"/>
      <c r="BL409" s="1655"/>
      <c r="BM409" s="1655"/>
      <c r="BN409" s="1655"/>
      <c r="BO409" s="1655"/>
      <c r="BP409" s="1655"/>
      <c r="BQ409" s="1655"/>
      <c r="BR409" s="1655"/>
      <c r="BS409" s="1655"/>
      <c r="BT409" s="1655"/>
      <c r="BU409" s="1655"/>
      <c r="BV409" s="1655"/>
      <c r="BW409" s="1655"/>
      <c r="BX409" s="1655"/>
      <c r="BY409" s="1655"/>
      <c r="BZ409" s="1655"/>
      <c r="CA409" s="1655"/>
      <c r="CB409" s="1655"/>
      <c r="CC409" s="1655"/>
      <c r="CD409" s="1655"/>
      <c r="CE409" s="1655"/>
      <c r="CF409" s="1655"/>
      <c r="CG409" s="1655"/>
      <c r="CH409" s="1655"/>
      <c r="CI409" s="1655"/>
      <c r="CJ409" s="1655"/>
      <c r="CK409" s="1655"/>
      <c r="CL409" s="1655"/>
      <c r="CM409" s="1655"/>
      <c r="CN409" s="1655"/>
      <c r="CO409" s="1655"/>
      <c r="CP409" s="1655"/>
      <c r="CQ409" s="1655"/>
      <c r="CR409" s="1655"/>
      <c r="CS409" s="1655"/>
      <c r="CT409" s="1655"/>
      <c r="CU409" s="1655"/>
      <c r="CV409" s="1655"/>
      <c r="CW409" s="1655"/>
      <c r="CX409" s="1655"/>
      <c r="CY409" s="1655"/>
      <c r="CZ409" s="1655"/>
      <c r="DA409" s="1655"/>
      <c r="DB409" s="1655"/>
      <c r="DC409" s="1655"/>
      <c r="DD409" s="1655"/>
      <c r="DE409" s="1655"/>
      <c r="DF409" s="1655"/>
      <c r="DG409" s="1655"/>
      <c r="DH409" s="1655"/>
      <c r="DI409" s="1655"/>
      <c r="DJ409" s="1655"/>
      <c r="DK409" s="1655"/>
      <c r="DL409" s="1655"/>
      <c r="DM409" s="1655"/>
      <c r="DN409" s="1655"/>
      <c r="DO409" s="1655"/>
      <c r="DP409" s="1655"/>
      <c r="DQ409" s="1655"/>
      <c r="DR409" s="1655"/>
      <c r="DS409" s="1655"/>
      <c r="DT409" s="1655"/>
      <c r="DU409" s="1655"/>
      <c r="DV409" s="1655"/>
      <c r="DW409" s="1655"/>
      <c r="DX409" s="1655"/>
      <c r="DY409" s="1655"/>
      <c r="DZ409" s="1655"/>
      <c r="EA409" s="1655"/>
      <c r="EB409" s="1655"/>
      <c r="EC409" s="1655"/>
      <c r="ED409" s="1655"/>
      <c r="EE409" s="1655"/>
      <c r="EF409" s="1655"/>
      <c r="EG409" s="1655"/>
      <c r="EH409" s="1655"/>
      <c r="EI409" s="1655"/>
      <c r="EJ409" s="1655"/>
      <c r="EK409" s="1655"/>
      <c r="EL409" s="1655"/>
      <c r="EM409" s="1655"/>
      <c r="EN409" s="1655"/>
      <c r="EO409" s="1655"/>
      <c r="EP409" s="1655"/>
      <c r="EQ409" s="1655"/>
      <c r="ER409" s="1655"/>
      <c r="ES409" s="1655"/>
      <c r="ET409" s="1655"/>
      <c r="EU409" s="1655"/>
      <c r="EV409" s="1655"/>
      <c r="EW409" s="1655"/>
      <c r="EX409" s="1655"/>
      <c r="EY409" s="1655"/>
      <c r="EZ409" s="1655"/>
      <c r="FA409" s="1655"/>
      <c r="FB409" s="1655"/>
      <c r="FC409" s="1655"/>
      <c r="FD409" s="1655"/>
      <c r="FE409" s="1655"/>
      <c r="FF409" s="1655"/>
      <c r="FG409" s="1655"/>
      <c r="FH409" s="1655"/>
      <c r="FI409" s="1655"/>
    </row>
    <row r="410" spans="1:165">
      <c r="A410" s="1655"/>
      <c r="B410" s="1655"/>
      <c r="C410" s="1655"/>
      <c r="D410" s="1655"/>
      <c r="E410" s="1655"/>
      <c r="F410" s="1655"/>
      <c r="G410" s="1655"/>
      <c r="H410" s="1655"/>
      <c r="I410" s="1655"/>
      <c r="J410" s="1655"/>
      <c r="K410" s="1655"/>
      <c r="L410" s="1655"/>
      <c r="M410" s="1655"/>
      <c r="N410" s="1655"/>
      <c r="O410" s="1655"/>
      <c r="P410" s="1655"/>
      <c r="Q410" s="1655"/>
      <c r="R410" s="1655"/>
      <c r="S410" s="1655"/>
      <c r="T410" s="1655"/>
      <c r="U410" s="1655"/>
      <c r="V410" s="1655"/>
      <c r="W410" s="1655"/>
      <c r="X410" s="1655"/>
      <c r="Y410" s="1655"/>
      <c r="Z410" s="1655"/>
      <c r="AA410" s="1655"/>
      <c r="AB410" s="1655"/>
      <c r="AC410" s="1655"/>
      <c r="AD410" s="1655"/>
      <c r="AE410" s="1655"/>
      <c r="AF410" s="1655"/>
      <c r="AG410" s="1655"/>
      <c r="AH410" s="1655"/>
      <c r="AI410" s="1655"/>
      <c r="AJ410" s="1655"/>
      <c r="AK410" s="1655"/>
      <c r="AL410" s="1655"/>
      <c r="AM410" s="1655"/>
      <c r="AN410" s="1655"/>
      <c r="AO410" s="1655"/>
      <c r="AP410" s="1655"/>
      <c r="AQ410" s="1655"/>
      <c r="AR410" s="1655"/>
      <c r="AS410" s="1655"/>
      <c r="AT410" s="1655"/>
      <c r="AU410" s="1655"/>
      <c r="AV410" s="1655"/>
      <c r="AW410" s="1655"/>
      <c r="AX410" s="1655"/>
      <c r="AY410" s="1655"/>
      <c r="AZ410" s="1655"/>
      <c r="BA410" s="1655"/>
      <c r="BB410" s="1655"/>
      <c r="BC410" s="1655"/>
      <c r="BD410" s="1655"/>
      <c r="BE410" s="1655"/>
      <c r="BF410" s="1655"/>
      <c r="BG410" s="1655"/>
      <c r="BH410" s="1655"/>
      <c r="BI410" s="1655"/>
      <c r="BJ410" s="1655"/>
      <c r="BK410" s="1655"/>
      <c r="BL410" s="1655"/>
      <c r="BM410" s="1655"/>
      <c r="BN410" s="1655"/>
      <c r="BO410" s="1655"/>
      <c r="BP410" s="1655"/>
      <c r="BQ410" s="1655"/>
      <c r="BR410" s="1655"/>
      <c r="BS410" s="1655"/>
      <c r="BT410" s="1655"/>
      <c r="BU410" s="1655"/>
      <c r="BV410" s="1655"/>
      <c r="BW410" s="1655"/>
      <c r="BX410" s="1655"/>
      <c r="BY410" s="1655"/>
      <c r="BZ410" s="1655"/>
      <c r="CA410" s="1655"/>
      <c r="CB410" s="1655"/>
      <c r="CC410" s="1655"/>
      <c r="CD410" s="1655"/>
      <c r="CE410" s="1655"/>
      <c r="CF410" s="1655"/>
      <c r="CG410" s="1655"/>
      <c r="CH410" s="1655"/>
      <c r="CI410" s="1655"/>
      <c r="CJ410" s="1655"/>
      <c r="CK410" s="1655"/>
      <c r="CL410" s="1655"/>
      <c r="CM410" s="1655"/>
      <c r="CN410" s="1655"/>
      <c r="CO410" s="1655"/>
      <c r="CP410" s="1655"/>
      <c r="CQ410" s="1655"/>
      <c r="CR410" s="1655"/>
      <c r="CS410" s="1655"/>
      <c r="CT410" s="1655"/>
      <c r="CU410" s="1655"/>
      <c r="CV410" s="1655"/>
      <c r="CW410" s="1655"/>
      <c r="CX410" s="1655"/>
      <c r="CY410" s="1655"/>
      <c r="CZ410" s="1655"/>
      <c r="DA410" s="1655"/>
      <c r="DB410" s="1655"/>
      <c r="DC410" s="1655"/>
      <c r="DD410" s="1655"/>
      <c r="DE410" s="1655"/>
      <c r="DF410" s="1655"/>
      <c r="DG410" s="1655"/>
      <c r="DH410" s="1655"/>
      <c r="DI410" s="1655"/>
      <c r="DJ410" s="1655"/>
      <c r="DK410" s="1655"/>
      <c r="DL410" s="1655"/>
      <c r="DM410" s="1655"/>
      <c r="DN410" s="1655"/>
      <c r="DO410" s="1655"/>
      <c r="DP410" s="1655"/>
      <c r="DQ410" s="1655"/>
      <c r="DR410" s="1655"/>
      <c r="DS410" s="1655"/>
      <c r="DT410" s="1655"/>
      <c r="DU410" s="1655"/>
      <c r="DV410" s="1655"/>
      <c r="DW410" s="1655"/>
      <c r="DX410" s="1655"/>
      <c r="DY410" s="1655"/>
      <c r="DZ410" s="1655"/>
      <c r="EA410" s="1655"/>
      <c r="EB410" s="1655"/>
      <c r="EC410" s="1655"/>
      <c r="ED410" s="1655"/>
      <c r="EE410" s="1655"/>
      <c r="EF410" s="1655"/>
      <c r="EG410" s="1655"/>
      <c r="EH410" s="1655"/>
      <c r="EI410" s="1655"/>
      <c r="EJ410" s="1655"/>
      <c r="EK410" s="1655"/>
      <c r="EL410" s="1655"/>
      <c r="EM410" s="1655"/>
      <c r="EN410" s="1655"/>
      <c r="EO410" s="1655"/>
      <c r="EP410" s="1655"/>
      <c r="EQ410" s="1655"/>
      <c r="ER410" s="1655"/>
      <c r="ES410" s="1655"/>
      <c r="ET410" s="1655"/>
      <c r="EU410" s="1655"/>
      <c r="EV410" s="1655"/>
      <c r="EW410" s="1655"/>
      <c r="EX410" s="1655"/>
      <c r="EY410" s="1655"/>
      <c r="EZ410" s="1655"/>
      <c r="FA410" s="1655"/>
      <c r="FB410" s="1655"/>
      <c r="FC410" s="1655"/>
      <c r="FD410" s="1655"/>
      <c r="FE410" s="1655"/>
      <c r="FF410" s="1655"/>
      <c r="FG410" s="1655"/>
      <c r="FH410" s="1655"/>
      <c r="FI410" s="1655"/>
    </row>
    <row r="411" spans="1:165">
      <c r="A411" s="1655"/>
      <c r="B411" s="1655"/>
      <c r="C411" s="1655"/>
      <c r="D411" s="1655"/>
      <c r="E411" s="1655"/>
      <c r="F411" s="1655"/>
      <c r="G411" s="1655"/>
      <c r="H411" s="1655"/>
      <c r="I411" s="1655"/>
      <c r="J411" s="1655"/>
      <c r="K411" s="1655"/>
      <c r="L411" s="1655"/>
      <c r="M411" s="1655"/>
      <c r="N411" s="1655"/>
      <c r="O411" s="1655"/>
      <c r="P411" s="1655"/>
      <c r="Q411" s="1655"/>
      <c r="R411" s="1655"/>
      <c r="S411" s="1655"/>
      <c r="T411" s="1655"/>
      <c r="U411" s="1655"/>
      <c r="V411" s="1655"/>
      <c r="W411" s="1655"/>
      <c r="X411" s="1655"/>
      <c r="Y411" s="1655"/>
      <c r="Z411" s="1655"/>
      <c r="AA411" s="1655"/>
      <c r="AB411" s="1655"/>
      <c r="AC411" s="1655"/>
      <c r="AD411" s="1655"/>
      <c r="AE411" s="1655"/>
      <c r="AF411" s="1655"/>
      <c r="AG411" s="1655"/>
      <c r="AH411" s="1655"/>
      <c r="AI411" s="1655"/>
      <c r="AJ411" s="1655"/>
      <c r="AK411" s="1655"/>
      <c r="AL411" s="1655"/>
      <c r="AM411" s="1655"/>
      <c r="AN411" s="1655"/>
      <c r="AO411" s="1655"/>
      <c r="AP411" s="1655"/>
      <c r="AQ411" s="1655"/>
      <c r="AR411" s="1655"/>
      <c r="AS411" s="1655"/>
      <c r="AT411" s="1655"/>
      <c r="AU411" s="1655"/>
      <c r="AV411" s="1655"/>
      <c r="AW411" s="1655"/>
      <c r="AX411" s="1655"/>
      <c r="AY411" s="1655"/>
      <c r="AZ411" s="1655"/>
      <c r="BA411" s="1655"/>
      <c r="BB411" s="1655"/>
      <c r="BC411" s="1655"/>
      <c r="BD411" s="1655"/>
      <c r="BE411" s="1655"/>
      <c r="BF411" s="1655"/>
      <c r="BG411" s="1655"/>
      <c r="BH411" s="1655"/>
      <c r="BI411" s="1655"/>
      <c r="BJ411" s="1655"/>
      <c r="BK411" s="1655"/>
      <c r="BL411" s="1655"/>
      <c r="BM411" s="1655"/>
      <c r="BN411" s="1655"/>
      <c r="BO411" s="1655"/>
      <c r="BP411" s="1655"/>
      <c r="BQ411" s="1655"/>
      <c r="BR411" s="1655"/>
      <c r="BS411" s="1655"/>
      <c r="BT411" s="1655"/>
      <c r="BU411" s="1655"/>
      <c r="BV411" s="1655"/>
      <c r="BW411" s="1655"/>
      <c r="BX411" s="1655"/>
      <c r="BY411" s="1655"/>
      <c r="BZ411" s="1655"/>
      <c r="CA411" s="1655"/>
      <c r="CB411" s="1655"/>
      <c r="CC411" s="1655"/>
      <c r="CD411" s="1655"/>
      <c r="CE411" s="1655"/>
      <c r="CF411" s="1655"/>
      <c r="CG411" s="1655"/>
      <c r="CH411" s="1655"/>
      <c r="CI411" s="1655"/>
      <c r="CJ411" s="1655"/>
      <c r="CK411" s="1655"/>
      <c r="CL411" s="1655"/>
      <c r="CM411" s="1655"/>
      <c r="CN411" s="1655"/>
      <c r="CO411" s="1655"/>
      <c r="CP411" s="1655"/>
      <c r="CQ411" s="1655"/>
      <c r="CR411" s="1655"/>
      <c r="CS411" s="1655"/>
      <c r="CT411" s="1655"/>
      <c r="CU411" s="1655"/>
      <c r="CV411" s="1655"/>
      <c r="CW411" s="1655"/>
      <c r="CX411" s="1655"/>
      <c r="CY411" s="1655"/>
      <c r="CZ411" s="1655"/>
      <c r="DA411" s="1655"/>
      <c r="DB411" s="1655"/>
      <c r="DC411" s="1655"/>
      <c r="DD411" s="1655"/>
      <c r="DE411" s="1655"/>
      <c r="DF411" s="1655"/>
      <c r="DG411" s="1655"/>
      <c r="DH411" s="1655"/>
      <c r="DI411" s="1655"/>
      <c r="DJ411" s="1655"/>
      <c r="DK411" s="1655"/>
      <c r="DL411" s="1655"/>
      <c r="DM411" s="1655"/>
      <c r="DN411" s="1655"/>
      <c r="DO411" s="1655"/>
      <c r="DP411" s="1655"/>
      <c r="DQ411" s="1655"/>
      <c r="DR411" s="1655"/>
      <c r="DS411" s="1655"/>
      <c r="DT411" s="1655"/>
      <c r="DU411" s="1655"/>
      <c r="DV411" s="1655"/>
      <c r="DW411" s="1655"/>
      <c r="DX411" s="1655"/>
      <c r="DY411" s="1655"/>
      <c r="DZ411" s="1655"/>
      <c r="EA411" s="1655"/>
      <c r="EB411" s="1655"/>
      <c r="EC411" s="1655"/>
      <c r="ED411" s="1655"/>
      <c r="EE411" s="1655"/>
      <c r="EF411" s="1655"/>
      <c r="EG411" s="1655"/>
      <c r="EH411" s="1655"/>
      <c r="EI411" s="1655"/>
      <c r="EJ411" s="1655"/>
      <c r="EK411" s="1655"/>
      <c r="EL411" s="1655"/>
      <c r="EM411" s="1655"/>
      <c r="EN411" s="1655"/>
      <c r="EO411" s="1655"/>
      <c r="EP411" s="1655"/>
      <c r="EQ411" s="1655"/>
      <c r="ER411" s="1655"/>
      <c r="ES411" s="1655"/>
      <c r="ET411" s="1655"/>
      <c r="EU411" s="1655"/>
      <c r="EV411" s="1655"/>
      <c r="EW411" s="1655"/>
      <c r="EX411" s="1655"/>
      <c r="EY411" s="1655"/>
      <c r="EZ411" s="1655"/>
      <c r="FA411" s="1655"/>
      <c r="FB411" s="1655"/>
      <c r="FC411" s="1655"/>
      <c r="FD411" s="1655"/>
      <c r="FE411" s="1655"/>
      <c r="FF411" s="1655"/>
      <c r="FG411" s="1655"/>
      <c r="FH411" s="1655"/>
      <c r="FI411" s="1655"/>
    </row>
    <row r="412" spans="1:165">
      <c r="A412" s="1655"/>
      <c r="B412" s="1655"/>
      <c r="C412" s="1655"/>
      <c r="D412" s="1655"/>
      <c r="E412" s="1655"/>
      <c r="F412" s="1655"/>
      <c r="G412" s="1655"/>
      <c r="H412" s="1655"/>
      <c r="I412" s="1655"/>
      <c r="J412" s="1655"/>
      <c r="K412" s="1655"/>
      <c r="L412" s="1655"/>
      <c r="M412" s="1655"/>
      <c r="N412" s="1655"/>
      <c r="O412" s="1655"/>
      <c r="P412" s="1655"/>
      <c r="Q412" s="1655"/>
      <c r="R412" s="1655"/>
      <c r="S412" s="1655"/>
      <c r="T412" s="1655"/>
      <c r="U412" s="1655"/>
      <c r="V412" s="1655"/>
      <c r="W412" s="1655"/>
      <c r="X412" s="1655"/>
      <c r="Y412" s="1655"/>
      <c r="Z412" s="1655"/>
      <c r="AA412" s="1655"/>
      <c r="AB412" s="1655"/>
      <c r="AC412" s="1655"/>
      <c r="AD412" s="1655"/>
      <c r="AE412" s="1655"/>
      <c r="AF412" s="1655"/>
      <c r="AG412" s="1655"/>
      <c r="AH412" s="1655"/>
      <c r="AI412" s="1655"/>
      <c r="AJ412" s="1655"/>
      <c r="AK412" s="1655"/>
      <c r="AL412" s="1655"/>
      <c r="AM412" s="1655"/>
      <c r="AN412" s="1655"/>
      <c r="AO412" s="1655"/>
      <c r="AP412" s="1655"/>
      <c r="AQ412" s="1655"/>
      <c r="AR412" s="1655"/>
      <c r="AS412" s="1655"/>
      <c r="AT412" s="1655"/>
      <c r="AU412" s="1655"/>
      <c r="AV412" s="1655"/>
      <c r="AW412" s="1655"/>
      <c r="AX412" s="1655"/>
      <c r="AY412" s="1655"/>
      <c r="AZ412" s="1655"/>
      <c r="BA412" s="1655"/>
      <c r="BB412" s="1655"/>
      <c r="BC412" s="1655"/>
      <c r="BD412" s="1655"/>
      <c r="BE412" s="1655"/>
      <c r="BF412" s="1655"/>
      <c r="BG412" s="1655"/>
      <c r="BH412" s="1655"/>
      <c r="BI412" s="1655"/>
      <c r="BJ412" s="1655"/>
      <c r="BK412" s="1655"/>
      <c r="BL412" s="1655"/>
      <c r="BM412" s="1655"/>
      <c r="BN412" s="1655"/>
      <c r="BO412" s="1655"/>
      <c r="BP412" s="1655"/>
      <c r="BQ412" s="1655"/>
      <c r="BR412" s="1655"/>
      <c r="BS412" s="1655"/>
      <c r="BT412" s="1655"/>
      <c r="BU412" s="1655"/>
      <c r="BV412" s="1655"/>
      <c r="BW412" s="1655"/>
      <c r="BX412" s="1655"/>
      <c r="BY412" s="1655"/>
      <c r="BZ412" s="1655"/>
      <c r="CA412" s="1655"/>
      <c r="CB412" s="1655"/>
      <c r="CC412" s="1655"/>
      <c r="CD412" s="1655"/>
      <c r="CE412" s="1655"/>
      <c r="CF412" s="1655"/>
      <c r="CG412" s="1655"/>
      <c r="CH412" s="1655"/>
      <c r="CI412" s="1655"/>
      <c r="CJ412" s="1655"/>
      <c r="CK412" s="1655"/>
      <c r="CL412" s="1655"/>
      <c r="CM412" s="1655"/>
      <c r="CN412" s="1655"/>
      <c r="CO412" s="1655"/>
      <c r="CP412" s="1655"/>
      <c r="CQ412" s="1655"/>
      <c r="CR412" s="1655"/>
      <c r="CS412" s="1655"/>
      <c r="CT412" s="1655"/>
      <c r="CU412" s="1655"/>
      <c r="CV412" s="1655"/>
      <c r="CW412" s="1655"/>
      <c r="CX412" s="1655"/>
      <c r="CY412" s="1655"/>
      <c r="CZ412" s="1655"/>
      <c r="DA412" s="1655"/>
      <c r="DB412" s="1655"/>
      <c r="DC412" s="1655"/>
      <c r="DD412" s="1655"/>
      <c r="DE412" s="1655"/>
      <c r="DF412" s="1655"/>
      <c r="DG412" s="1655"/>
      <c r="DH412" s="1655"/>
      <c r="DI412" s="1655"/>
      <c r="DJ412" s="1655"/>
      <c r="DK412" s="1655"/>
      <c r="DL412" s="1655"/>
      <c r="DM412" s="1655"/>
      <c r="DN412" s="1655"/>
      <c r="DO412" s="1655"/>
      <c r="DP412" s="1655"/>
      <c r="DQ412" s="1655"/>
      <c r="DR412" s="1655"/>
      <c r="DS412" s="1655"/>
      <c r="DT412" s="1655"/>
      <c r="DU412" s="1655"/>
      <c r="DV412" s="1655"/>
      <c r="DW412" s="1655"/>
      <c r="DX412" s="1655"/>
      <c r="DY412" s="1655"/>
      <c r="DZ412" s="1655"/>
      <c r="EA412" s="1655"/>
      <c r="EB412" s="1655"/>
      <c r="EC412" s="1655"/>
      <c r="ED412" s="1655"/>
      <c r="EE412" s="1655"/>
      <c r="EF412" s="1655"/>
      <c r="EG412" s="1655"/>
      <c r="EH412" s="1655"/>
      <c r="EI412" s="1655"/>
      <c r="EJ412" s="1655"/>
      <c r="EK412" s="1655"/>
      <c r="EL412" s="1655"/>
      <c r="EM412" s="1655"/>
      <c r="EN412" s="1655"/>
      <c r="EO412" s="1655"/>
      <c r="EP412" s="1655"/>
      <c r="EQ412" s="1655"/>
      <c r="ER412" s="1655"/>
      <c r="ES412" s="1655"/>
      <c r="ET412" s="1655"/>
      <c r="EU412" s="1655"/>
      <c r="EV412" s="1655"/>
      <c r="EW412" s="1655"/>
      <c r="EX412" s="1655"/>
      <c r="EY412" s="1655"/>
      <c r="EZ412" s="1655"/>
      <c r="FA412" s="1655"/>
      <c r="FB412" s="1655"/>
      <c r="FC412" s="1655"/>
      <c r="FD412" s="1655"/>
      <c r="FE412" s="1655"/>
      <c r="FF412" s="1655"/>
      <c r="FG412" s="1655"/>
      <c r="FH412" s="1655"/>
      <c r="FI412" s="1655"/>
    </row>
    <row r="413" spans="1:165">
      <c r="A413" s="1655"/>
      <c r="B413" s="1655"/>
      <c r="C413" s="1655"/>
      <c r="D413" s="1655"/>
      <c r="E413" s="1655"/>
      <c r="F413" s="1655"/>
      <c r="G413" s="1655"/>
      <c r="H413" s="1655"/>
      <c r="I413" s="1655"/>
      <c r="J413" s="1655"/>
      <c r="K413" s="1655"/>
      <c r="L413" s="1655"/>
      <c r="M413" s="1655"/>
      <c r="N413" s="1655"/>
      <c r="O413" s="1655"/>
      <c r="P413" s="1655"/>
      <c r="Q413" s="1655"/>
      <c r="R413" s="1655"/>
      <c r="S413" s="1655"/>
      <c r="T413" s="1655"/>
      <c r="U413" s="1655"/>
      <c r="V413" s="1655"/>
      <c r="W413" s="1655"/>
      <c r="X413" s="1655"/>
      <c r="Y413" s="1655"/>
      <c r="Z413" s="1655"/>
      <c r="AA413" s="1655"/>
      <c r="AB413" s="1655"/>
      <c r="AC413" s="1655"/>
      <c r="AD413" s="1655"/>
      <c r="AE413" s="1655"/>
      <c r="AF413" s="1655"/>
      <c r="AG413" s="1655"/>
      <c r="AH413" s="1655"/>
      <c r="AI413" s="1655"/>
      <c r="AJ413" s="1655"/>
      <c r="AK413" s="1655"/>
      <c r="AL413" s="1655"/>
      <c r="AM413" s="1655"/>
      <c r="AN413" s="1655"/>
      <c r="AO413" s="1655"/>
      <c r="AP413" s="1655"/>
      <c r="AQ413" s="1655"/>
      <c r="AR413" s="1655"/>
      <c r="AS413" s="1655"/>
      <c r="AT413" s="1655"/>
      <c r="AU413" s="1655"/>
      <c r="AV413" s="1655"/>
      <c r="AW413" s="1655"/>
      <c r="AX413" s="1655"/>
      <c r="AY413" s="1655"/>
      <c r="AZ413" s="1655"/>
      <c r="BA413" s="1655"/>
      <c r="BB413" s="1655"/>
      <c r="BC413" s="1655"/>
      <c r="BD413" s="1655"/>
      <c r="BE413" s="1655"/>
      <c r="BF413" s="1655"/>
      <c r="BG413" s="1655"/>
      <c r="BH413" s="1655"/>
      <c r="BI413" s="1655"/>
      <c r="BJ413" s="1655"/>
      <c r="BK413" s="1655"/>
      <c r="BL413" s="1655"/>
      <c r="BM413" s="1655"/>
      <c r="BN413" s="1655"/>
      <c r="BO413" s="1655"/>
      <c r="BP413" s="1655"/>
      <c r="BQ413" s="1655"/>
      <c r="BR413" s="1655"/>
      <c r="BS413" s="1655"/>
      <c r="BT413" s="1655"/>
      <c r="BU413" s="1655"/>
      <c r="BV413" s="1655"/>
      <c r="BW413" s="1655"/>
      <c r="BX413" s="1655"/>
      <c r="BY413" s="1655"/>
      <c r="BZ413" s="1655"/>
      <c r="CA413" s="1655"/>
      <c r="CB413" s="1655"/>
      <c r="CC413" s="1655"/>
      <c r="CD413" s="1655"/>
      <c r="CE413" s="1655"/>
      <c r="CF413" s="1655"/>
      <c r="CG413" s="1655"/>
      <c r="CH413" s="1655"/>
      <c r="CI413" s="1655"/>
      <c r="CJ413" s="1655"/>
      <c r="CK413" s="1655"/>
      <c r="CL413" s="1655"/>
      <c r="CM413" s="1655"/>
      <c r="CN413" s="1655"/>
      <c r="CO413" s="1655"/>
      <c r="CP413" s="1655"/>
      <c r="CQ413" s="1655"/>
      <c r="CR413" s="1655"/>
      <c r="CS413" s="1655"/>
      <c r="CT413" s="1655"/>
      <c r="CU413" s="1655"/>
      <c r="CV413" s="1655"/>
      <c r="CW413" s="1655"/>
      <c r="CX413" s="1655"/>
      <c r="CY413" s="1655"/>
      <c r="CZ413" s="1655"/>
      <c r="DA413" s="1655"/>
      <c r="DB413" s="1655"/>
      <c r="DC413" s="1655"/>
      <c r="DD413" s="1655"/>
      <c r="DE413" s="1655"/>
      <c r="DF413" s="1655"/>
      <c r="DG413" s="1655"/>
      <c r="DH413" s="1655"/>
      <c r="DI413" s="1655"/>
      <c r="DJ413" s="1655"/>
      <c r="DK413" s="1655"/>
      <c r="DL413" s="1655"/>
      <c r="DM413" s="1655"/>
      <c r="DN413" s="1655"/>
      <c r="DO413" s="1655"/>
      <c r="DP413" s="1655"/>
      <c r="DQ413" s="1655"/>
      <c r="DR413" s="1655"/>
      <c r="DS413" s="1655"/>
      <c r="DT413" s="1655"/>
      <c r="DU413" s="1655"/>
      <c r="DV413" s="1655"/>
      <c r="DW413" s="1655"/>
      <c r="DX413" s="1655"/>
      <c r="DY413" s="1655"/>
      <c r="DZ413" s="1655"/>
      <c r="EA413" s="1655"/>
      <c r="EB413" s="1655"/>
      <c r="EC413" s="1655"/>
      <c r="ED413" s="1655"/>
      <c r="EE413" s="1655"/>
      <c r="EF413" s="1655"/>
      <c r="EG413" s="1655"/>
      <c r="EH413" s="1655"/>
      <c r="EI413" s="1655"/>
      <c r="EJ413" s="1655"/>
      <c r="EK413" s="1655"/>
      <c r="EL413" s="1655"/>
      <c r="EM413" s="1655"/>
      <c r="EN413" s="1655"/>
      <c r="EO413" s="1655"/>
      <c r="EP413" s="1655"/>
      <c r="EQ413" s="1655"/>
      <c r="ER413" s="1655"/>
      <c r="ES413" s="1655"/>
      <c r="ET413" s="1655"/>
      <c r="EU413" s="1655"/>
      <c r="EV413" s="1655"/>
      <c r="EW413" s="1655"/>
      <c r="EX413" s="1655"/>
      <c r="EY413" s="1655"/>
      <c r="EZ413" s="1655"/>
      <c r="FA413" s="1655"/>
      <c r="FB413" s="1655"/>
      <c r="FC413" s="1655"/>
      <c r="FD413" s="1655"/>
      <c r="FE413" s="1655"/>
      <c r="FF413" s="1655"/>
      <c r="FG413" s="1655"/>
      <c r="FH413" s="1655"/>
      <c r="FI413" s="1655"/>
    </row>
    <row r="414" spans="1:165">
      <c r="A414" s="1655"/>
      <c r="B414" s="1655"/>
      <c r="C414" s="1655"/>
      <c r="D414" s="1655"/>
      <c r="E414" s="1655"/>
      <c r="F414" s="1655"/>
      <c r="G414" s="1655"/>
      <c r="H414" s="1655"/>
      <c r="I414" s="1655"/>
      <c r="J414" s="1655"/>
      <c r="K414" s="1655"/>
      <c r="L414" s="1655"/>
      <c r="M414" s="1655"/>
      <c r="N414" s="1655"/>
      <c r="O414" s="1655"/>
      <c r="P414" s="1655"/>
      <c r="Q414" s="1655"/>
      <c r="R414" s="1655"/>
      <c r="S414" s="1655"/>
      <c r="T414" s="1655"/>
      <c r="U414" s="1655"/>
      <c r="V414" s="1655"/>
      <c r="W414" s="1655"/>
      <c r="X414" s="1655"/>
      <c r="Y414" s="1655"/>
      <c r="Z414" s="1655"/>
      <c r="AA414" s="1655"/>
      <c r="AB414" s="1655"/>
      <c r="AC414" s="1655"/>
      <c r="AD414" s="1655"/>
      <c r="AE414" s="1655"/>
      <c r="AF414" s="1655"/>
      <c r="AG414" s="1655"/>
      <c r="AH414" s="1655"/>
      <c r="AI414" s="1655"/>
      <c r="AJ414" s="1655"/>
      <c r="AK414" s="1655"/>
      <c r="AL414" s="1655"/>
      <c r="AM414" s="1655"/>
      <c r="AN414" s="1655"/>
      <c r="AO414" s="1655"/>
      <c r="AP414" s="1655"/>
      <c r="AQ414" s="1655"/>
      <c r="AR414" s="1655"/>
      <c r="AS414" s="1655"/>
      <c r="AT414" s="1655"/>
      <c r="AU414" s="1655"/>
      <c r="AV414" s="1655"/>
      <c r="AW414" s="1655"/>
      <c r="AX414" s="1655"/>
      <c r="AY414" s="1655"/>
      <c r="AZ414" s="1655"/>
      <c r="BA414" s="1655"/>
      <c r="BB414" s="1655"/>
      <c r="BC414" s="1655"/>
      <c r="BD414" s="1655"/>
      <c r="BE414" s="1655"/>
      <c r="BF414" s="1655"/>
      <c r="BG414" s="1655"/>
      <c r="BH414" s="1655"/>
      <c r="BI414" s="1655"/>
      <c r="BJ414" s="1655"/>
      <c r="BK414" s="1655"/>
      <c r="BL414" s="1655"/>
      <c r="BM414" s="1655"/>
      <c r="BN414" s="1655"/>
      <c r="BO414" s="1655"/>
      <c r="BP414" s="1655"/>
      <c r="BQ414" s="1655"/>
      <c r="BR414" s="1655"/>
      <c r="BS414" s="1655"/>
      <c r="BT414" s="1655"/>
      <c r="BU414" s="1655"/>
      <c r="BV414" s="1655"/>
      <c r="BW414" s="1655"/>
      <c r="BX414" s="1655"/>
      <c r="BY414" s="1655"/>
      <c r="BZ414" s="1655"/>
      <c r="CA414" s="1655"/>
      <c r="CB414" s="1655"/>
      <c r="CC414" s="1655"/>
      <c r="CD414" s="1655"/>
      <c r="CE414" s="1655"/>
      <c r="CF414" s="1655"/>
      <c r="CG414" s="1655"/>
      <c r="CH414" s="1655"/>
      <c r="CI414" s="1655"/>
      <c r="CJ414" s="1655"/>
      <c r="CK414" s="1655"/>
      <c r="CL414" s="1655"/>
      <c r="CM414" s="1655"/>
      <c r="CN414" s="1655"/>
      <c r="CO414" s="1655"/>
      <c r="CP414" s="1655"/>
      <c r="CQ414" s="1655"/>
      <c r="CR414" s="1655"/>
      <c r="CS414" s="1655"/>
      <c r="CT414" s="1655"/>
      <c r="CU414" s="1655"/>
      <c r="CV414" s="1655"/>
      <c r="CW414" s="1655"/>
      <c r="CX414" s="1655"/>
      <c r="CY414" s="1655"/>
      <c r="CZ414" s="1655"/>
      <c r="DA414" s="1655"/>
      <c r="DB414" s="1655"/>
      <c r="DC414" s="1655"/>
      <c r="DD414" s="1655"/>
      <c r="DE414" s="1655"/>
      <c r="DF414" s="1655"/>
      <c r="DG414" s="1655"/>
      <c r="DH414" s="1655"/>
      <c r="DI414" s="1655"/>
      <c r="DJ414" s="1655"/>
      <c r="DK414" s="1655"/>
      <c r="DL414" s="1655"/>
      <c r="DM414" s="1655"/>
      <c r="DN414" s="1655"/>
      <c r="DO414" s="1655"/>
      <c r="DP414" s="1655"/>
      <c r="DQ414" s="1655"/>
      <c r="DR414" s="1655"/>
      <c r="DS414" s="1655"/>
      <c r="DT414" s="1655"/>
      <c r="DU414" s="1655"/>
      <c r="DV414" s="1655"/>
      <c r="DW414" s="1655"/>
      <c r="DX414" s="1655"/>
      <c r="DY414" s="1655"/>
      <c r="DZ414" s="1655"/>
      <c r="EA414" s="1655"/>
      <c r="EB414" s="1655"/>
      <c r="EC414" s="1655"/>
      <c r="ED414" s="1655"/>
      <c r="EE414" s="1655"/>
      <c r="EF414" s="1655"/>
      <c r="EG414" s="1655"/>
      <c r="EH414" s="1655"/>
      <c r="EI414" s="1655"/>
      <c r="EJ414" s="1655"/>
      <c r="EK414" s="1655"/>
      <c r="EL414" s="1655"/>
      <c r="EM414" s="1655"/>
      <c r="EN414" s="1655"/>
      <c r="EO414" s="1655"/>
      <c r="EP414" s="1655"/>
      <c r="EQ414" s="1655"/>
      <c r="ER414" s="1655"/>
      <c r="ES414" s="1655"/>
      <c r="ET414" s="1655"/>
      <c r="EU414" s="1655"/>
      <c r="EV414" s="1655"/>
      <c r="EW414" s="1655"/>
      <c r="EX414" s="1655"/>
      <c r="EY414" s="1655"/>
      <c r="EZ414" s="1655"/>
      <c r="FA414" s="1655"/>
      <c r="FB414" s="1655"/>
      <c r="FC414" s="1655"/>
      <c r="FD414" s="1655"/>
      <c r="FE414" s="1655"/>
      <c r="FF414" s="1655"/>
      <c r="FG414" s="1655"/>
      <c r="FH414" s="1655"/>
      <c r="FI414" s="1655"/>
    </row>
    <row r="415" spans="1:165">
      <c r="A415" s="1655"/>
      <c r="B415" s="1655"/>
      <c r="C415" s="1655"/>
      <c r="D415" s="1655"/>
      <c r="E415" s="1655"/>
      <c r="F415" s="1655"/>
      <c r="G415" s="1655"/>
      <c r="H415" s="1655"/>
      <c r="I415" s="1655"/>
      <c r="J415" s="1655"/>
      <c r="K415" s="1655"/>
      <c r="L415" s="1655"/>
      <c r="M415" s="1655"/>
      <c r="N415" s="1655"/>
      <c r="O415" s="1655"/>
      <c r="P415" s="1655"/>
      <c r="Q415" s="1655"/>
      <c r="R415" s="1655"/>
      <c r="S415" s="1655"/>
      <c r="T415" s="1655"/>
      <c r="U415" s="1655"/>
      <c r="V415" s="1655"/>
      <c r="W415" s="1655"/>
      <c r="X415" s="1655"/>
      <c r="Y415" s="1655"/>
      <c r="Z415" s="1655"/>
      <c r="AA415" s="1655"/>
      <c r="AB415" s="1655"/>
      <c r="AC415" s="1655"/>
      <c r="AD415" s="1655"/>
      <c r="AE415" s="1655"/>
      <c r="AF415" s="1655"/>
      <c r="AG415" s="1655"/>
      <c r="AH415" s="1655"/>
      <c r="AI415" s="1655"/>
      <c r="AJ415" s="1655"/>
      <c r="AK415" s="1655"/>
      <c r="AL415" s="1655"/>
      <c r="AM415" s="1655"/>
      <c r="AN415" s="1655"/>
      <c r="AO415" s="1655"/>
      <c r="AP415" s="1655"/>
      <c r="AQ415" s="1655"/>
      <c r="AR415" s="1655"/>
      <c r="AS415" s="1655"/>
      <c r="AT415" s="1655"/>
      <c r="AU415" s="1655"/>
      <c r="AV415" s="1655"/>
      <c r="AW415" s="1655"/>
      <c r="AX415" s="1655"/>
      <c r="AY415" s="1655"/>
      <c r="AZ415" s="1655"/>
      <c r="BA415" s="1655"/>
      <c r="BB415" s="1655"/>
      <c r="BC415" s="1655"/>
      <c r="BD415" s="1655"/>
      <c r="BE415" s="1655"/>
      <c r="BF415" s="1655"/>
      <c r="BG415" s="1655"/>
      <c r="BH415" s="1655"/>
      <c r="BI415" s="1655"/>
      <c r="BJ415" s="1655"/>
      <c r="BK415" s="1655"/>
      <c r="BL415" s="1655"/>
      <c r="BM415" s="1655"/>
      <c r="BN415" s="1655"/>
      <c r="BO415" s="1655"/>
      <c r="BP415" s="1655"/>
      <c r="BQ415" s="1655"/>
      <c r="BR415" s="1655"/>
      <c r="BS415" s="1655"/>
      <c r="BT415" s="1655"/>
      <c r="BU415" s="1655"/>
      <c r="BV415" s="1655"/>
      <c r="BW415" s="1655"/>
      <c r="BX415" s="1655"/>
      <c r="BY415" s="1655"/>
      <c r="BZ415" s="1655"/>
      <c r="CA415" s="1655"/>
      <c r="CB415" s="1655"/>
      <c r="CC415" s="1655"/>
      <c r="CD415" s="1655"/>
      <c r="CE415" s="1655"/>
      <c r="CF415" s="1655"/>
      <c r="CG415" s="1655"/>
      <c r="CH415" s="1655"/>
      <c r="CI415" s="1655"/>
      <c r="CJ415" s="1655"/>
      <c r="CK415" s="1655"/>
      <c r="CL415" s="1655"/>
      <c r="CM415" s="1655"/>
      <c r="CN415" s="1655"/>
      <c r="CO415" s="1655"/>
      <c r="CP415" s="1655"/>
      <c r="CQ415" s="1655"/>
      <c r="CR415" s="1655"/>
      <c r="CS415" s="1655"/>
      <c r="CT415" s="1655"/>
      <c r="CU415" s="1655"/>
      <c r="CV415" s="1655"/>
      <c r="CW415" s="1655"/>
      <c r="CX415" s="1655"/>
      <c r="CY415" s="1655"/>
      <c r="CZ415" s="1655"/>
      <c r="DA415" s="1655"/>
      <c r="DB415" s="1655"/>
      <c r="DC415" s="1655"/>
      <c r="DD415" s="1655"/>
      <c r="DE415" s="1655"/>
      <c r="DF415" s="1655"/>
      <c r="DG415" s="1655"/>
      <c r="DH415" s="1655"/>
      <c r="DI415" s="1655"/>
      <c r="DJ415" s="1655"/>
      <c r="DK415" s="1655"/>
      <c r="DL415" s="1655"/>
      <c r="DM415" s="1655"/>
      <c r="DN415" s="1655"/>
      <c r="DO415" s="1655"/>
      <c r="DP415" s="1655"/>
      <c r="DQ415" s="1655"/>
      <c r="DR415" s="1655"/>
      <c r="DS415" s="1655"/>
      <c r="DT415" s="1655"/>
      <c r="DU415" s="1655"/>
      <c r="DV415" s="1655"/>
      <c r="DW415" s="1655"/>
      <c r="DX415" s="1655"/>
      <c r="DY415" s="1655"/>
      <c r="DZ415" s="1655"/>
      <c r="EA415" s="1655"/>
      <c r="EB415" s="1655"/>
      <c r="EC415" s="1655"/>
      <c r="ED415" s="1655"/>
      <c r="EE415" s="1655"/>
      <c r="EF415" s="1655"/>
      <c r="EG415" s="1655"/>
      <c r="EH415" s="1655"/>
      <c r="EI415" s="1655"/>
      <c r="EJ415" s="1655"/>
      <c r="EK415" s="1655"/>
      <c r="EL415" s="1655"/>
      <c r="EM415" s="1655"/>
      <c r="EN415" s="1655"/>
      <c r="EO415" s="1655"/>
      <c r="EP415" s="1655"/>
      <c r="EQ415" s="1655"/>
      <c r="ER415" s="1655"/>
      <c r="ES415" s="1655"/>
      <c r="ET415" s="1655"/>
      <c r="EU415" s="1655"/>
      <c r="EV415" s="1655"/>
      <c r="EW415" s="1655"/>
      <c r="EX415" s="1655"/>
      <c r="EY415" s="1655"/>
      <c r="EZ415" s="1655"/>
      <c r="FA415" s="1655"/>
      <c r="FB415" s="1655"/>
      <c r="FC415" s="1655"/>
      <c r="FD415" s="1655"/>
      <c r="FE415" s="1655"/>
      <c r="FF415" s="1655"/>
      <c r="FG415" s="1655"/>
      <c r="FH415" s="1655"/>
      <c r="FI415" s="1655"/>
    </row>
    <row r="416" spans="1:165">
      <c r="A416" s="1655"/>
      <c r="B416" s="1655"/>
      <c r="C416" s="1655"/>
      <c r="D416" s="1655"/>
      <c r="E416" s="1655"/>
      <c r="F416" s="1655"/>
      <c r="G416" s="1655"/>
      <c r="H416" s="1655"/>
      <c r="I416" s="1655"/>
      <c r="J416" s="1655"/>
      <c r="K416" s="1655"/>
      <c r="L416" s="1655"/>
      <c r="M416" s="1655"/>
      <c r="N416" s="1655"/>
      <c r="O416" s="1655"/>
      <c r="P416" s="1655"/>
      <c r="Q416" s="1655"/>
      <c r="R416" s="1655"/>
      <c r="S416" s="1655"/>
      <c r="T416" s="1655"/>
      <c r="U416" s="1655"/>
      <c r="V416" s="1655"/>
      <c r="W416" s="1655"/>
      <c r="X416" s="1655"/>
      <c r="Y416" s="1655"/>
      <c r="Z416" s="1655"/>
      <c r="AA416" s="1655"/>
      <c r="AB416" s="1655"/>
      <c r="AC416" s="1655"/>
      <c r="AD416" s="1655"/>
      <c r="AE416" s="1655"/>
      <c r="AF416" s="1655"/>
      <c r="AG416" s="1655"/>
      <c r="AH416" s="1655"/>
      <c r="AI416" s="1655"/>
      <c r="AJ416" s="1655"/>
      <c r="AK416" s="1655"/>
      <c r="AL416" s="1655"/>
      <c r="AM416" s="1655"/>
      <c r="AN416" s="1655"/>
      <c r="AO416" s="1655"/>
      <c r="AP416" s="1655"/>
      <c r="AQ416" s="1655"/>
      <c r="AR416" s="1655"/>
      <c r="AS416" s="1655"/>
      <c r="AT416" s="1655"/>
      <c r="AU416" s="1655"/>
      <c r="AV416" s="1655"/>
      <c r="AW416" s="1655"/>
      <c r="AX416" s="1655"/>
      <c r="AY416" s="1655"/>
      <c r="AZ416" s="1655"/>
      <c r="BA416" s="1655"/>
      <c r="BB416" s="1655"/>
      <c r="BC416" s="1655"/>
      <c r="BD416" s="1655"/>
      <c r="BE416" s="1655"/>
      <c r="BF416" s="1655"/>
      <c r="BG416" s="1655"/>
      <c r="BH416" s="1655"/>
      <c r="BI416" s="1655"/>
      <c r="BJ416" s="1655"/>
      <c r="BK416" s="1655"/>
      <c r="BL416" s="1655"/>
      <c r="BM416" s="1655"/>
      <c r="BN416" s="1655"/>
      <c r="BO416" s="1655"/>
      <c r="BP416" s="1655"/>
      <c r="BQ416" s="1655"/>
      <c r="BR416" s="1655"/>
      <c r="BS416" s="1655"/>
      <c r="BT416" s="1655"/>
      <c r="BU416" s="1655"/>
      <c r="BV416" s="1655"/>
      <c r="BW416" s="1655"/>
      <c r="BX416" s="1655"/>
      <c r="BY416" s="1655"/>
      <c r="BZ416" s="1655"/>
      <c r="CA416" s="1655"/>
      <c r="CB416" s="1655"/>
      <c r="CC416" s="1655"/>
      <c r="CD416" s="1655"/>
      <c r="CE416" s="1655"/>
      <c r="CF416" s="1655"/>
      <c r="CG416" s="1655"/>
      <c r="CH416" s="1655"/>
      <c r="CI416" s="1655"/>
      <c r="CJ416" s="1655"/>
      <c r="CK416" s="1655"/>
      <c r="CL416" s="1655"/>
      <c r="CM416" s="1655"/>
      <c r="CN416" s="1655"/>
      <c r="CO416" s="1655"/>
      <c r="CP416" s="1655"/>
      <c r="CQ416" s="1655"/>
      <c r="CR416" s="1655"/>
      <c r="CS416" s="1655"/>
      <c r="CT416" s="1655"/>
      <c r="CU416" s="1655"/>
      <c r="CV416" s="1655"/>
      <c r="CW416" s="1655"/>
      <c r="CX416" s="1655"/>
      <c r="CY416" s="1655"/>
      <c r="CZ416" s="1655"/>
      <c r="DA416" s="1655"/>
      <c r="DB416" s="1655"/>
      <c r="DC416" s="1655"/>
      <c r="DD416" s="1655"/>
      <c r="DE416" s="1655"/>
      <c r="DF416" s="1655"/>
      <c r="DG416" s="1655"/>
      <c r="DH416" s="1655"/>
      <c r="DI416" s="1655"/>
      <c r="DJ416" s="1655"/>
      <c r="DK416" s="1655"/>
      <c r="DL416" s="1655"/>
      <c r="DM416" s="1655"/>
      <c r="DN416" s="1655"/>
      <c r="DO416" s="1655"/>
      <c r="DP416" s="1655"/>
      <c r="DQ416" s="1655"/>
      <c r="DR416" s="1655"/>
      <c r="DS416" s="1655"/>
      <c r="DT416" s="1655"/>
      <c r="DU416" s="1655"/>
      <c r="DV416" s="1655"/>
      <c r="DW416" s="1655"/>
      <c r="DX416" s="1655"/>
      <c r="DY416" s="1655"/>
      <c r="DZ416" s="1655"/>
      <c r="EA416" s="1655"/>
      <c r="EB416" s="1655"/>
      <c r="EC416" s="1655"/>
      <c r="ED416" s="1655"/>
      <c r="EE416" s="1655"/>
      <c r="EF416" s="1655"/>
      <c r="EG416" s="1655"/>
      <c r="EH416" s="1655"/>
      <c r="EI416" s="1655"/>
      <c r="EJ416" s="1655"/>
      <c r="EK416" s="1655"/>
      <c r="EL416" s="1655"/>
      <c r="EM416" s="1655"/>
      <c r="EN416" s="1655"/>
      <c r="EO416" s="1655"/>
      <c r="EP416" s="1655"/>
      <c r="EQ416" s="1655"/>
      <c r="ER416" s="1655"/>
      <c r="ES416" s="1655"/>
      <c r="ET416" s="1655"/>
      <c r="EU416" s="1655"/>
      <c r="EV416" s="1655"/>
      <c r="EW416" s="1655"/>
      <c r="EX416" s="1655"/>
      <c r="EY416" s="1655"/>
      <c r="EZ416" s="1655"/>
      <c r="FA416" s="1655"/>
      <c r="FB416" s="1655"/>
      <c r="FC416" s="1655"/>
      <c r="FD416" s="1655"/>
      <c r="FE416" s="1655"/>
      <c r="FF416" s="1655"/>
      <c r="FG416" s="1655"/>
      <c r="FH416" s="1655"/>
      <c r="FI416" s="1655"/>
    </row>
    <row r="417" spans="1:165">
      <c r="A417" s="1655"/>
      <c r="B417" s="1655"/>
      <c r="C417" s="1655"/>
      <c r="D417" s="1655"/>
      <c r="E417" s="1655"/>
      <c r="F417" s="1655"/>
      <c r="G417" s="1655"/>
      <c r="H417" s="1655"/>
      <c r="I417" s="1655"/>
      <c r="J417" s="1655"/>
      <c r="K417" s="1655"/>
      <c r="L417" s="1655"/>
      <c r="M417" s="1655"/>
      <c r="N417" s="1655"/>
      <c r="O417" s="1655"/>
      <c r="P417" s="1655"/>
      <c r="Q417" s="1655"/>
      <c r="R417" s="1655"/>
      <c r="S417" s="1655"/>
      <c r="T417" s="1655"/>
      <c r="U417" s="1655"/>
      <c r="V417" s="1655"/>
      <c r="W417" s="1655"/>
      <c r="X417" s="1655"/>
      <c r="Y417" s="1655"/>
      <c r="Z417" s="1655"/>
      <c r="AA417" s="1655"/>
      <c r="AB417" s="1655"/>
      <c r="AC417" s="1655"/>
      <c r="AD417" s="1655"/>
      <c r="AE417" s="1655"/>
      <c r="AF417" s="1655"/>
      <c r="AG417" s="1655"/>
      <c r="AH417" s="1655"/>
      <c r="AI417" s="1655"/>
      <c r="AJ417" s="1655"/>
      <c r="AK417" s="1655"/>
      <c r="AL417" s="1655"/>
      <c r="AM417" s="1655"/>
      <c r="AN417" s="1655"/>
      <c r="AO417" s="1655"/>
      <c r="AP417" s="1655"/>
      <c r="AQ417" s="1655"/>
      <c r="AR417" s="1655"/>
      <c r="AS417" s="1655"/>
      <c r="AT417" s="1655"/>
      <c r="AU417" s="1655"/>
      <c r="AV417" s="1655"/>
      <c r="AW417" s="1655"/>
      <c r="AX417" s="1655"/>
      <c r="AY417" s="1655"/>
      <c r="AZ417" s="1655"/>
      <c r="BA417" s="1655"/>
      <c r="BB417" s="1655"/>
      <c r="BC417" s="1655"/>
      <c r="BD417" s="1655"/>
      <c r="BE417" s="1655"/>
      <c r="BF417" s="1655"/>
      <c r="BG417" s="1655"/>
      <c r="BH417" s="1655"/>
      <c r="BI417" s="1655"/>
      <c r="BJ417" s="1655"/>
      <c r="BK417" s="1655"/>
      <c r="BL417" s="1655"/>
      <c r="BM417" s="1655"/>
      <c r="BN417" s="1655"/>
      <c r="BO417" s="1655"/>
      <c r="BP417" s="1655"/>
      <c r="BQ417" s="1655"/>
      <c r="BR417" s="1655"/>
      <c r="BS417" s="1655"/>
      <c r="BT417" s="1655"/>
      <c r="BU417" s="1655"/>
      <c r="BV417" s="1655"/>
      <c r="BW417" s="1655"/>
      <c r="BX417" s="1655"/>
      <c r="BY417" s="1655"/>
      <c r="BZ417" s="1655"/>
      <c r="CA417" s="1655"/>
      <c r="CB417" s="1655"/>
      <c r="CC417" s="1655"/>
      <c r="CD417" s="1655"/>
      <c r="CE417" s="1655"/>
      <c r="CF417" s="1655"/>
      <c r="CG417" s="1655"/>
      <c r="CH417" s="1655"/>
      <c r="CI417" s="1655"/>
      <c r="CJ417" s="1655"/>
      <c r="CK417" s="1655"/>
      <c r="CL417" s="1655"/>
      <c r="CM417" s="1655"/>
      <c r="CN417" s="1655"/>
      <c r="CO417" s="1655"/>
      <c r="CP417" s="1655"/>
      <c r="CQ417" s="1655"/>
      <c r="CR417" s="1655"/>
      <c r="CS417" s="1655"/>
      <c r="CT417" s="1655"/>
      <c r="CU417" s="1655"/>
      <c r="CV417" s="1655"/>
      <c r="CW417" s="1655"/>
      <c r="CX417" s="1655"/>
      <c r="CY417" s="1655"/>
      <c r="CZ417" s="1655"/>
      <c r="DA417" s="1655"/>
      <c r="DB417" s="1655"/>
      <c r="DC417" s="1655"/>
      <c r="DD417" s="1655"/>
      <c r="DE417" s="1655"/>
      <c r="DF417" s="1655"/>
      <c r="DG417" s="1655"/>
      <c r="DH417" s="1655"/>
      <c r="DI417" s="1655"/>
      <c r="DJ417" s="1655"/>
      <c r="DK417" s="1655"/>
      <c r="DL417" s="1655"/>
      <c r="DM417" s="1655"/>
      <c r="DN417" s="1655"/>
      <c r="DO417" s="1655"/>
      <c r="DP417" s="1655"/>
      <c r="DQ417" s="1655"/>
      <c r="DR417" s="1655"/>
      <c r="DS417" s="1655"/>
      <c r="DT417" s="1655"/>
      <c r="DU417" s="1655"/>
      <c r="DV417" s="1655"/>
      <c r="DW417" s="1655"/>
      <c r="DX417" s="1655"/>
      <c r="DY417" s="1655"/>
      <c r="DZ417" s="1655"/>
      <c r="EA417" s="1655"/>
      <c r="EB417" s="1655"/>
      <c r="EC417" s="1655"/>
      <c r="ED417" s="1655"/>
      <c r="EE417" s="1655"/>
      <c r="EF417" s="1655"/>
      <c r="EG417" s="1655"/>
      <c r="EH417" s="1655"/>
      <c r="EI417" s="1655"/>
      <c r="EJ417" s="1655"/>
      <c r="EK417" s="1655"/>
      <c r="EL417" s="1655"/>
      <c r="EM417" s="1655"/>
      <c r="EN417" s="1655"/>
      <c r="EO417" s="1655"/>
      <c r="EP417" s="1655"/>
      <c r="EQ417" s="1655"/>
      <c r="ER417" s="1655"/>
      <c r="ES417" s="1655"/>
      <c r="ET417" s="1655"/>
      <c r="EU417" s="1655"/>
      <c r="EV417" s="1655"/>
      <c r="EW417" s="1655"/>
      <c r="EX417" s="1655"/>
      <c r="EY417" s="1655"/>
      <c r="EZ417" s="1655"/>
      <c r="FA417" s="1655"/>
      <c r="FB417" s="1655"/>
      <c r="FC417" s="1655"/>
      <c r="FD417" s="1655"/>
      <c r="FE417" s="1655"/>
      <c r="FF417" s="1655"/>
      <c r="FG417" s="1655"/>
      <c r="FH417" s="1655"/>
      <c r="FI417" s="1655"/>
    </row>
    <row r="418" spans="1:165">
      <c r="A418" s="1655"/>
      <c r="B418" s="1655"/>
      <c r="C418" s="1655"/>
      <c r="D418" s="1655"/>
      <c r="E418" s="1655"/>
      <c r="F418" s="1655"/>
      <c r="G418" s="1655"/>
      <c r="H418" s="1655"/>
      <c r="I418" s="1655"/>
      <c r="J418" s="1655"/>
      <c r="K418" s="1655"/>
      <c r="L418" s="1655"/>
      <c r="M418" s="1655"/>
      <c r="N418" s="1655"/>
      <c r="O418" s="1655"/>
      <c r="P418" s="1655"/>
      <c r="Q418" s="1655"/>
      <c r="R418" s="1655"/>
      <c r="S418" s="1655"/>
      <c r="T418" s="1655"/>
      <c r="U418" s="1655"/>
      <c r="V418" s="1655"/>
      <c r="W418" s="1655"/>
      <c r="X418" s="1655"/>
      <c r="Y418" s="1655"/>
      <c r="Z418" s="1655"/>
      <c r="AA418" s="1655"/>
      <c r="AB418" s="1655"/>
      <c r="AC418" s="1655"/>
      <c r="AD418" s="1655"/>
      <c r="AE418" s="1655"/>
      <c r="AF418" s="1655"/>
      <c r="AG418" s="1655"/>
      <c r="AH418" s="1655"/>
      <c r="AI418" s="1655"/>
      <c r="AJ418" s="1655"/>
      <c r="AK418" s="1655"/>
      <c r="AL418" s="1655"/>
      <c r="AM418" s="1655"/>
      <c r="AN418" s="1655"/>
      <c r="AO418" s="1655"/>
      <c r="AP418" s="1655"/>
      <c r="AQ418" s="1655"/>
      <c r="AR418" s="1655"/>
      <c r="AS418" s="1655"/>
      <c r="AT418" s="1655"/>
      <c r="AU418" s="1655"/>
      <c r="AV418" s="1655"/>
      <c r="AW418" s="1655"/>
      <c r="AX418" s="1655"/>
      <c r="AY418" s="1655"/>
      <c r="AZ418" s="1655"/>
      <c r="BA418" s="1655"/>
      <c r="BB418" s="1655"/>
      <c r="BC418" s="1655"/>
      <c r="BD418" s="1655"/>
      <c r="BE418" s="1655"/>
      <c r="BF418" s="1655"/>
      <c r="BG418" s="1655"/>
      <c r="BH418" s="1655"/>
      <c r="BI418" s="1655"/>
      <c r="BJ418" s="1655"/>
      <c r="BK418" s="1655"/>
      <c r="BL418" s="1655"/>
      <c r="BM418" s="1655"/>
      <c r="BN418" s="1655"/>
      <c r="BO418" s="1655"/>
      <c r="BP418" s="1655"/>
      <c r="BQ418" s="1655"/>
      <c r="BR418" s="1655"/>
      <c r="BS418" s="1655"/>
      <c r="BT418" s="1655"/>
      <c r="BU418" s="1655"/>
      <c r="BV418" s="1655"/>
      <c r="BW418" s="1655"/>
      <c r="BX418" s="1655"/>
      <c r="BY418" s="1655"/>
      <c r="BZ418" s="1655"/>
      <c r="CA418" s="1655"/>
      <c r="CB418" s="1655"/>
      <c r="CC418" s="1655"/>
      <c r="CD418" s="1655"/>
      <c r="CE418" s="1655"/>
      <c r="CF418" s="1655"/>
      <c r="CG418" s="1655"/>
      <c r="CH418" s="1655"/>
      <c r="CI418" s="1655"/>
      <c r="CJ418" s="1655"/>
      <c r="CK418" s="1655"/>
      <c r="CL418" s="1655"/>
      <c r="CM418" s="1655"/>
      <c r="CN418" s="1655"/>
      <c r="CO418" s="1655"/>
      <c r="CP418" s="1655"/>
      <c r="CQ418" s="1655"/>
      <c r="CR418" s="1655"/>
      <c r="CS418" s="1655"/>
      <c r="CT418" s="1655"/>
      <c r="CU418" s="1655"/>
      <c r="CV418" s="1655"/>
      <c r="CW418" s="1655"/>
      <c r="CX418" s="1655"/>
      <c r="CY418" s="1655"/>
      <c r="CZ418" s="1655"/>
      <c r="DA418" s="1655"/>
      <c r="DB418" s="1655"/>
      <c r="DC418" s="1655"/>
      <c r="DD418" s="1655"/>
      <c r="DE418" s="1655"/>
      <c r="DF418" s="1655"/>
      <c r="DG418" s="1655"/>
      <c r="DH418" s="1655"/>
      <c r="DI418" s="1655"/>
      <c r="DJ418" s="1655"/>
      <c r="DK418" s="1655"/>
      <c r="DL418" s="1655"/>
      <c r="DM418" s="1655"/>
      <c r="DN418" s="1655"/>
      <c r="DO418" s="1655"/>
      <c r="DP418" s="1655"/>
      <c r="DQ418" s="1655"/>
      <c r="DR418" s="1655"/>
      <c r="DS418" s="1655"/>
      <c r="DT418" s="1655"/>
      <c r="DU418" s="1655"/>
      <c r="DV418" s="1655"/>
      <c r="DW418" s="1655"/>
      <c r="DX418" s="1655"/>
      <c r="DY418" s="1655"/>
      <c r="DZ418" s="1655"/>
      <c r="EA418" s="1655"/>
      <c r="EB418" s="1655"/>
      <c r="EC418" s="1655"/>
      <c r="ED418" s="1655"/>
      <c r="EE418" s="1655"/>
      <c r="EF418" s="1655"/>
      <c r="EG418" s="1655"/>
      <c r="EH418" s="1655"/>
      <c r="EI418" s="1655"/>
      <c r="EJ418" s="1655"/>
      <c r="EK418" s="1655"/>
      <c r="EL418" s="1655"/>
      <c r="EM418" s="1655"/>
      <c r="EN418" s="1655"/>
      <c r="EO418" s="1655"/>
      <c r="EP418" s="1655"/>
      <c r="EQ418" s="1655"/>
      <c r="ER418" s="1655"/>
      <c r="ES418" s="1655"/>
      <c r="ET418" s="1655"/>
      <c r="EU418" s="1655"/>
      <c r="EV418" s="1655"/>
      <c r="EW418" s="1655"/>
      <c r="EX418" s="1655"/>
      <c r="EY418" s="1655"/>
      <c r="EZ418" s="1655"/>
      <c r="FA418" s="1655"/>
      <c r="FB418" s="1655"/>
      <c r="FC418" s="1655"/>
      <c r="FD418" s="1655"/>
      <c r="FE418" s="1655"/>
      <c r="FF418" s="1655"/>
      <c r="FG418" s="1655"/>
      <c r="FH418" s="1655"/>
      <c r="FI418" s="1655"/>
    </row>
    <row r="419" spans="1:165">
      <c r="A419" s="1655"/>
      <c r="B419" s="1655"/>
      <c r="C419" s="1655"/>
      <c r="D419" s="1655"/>
      <c r="E419" s="1655"/>
      <c r="F419" s="1655"/>
      <c r="G419" s="1655"/>
      <c r="H419" s="1655"/>
      <c r="I419" s="1655"/>
      <c r="J419" s="1655"/>
      <c r="K419" s="1655"/>
      <c r="L419" s="1655"/>
      <c r="M419" s="1655"/>
      <c r="N419" s="1655"/>
      <c r="O419" s="1655"/>
      <c r="P419" s="1655"/>
      <c r="Q419" s="1655"/>
      <c r="R419" s="1655"/>
      <c r="S419" s="1655"/>
      <c r="T419" s="1655"/>
      <c r="U419" s="1655"/>
      <c r="V419" s="1655"/>
      <c r="W419" s="1655"/>
      <c r="X419" s="1655"/>
      <c r="Y419" s="1655"/>
      <c r="Z419" s="1655"/>
      <c r="AA419" s="1655"/>
      <c r="AB419" s="1655"/>
      <c r="AC419" s="1655"/>
      <c r="AD419" s="1655"/>
      <c r="AE419" s="1655"/>
      <c r="AF419" s="1655"/>
      <c r="AG419" s="1655"/>
      <c r="AH419" s="1655"/>
      <c r="AI419" s="1655"/>
      <c r="AJ419" s="1655"/>
      <c r="AK419" s="1655"/>
      <c r="AL419" s="1655"/>
      <c r="AM419" s="1655"/>
      <c r="AN419" s="1655"/>
      <c r="AO419" s="1655"/>
      <c r="AP419" s="1655"/>
      <c r="AQ419" s="1655"/>
      <c r="AR419" s="1655"/>
      <c r="AS419" s="1655"/>
      <c r="AT419" s="1655"/>
      <c r="AU419" s="1655"/>
      <c r="AV419" s="1655"/>
      <c r="AW419" s="1655"/>
      <c r="AX419" s="1655"/>
      <c r="AY419" s="1655"/>
      <c r="AZ419" s="1655"/>
      <c r="BA419" s="1655"/>
      <c r="BB419" s="1655"/>
      <c r="BC419" s="1655"/>
      <c r="BD419" s="1655"/>
      <c r="BE419" s="1655"/>
      <c r="BF419" s="1655"/>
      <c r="BG419" s="1655"/>
      <c r="BH419" s="1655"/>
      <c r="BI419" s="1655"/>
      <c r="BJ419" s="1655"/>
      <c r="BK419" s="1655"/>
      <c r="BL419" s="1655"/>
      <c r="BM419" s="1655"/>
      <c r="BN419" s="1655"/>
      <c r="BO419" s="1655"/>
      <c r="BP419" s="1655"/>
      <c r="BQ419" s="1655"/>
      <c r="BR419" s="1655"/>
      <c r="BS419" s="1655"/>
      <c r="BT419" s="1655"/>
      <c r="BU419" s="1655"/>
      <c r="BV419" s="1655"/>
      <c r="BW419" s="1655"/>
      <c r="BX419" s="1655"/>
      <c r="BY419" s="1655"/>
      <c r="BZ419" s="1655"/>
      <c r="CA419" s="1655"/>
      <c r="CB419" s="1655"/>
      <c r="CC419" s="1655"/>
      <c r="CD419" s="1655"/>
      <c r="CE419" s="1655"/>
      <c r="CF419" s="1655"/>
      <c r="CG419" s="1655"/>
      <c r="CH419" s="1655"/>
      <c r="CI419" s="1655"/>
      <c r="CJ419" s="1655"/>
      <c r="CK419" s="1655"/>
      <c r="CL419" s="1655"/>
      <c r="CM419" s="1655"/>
      <c r="CN419" s="1655"/>
      <c r="CO419" s="1655"/>
      <c r="CP419" s="1655"/>
      <c r="CQ419" s="1655"/>
      <c r="CR419" s="1655"/>
      <c r="CS419" s="1655"/>
      <c r="CT419" s="1655"/>
      <c r="CU419" s="1655"/>
      <c r="CV419" s="1655"/>
      <c r="CW419" s="1655"/>
      <c r="CX419" s="1655"/>
      <c r="CY419" s="1655"/>
      <c r="CZ419" s="1655"/>
      <c r="DA419" s="1655"/>
      <c r="DB419" s="1655"/>
      <c r="DC419" s="1655"/>
      <c r="DD419" s="1655"/>
      <c r="DE419" s="1655"/>
      <c r="DF419" s="1655"/>
      <c r="DG419" s="1655"/>
      <c r="DH419" s="1655"/>
      <c r="DI419" s="1655"/>
      <c r="DJ419" s="1655"/>
      <c r="DK419" s="1655"/>
      <c r="DL419" s="1655"/>
      <c r="DM419" s="1655"/>
      <c r="DN419" s="1655"/>
      <c r="DO419" s="1655"/>
      <c r="DP419" s="1655"/>
      <c r="DQ419" s="1655"/>
      <c r="DR419" s="1655"/>
      <c r="DS419" s="1655"/>
      <c r="DT419" s="1655"/>
      <c r="DU419" s="1655"/>
      <c r="DV419" s="1655"/>
      <c r="DW419" s="1655"/>
      <c r="DX419" s="1655"/>
      <c r="DY419" s="1655"/>
      <c r="DZ419" s="1655"/>
      <c r="EA419" s="1655"/>
      <c r="EB419" s="1655"/>
      <c r="EC419" s="1655"/>
      <c r="ED419" s="1655"/>
      <c r="EE419" s="1655"/>
      <c r="EF419" s="1655"/>
      <c r="EG419" s="1655"/>
      <c r="EH419" s="1655"/>
      <c r="EI419" s="1655"/>
      <c r="EJ419" s="1655"/>
      <c r="EK419" s="1655"/>
      <c r="EL419" s="1655"/>
      <c r="EM419" s="1655"/>
      <c r="EN419" s="1655"/>
      <c r="EO419" s="1655"/>
      <c r="EP419" s="1655"/>
      <c r="EQ419" s="1655"/>
      <c r="ER419" s="1655"/>
      <c r="ES419" s="1655"/>
      <c r="ET419" s="1655"/>
      <c r="EU419" s="1655"/>
      <c r="EV419" s="1655"/>
      <c r="EW419" s="1655"/>
      <c r="EX419" s="1655"/>
      <c r="EY419" s="1655"/>
      <c r="EZ419" s="1655"/>
      <c r="FA419" s="1655"/>
      <c r="FB419" s="1655"/>
      <c r="FC419" s="1655"/>
      <c r="FD419" s="1655"/>
      <c r="FE419" s="1655"/>
      <c r="FF419" s="1655"/>
      <c r="FG419" s="1655"/>
      <c r="FH419" s="1655"/>
      <c r="FI419" s="1655"/>
    </row>
    <row r="420" spans="1:165">
      <c r="A420" s="1655"/>
      <c r="B420" s="1655"/>
      <c r="C420" s="1655"/>
      <c r="D420" s="1655"/>
      <c r="E420" s="1655"/>
      <c r="F420" s="1655"/>
      <c r="G420" s="1655"/>
      <c r="H420" s="1655"/>
      <c r="I420" s="1655"/>
      <c r="J420" s="1655"/>
      <c r="K420" s="1655"/>
      <c r="L420" s="1655"/>
      <c r="M420" s="1655"/>
      <c r="N420" s="1655"/>
      <c r="O420" s="1655"/>
      <c r="P420" s="1655"/>
      <c r="Q420" s="1655"/>
      <c r="R420" s="1655"/>
      <c r="S420" s="1655"/>
      <c r="T420" s="1655"/>
      <c r="U420" s="1655"/>
      <c r="V420" s="1655"/>
      <c r="W420" s="1655"/>
      <c r="X420" s="1655"/>
      <c r="Y420" s="1655"/>
      <c r="Z420" s="1655"/>
      <c r="AA420" s="1655"/>
      <c r="AB420" s="1655"/>
      <c r="AC420" s="1655"/>
      <c r="AD420" s="1655"/>
      <c r="AE420" s="1655"/>
      <c r="AF420" s="1655"/>
      <c r="AG420" s="1655"/>
      <c r="AH420" s="1655"/>
      <c r="AI420" s="1655"/>
      <c r="AJ420" s="1655"/>
      <c r="AK420" s="1655"/>
      <c r="AL420" s="1655"/>
      <c r="AM420" s="1655"/>
      <c r="AN420" s="1655"/>
      <c r="AO420" s="1655"/>
      <c r="AP420" s="1655"/>
      <c r="AQ420" s="1655"/>
      <c r="AR420" s="1655"/>
      <c r="AS420" s="1655"/>
      <c r="AT420" s="1655"/>
      <c r="AU420" s="1655"/>
      <c r="AV420" s="1655"/>
      <c r="AW420" s="1655"/>
      <c r="AX420" s="1655"/>
      <c r="AY420" s="1655"/>
      <c r="AZ420" s="1655"/>
      <c r="BA420" s="1655"/>
      <c r="BB420" s="1655"/>
      <c r="BC420" s="1655"/>
      <c r="BD420" s="1655"/>
      <c r="BE420" s="1655"/>
      <c r="BF420" s="1655"/>
      <c r="BG420" s="1655"/>
      <c r="BH420" s="1655"/>
      <c r="BI420" s="1655"/>
      <c r="BJ420" s="1655"/>
      <c r="BK420" s="1655"/>
      <c r="BL420" s="1655"/>
      <c r="BM420" s="1655"/>
      <c r="BN420" s="1655"/>
      <c r="BO420" s="1655"/>
      <c r="BP420" s="1655"/>
      <c r="BQ420" s="1655"/>
      <c r="BR420" s="1655"/>
      <c r="BS420" s="1655"/>
      <c r="BT420" s="1655"/>
      <c r="BU420" s="1655"/>
      <c r="BV420" s="1655"/>
      <c r="BW420" s="1655"/>
      <c r="BX420" s="1655"/>
      <c r="BY420" s="1655"/>
      <c r="BZ420" s="1655"/>
      <c r="CA420" s="1655"/>
      <c r="CB420" s="1655"/>
      <c r="CC420" s="1655"/>
      <c r="CD420" s="1655"/>
      <c r="CE420" s="1655"/>
      <c r="CF420" s="1655"/>
      <c r="CG420" s="1655"/>
      <c r="CH420" s="1655"/>
      <c r="CI420" s="1655"/>
      <c r="CJ420" s="1655"/>
      <c r="CK420" s="1655"/>
      <c r="CL420" s="1655"/>
      <c r="CM420" s="1655"/>
      <c r="CN420" s="1655"/>
      <c r="CO420" s="1655"/>
      <c r="CP420" s="1655"/>
      <c r="CQ420" s="1655"/>
      <c r="CR420" s="1655"/>
      <c r="CS420" s="1655"/>
      <c r="CT420" s="1655"/>
      <c r="CU420" s="1655"/>
      <c r="CV420" s="1655"/>
      <c r="CW420" s="1655"/>
      <c r="CX420" s="1655"/>
      <c r="CY420" s="1655"/>
      <c r="CZ420" s="1655"/>
      <c r="DA420" s="1655"/>
      <c r="DB420" s="1655"/>
      <c r="DC420" s="1655"/>
      <c r="DD420" s="1655"/>
      <c r="DE420" s="1655"/>
      <c r="DF420" s="1655"/>
      <c r="DG420" s="1655"/>
      <c r="DH420" s="1655"/>
      <c r="DI420" s="1655"/>
      <c r="DJ420" s="1655"/>
      <c r="DK420" s="1655"/>
      <c r="DL420" s="1655"/>
      <c r="DM420" s="1655"/>
      <c r="DN420" s="1655"/>
      <c r="DO420" s="1655"/>
      <c r="DP420" s="1655"/>
      <c r="DQ420" s="1655"/>
      <c r="DR420" s="1655"/>
      <c r="DS420" s="1655"/>
      <c r="DT420" s="1655"/>
      <c r="DU420" s="1655"/>
      <c r="DV420" s="1655"/>
      <c r="DW420" s="1655"/>
      <c r="DX420" s="1655"/>
      <c r="DY420" s="1655"/>
      <c r="DZ420" s="1655"/>
      <c r="EA420" s="1655"/>
      <c r="EB420" s="1655"/>
      <c r="EC420" s="1655"/>
      <c r="ED420" s="1655"/>
      <c r="EE420" s="1655"/>
      <c r="EF420" s="1655"/>
      <c r="EG420" s="1655"/>
      <c r="EH420" s="1655"/>
      <c r="EI420" s="1655"/>
      <c r="EJ420" s="1655"/>
      <c r="EK420" s="1655"/>
      <c r="EL420" s="1655"/>
      <c r="EM420" s="1655"/>
      <c r="EN420" s="1655"/>
      <c r="EO420" s="1655"/>
      <c r="EP420" s="1655"/>
      <c r="EQ420" s="1655"/>
      <c r="ER420" s="1655"/>
      <c r="ES420" s="1655"/>
      <c r="ET420" s="1655"/>
      <c r="EU420" s="1655"/>
      <c r="EV420" s="1655"/>
      <c r="EW420" s="1655"/>
      <c r="EX420" s="1655"/>
      <c r="EY420" s="1655"/>
      <c r="EZ420" s="1655"/>
      <c r="FA420" s="1655"/>
      <c r="FB420" s="1655"/>
      <c r="FC420" s="1655"/>
      <c r="FD420" s="1655"/>
      <c r="FE420" s="1655"/>
      <c r="FF420" s="1655"/>
      <c r="FG420" s="1655"/>
      <c r="FH420" s="1655"/>
      <c r="FI420" s="1655"/>
    </row>
    <row r="421" spans="1:165">
      <c r="A421" s="1655"/>
      <c r="B421" s="1655"/>
      <c r="C421" s="1655"/>
      <c r="D421" s="1655"/>
      <c r="E421" s="1655"/>
      <c r="F421" s="1655"/>
      <c r="G421" s="1655"/>
      <c r="H421" s="1655"/>
      <c r="I421" s="1655"/>
      <c r="J421" s="1655"/>
      <c r="K421" s="1655"/>
      <c r="L421" s="1655"/>
      <c r="M421" s="1655"/>
      <c r="N421" s="1655"/>
      <c r="O421" s="1655"/>
      <c r="P421" s="1655"/>
      <c r="Q421" s="1655"/>
      <c r="R421" s="1655"/>
      <c r="S421" s="1655"/>
      <c r="T421" s="1655"/>
      <c r="U421" s="1655"/>
      <c r="V421" s="1655"/>
      <c r="W421" s="1655"/>
      <c r="X421" s="1655"/>
      <c r="Y421" s="1655"/>
      <c r="Z421" s="1655"/>
      <c r="AA421" s="1655"/>
      <c r="AB421" s="1655"/>
      <c r="AC421" s="1655"/>
      <c r="AD421" s="1655"/>
      <c r="AE421" s="1655"/>
      <c r="AF421" s="1655"/>
      <c r="AG421" s="1655"/>
      <c r="AH421" s="1655"/>
      <c r="AI421" s="1655"/>
      <c r="AJ421" s="1655"/>
      <c r="AK421" s="1655"/>
      <c r="AL421" s="1655"/>
      <c r="AM421" s="1655"/>
      <c r="AN421" s="1655"/>
      <c r="AO421" s="1655"/>
      <c r="AP421" s="1655"/>
      <c r="AQ421" s="1655"/>
      <c r="AR421" s="1655"/>
      <c r="AS421" s="1655"/>
      <c r="AT421" s="1655"/>
      <c r="AU421" s="1655"/>
      <c r="AV421" s="1655"/>
      <c r="AW421" s="1655"/>
      <c r="AX421" s="1655"/>
      <c r="AY421" s="1655"/>
      <c r="AZ421" s="1655"/>
      <c r="BA421" s="1655"/>
      <c r="BB421" s="1655"/>
      <c r="BC421" s="1655"/>
      <c r="BD421" s="1655"/>
      <c r="BE421" s="1655"/>
      <c r="BF421" s="1655"/>
      <c r="BG421" s="1655"/>
      <c r="BH421" s="1655"/>
      <c r="BI421" s="1655"/>
      <c r="BJ421" s="1655"/>
      <c r="BK421" s="1655"/>
      <c r="BL421" s="1655"/>
      <c r="BM421" s="1655"/>
      <c r="BN421" s="1655"/>
      <c r="BO421" s="1655"/>
      <c r="BP421" s="1655"/>
      <c r="BQ421" s="1655"/>
      <c r="BR421" s="1655"/>
      <c r="BS421" s="1655"/>
      <c r="BT421" s="1655"/>
      <c r="BU421" s="1655"/>
      <c r="BV421" s="1655"/>
      <c r="BW421" s="1655"/>
      <c r="BX421" s="1655"/>
      <c r="BY421" s="1655"/>
      <c r="BZ421" s="1655"/>
      <c r="CA421" s="1655"/>
      <c r="CB421" s="1655"/>
      <c r="CC421" s="1655"/>
      <c r="CD421" s="1655"/>
      <c r="CE421" s="1655"/>
      <c r="CF421" s="1655"/>
      <c r="CG421" s="1655"/>
      <c r="CH421" s="1655"/>
      <c r="CI421" s="1655"/>
      <c r="CJ421" s="1655"/>
      <c r="CK421" s="1655"/>
      <c r="CL421" s="1655"/>
      <c r="CM421" s="1655"/>
      <c r="CN421" s="1655"/>
      <c r="CO421" s="1655"/>
      <c r="CP421" s="1655"/>
      <c r="CQ421" s="1655"/>
      <c r="CR421" s="1655"/>
      <c r="CS421" s="1655"/>
      <c r="CT421" s="1655"/>
      <c r="CU421" s="1655"/>
      <c r="CV421" s="1655"/>
      <c r="CW421" s="1655"/>
      <c r="CX421" s="1655"/>
      <c r="CY421" s="1655"/>
      <c r="CZ421" s="1655"/>
      <c r="DA421" s="1655"/>
      <c r="DB421" s="1655"/>
      <c r="DC421" s="1655"/>
      <c r="DD421" s="1655"/>
      <c r="DE421" s="1655"/>
      <c r="DF421" s="1655"/>
      <c r="DG421" s="1655"/>
      <c r="DH421" s="1655"/>
      <c r="DI421" s="1655"/>
      <c r="DJ421" s="1655"/>
      <c r="DK421" s="1655"/>
      <c r="DL421" s="1655"/>
      <c r="DM421" s="1655"/>
      <c r="DN421" s="1655"/>
      <c r="DO421" s="1655"/>
      <c r="DP421" s="1655"/>
      <c r="DQ421" s="1655"/>
      <c r="DR421" s="1655"/>
      <c r="DS421" s="1655"/>
      <c r="DT421" s="1655"/>
      <c r="DU421" s="1655"/>
      <c r="DV421" s="1655"/>
      <c r="DW421" s="1655"/>
      <c r="DX421" s="1655"/>
      <c r="DY421" s="1655"/>
      <c r="DZ421" s="1655"/>
      <c r="EA421" s="1655"/>
      <c r="EB421" s="1655"/>
      <c r="EC421" s="1655"/>
      <c r="ED421" s="1655"/>
      <c r="EE421" s="1655"/>
      <c r="EF421" s="1655"/>
      <c r="EG421" s="1655"/>
      <c r="EH421" s="1655"/>
      <c r="EI421" s="1655"/>
      <c r="EJ421" s="1655"/>
      <c r="EK421" s="1655"/>
      <c r="EL421" s="1655"/>
      <c r="EM421" s="1655"/>
      <c r="EN421" s="1655"/>
      <c r="EO421" s="1655"/>
      <c r="EP421" s="1655"/>
      <c r="EQ421" s="1655"/>
      <c r="ER421" s="1655"/>
      <c r="ES421" s="1655"/>
      <c r="ET421" s="1655"/>
      <c r="EU421" s="1655"/>
      <c r="EV421" s="1655"/>
      <c r="EW421" s="1655"/>
      <c r="EX421" s="1655"/>
      <c r="EY421" s="1655"/>
      <c r="EZ421" s="1655"/>
      <c r="FA421" s="1655"/>
      <c r="FB421" s="1655"/>
      <c r="FC421" s="1655"/>
      <c r="FD421" s="1655"/>
      <c r="FE421" s="1655"/>
      <c r="FF421" s="1655"/>
      <c r="FG421" s="1655"/>
      <c r="FH421" s="1655"/>
      <c r="FI421" s="1655"/>
    </row>
    <row r="422" spans="1:165">
      <c r="A422" s="1655"/>
      <c r="B422" s="1655"/>
      <c r="C422" s="1655"/>
      <c r="D422" s="1655"/>
      <c r="E422" s="1655"/>
      <c r="F422" s="1655"/>
      <c r="G422" s="1655"/>
      <c r="H422" s="1655"/>
      <c r="I422" s="1655"/>
      <c r="J422" s="1655"/>
      <c r="K422" s="1655"/>
      <c r="L422" s="1655"/>
      <c r="M422" s="1655"/>
      <c r="N422" s="1655"/>
      <c r="O422" s="1655"/>
      <c r="P422" s="1655"/>
      <c r="Q422" s="1655"/>
      <c r="R422" s="1655"/>
      <c r="S422" s="1655"/>
      <c r="T422" s="1655"/>
      <c r="U422" s="1655"/>
      <c r="V422" s="1655"/>
      <c r="W422" s="1655"/>
      <c r="X422" s="1655"/>
      <c r="Y422" s="1655"/>
      <c r="Z422" s="1655"/>
      <c r="AA422" s="1655"/>
      <c r="AB422" s="1655"/>
      <c r="AC422" s="1655"/>
      <c r="AD422" s="1655"/>
      <c r="AE422" s="1655"/>
      <c r="AF422" s="1655"/>
      <c r="AG422" s="1655"/>
      <c r="AH422" s="1655"/>
      <c r="AI422" s="1655"/>
      <c r="AJ422" s="1655"/>
      <c r="AK422" s="1655"/>
      <c r="AL422" s="1655"/>
      <c r="AM422" s="1655"/>
      <c r="AN422" s="1655"/>
      <c r="AO422" s="1655"/>
      <c r="AP422" s="1655"/>
      <c r="AQ422" s="1655"/>
      <c r="AR422" s="1655"/>
      <c r="AS422" s="1655"/>
      <c r="AT422" s="1655"/>
      <c r="AU422" s="1655"/>
      <c r="AV422" s="1655"/>
      <c r="AW422" s="1655"/>
      <c r="AX422" s="1655"/>
      <c r="AY422" s="1655"/>
      <c r="AZ422" s="1655"/>
      <c r="BA422" s="1655"/>
      <c r="BB422" s="1655"/>
      <c r="BC422" s="1655"/>
      <c r="BD422" s="1655"/>
      <c r="BE422" s="1655"/>
      <c r="BF422" s="1655"/>
      <c r="BG422" s="1655"/>
      <c r="BH422" s="1655"/>
      <c r="BI422" s="1655"/>
      <c r="BJ422" s="1655"/>
      <c r="BK422" s="1655"/>
      <c r="BL422" s="1655"/>
      <c r="BM422" s="1655"/>
      <c r="BN422" s="1655"/>
      <c r="BO422" s="1655"/>
      <c r="BP422" s="1655"/>
      <c r="BQ422" s="1655"/>
      <c r="BR422" s="1655"/>
      <c r="BS422" s="1655"/>
      <c r="BT422" s="1655"/>
      <c r="BU422" s="1655"/>
      <c r="BV422" s="1655"/>
      <c r="BW422" s="1655"/>
      <c r="BX422" s="1655"/>
      <c r="BY422" s="1655"/>
      <c r="BZ422" s="1655"/>
      <c r="CA422" s="1655"/>
      <c r="CB422" s="1655"/>
      <c r="CC422" s="1655"/>
      <c r="CD422" s="1655"/>
      <c r="CE422" s="1655"/>
      <c r="CF422" s="1655"/>
      <c r="CG422" s="1655"/>
      <c r="CH422" s="1655"/>
      <c r="CI422" s="1655"/>
      <c r="CJ422" s="1655"/>
      <c r="CK422" s="1655"/>
      <c r="CL422" s="1655"/>
      <c r="CM422" s="1655"/>
      <c r="CN422" s="1655"/>
      <c r="CO422" s="1655"/>
      <c r="CP422" s="1655"/>
      <c r="CQ422" s="1655"/>
      <c r="CR422" s="1655"/>
      <c r="CS422" s="1655"/>
      <c r="CT422" s="1655"/>
      <c r="CU422" s="1655"/>
      <c r="CV422" s="1655"/>
      <c r="CW422" s="1655"/>
      <c r="CX422" s="1655"/>
      <c r="CY422" s="1655"/>
      <c r="CZ422" s="1655"/>
      <c r="DA422" s="1655"/>
      <c r="DB422" s="1655"/>
      <c r="DC422" s="1655"/>
      <c r="DD422" s="1655"/>
      <c r="DE422" s="1655"/>
      <c r="DF422" s="1655"/>
      <c r="DG422" s="1655"/>
      <c r="DH422" s="1655"/>
      <c r="DI422" s="1655"/>
      <c r="DJ422" s="1655"/>
      <c r="DK422" s="1655"/>
      <c r="DL422" s="1655"/>
      <c r="DM422" s="1655"/>
      <c r="DN422" s="1655"/>
      <c r="DO422" s="1655"/>
      <c r="DP422" s="1655"/>
      <c r="DQ422" s="1655"/>
      <c r="DR422" s="1655"/>
      <c r="DS422" s="1655"/>
      <c r="DT422" s="1655"/>
      <c r="DU422" s="1655"/>
      <c r="DV422" s="1655"/>
      <c r="DW422" s="1655"/>
      <c r="DX422" s="1655"/>
      <c r="DY422" s="1655"/>
      <c r="DZ422" s="1655"/>
      <c r="EA422" s="1655"/>
      <c r="EB422" s="1655"/>
      <c r="EC422" s="1655"/>
      <c r="ED422" s="1655"/>
      <c r="EE422" s="1655"/>
      <c r="EF422" s="1655"/>
      <c r="EG422" s="1655"/>
      <c r="EH422" s="1655"/>
      <c r="EI422" s="1655"/>
      <c r="EJ422" s="1655"/>
      <c r="EK422" s="1655"/>
      <c r="EL422" s="1655"/>
      <c r="EM422" s="1655"/>
      <c r="EN422" s="1655"/>
      <c r="EO422" s="1655"/>
      <c r="EP422" s="1655"/>
      <c r="EQ422" s="1655"/>
      <c r="ER422" s="1655"/>
      <c r="ES422" s="1655"/>
      <c r="ET422" s="1655"/>
      <c r="EU422" s="1655"/>
      <c r="EV422" s="1655"/>
      <c r="EW422" s="1655"/>
      <c r="EX422" s="1655"/>
      <c r="EY422" s="1655"/>
      <c r="EZ422" s="1655"/>
      <c r="FA422" s="1655"/>
      <c r="FB422" s="1655"/>
      <c r="FC422" s="1655"/>
      <c r="FD422" s="1655"/>
      <c r="FE422" s="1655"/>
      <c r="FF422" s="1655"/>
      <c r="FG422" s="1655"/>
      <c r="FH422" s="1655"/>
      <c r="FI422" s="1655"/>
    </row>
    <row r="423" spans="1:165">
      <c r="A423" s="1655"/>
      <c r="B423" s="1655"/>
      <c r="C423" s="1655"/>
      <c r="D423" s="1655"/>
      <c r="E423" s="1655"/>
      <c r="F423" s="1655"/>
      <c r="G423" s="1655"/>
      <c r="H423" s="1655"/>
      <c r="I423" s="1655"/>
      <c r="J423" s="1655"/>
      <c r="K423" s="1655"/>
      <c r="L423" s="1655"/>
      <c r="M423" s="1655"/>
      <c r="N423" s="1655"/>
      <c r="O423" s="1655"/>
      <c r="P423" s="1655"/>
      <c r="Q423" s="1655"/>
      <c r="R423" s="1655"/>
      <c r="S423" s="1655"/>
      <c r="T423" s="1655"/>
      <c r="U423" s="1655"/>
      <c r="V423" s="1655"/>
      <c r="W423" s="1655"/>
      <c r="X423" s="1655"/>
      <c r="Y423" s="1655"/>
      <c r="Z423" s="1655"/>
      <c r="AA423" s="1655"/>
      <c r="AB423" s="1655"/>
      <c r="AC423" s="1655"/>
      <c r="AD423" s="1655"/>
      <c r="AE423" s="1655"/>
      <c r="AF423" s="1655"/>
      <c r="AG423" s="1655"/>
      <c r="AH423" s="1655"/>
      <c r="AI423" s="1655"/>
      <c r="AJ423" s="1655"/>
      <c r="AK423" s="1655"/>
      <c r="AL423" s="1655"/>
      <c r="AM423" s="1655"/>
      <c r="AN423" s="1655"/>
      <c r="AO423" s="1655"/>
      <c r="AP423" s="1655"/>
      <c r="AQ423" s="1655"/>
      <c r="AR423" s="1655"/>
      <c r="AS423" s="1655"/>
      <c r="AT423" s="1655"/>
      <c r="AU423" s="1655"/>
      <c r="AV423" s="1655"/>
      <c r="AW423" s="1655"/>
      <c r="AX423" s="1655"/>
      <c r="AY423" s="1655"/>
      <c r="AZ423" s="1655"/>
      <c r="BA423" s="1655"/>
      <c r="BB423" s="1655"/>
      <c r="BC423" s="1655"/>
      <c r="BD423" s="1655"/>
      <c r="BE423" s="1655"/>
      <c r="BF423" s="1655"/>
      <c r="BG423" s="1655"/>
      <c r="BH423" s="1655"/>
      <c r="BI423" s="1655"/>
      <c r="BJ423" s="1655"/>
      <c r="BK423" s="1655"/>
      <c r="BL423" s="1655"/>
      <c r="BM423" s="1655"/>
      <c r="BN423" s="1655"/>
      <c r="BO423" s="1655"/>
      <c r="BP423" s="1655"/>
      <c r="BQ423" s="1655"/>
      <c r="BR423" s="1655"/>
      <c r="BS423" s="1655"/>
      <c r="BT423" s="1655"/>
      <c r="BU423" s="1655"/>
      <c r="BV423" s="1655"/>
      <c r="BW423" s="1655"/>
      <c r="BX423" s="1655"/>
      <c r="BY423" s="1655"/>
      <c r="BZ423" s="1655"/>
      <c r="CA423" s="1655"/>
      <c r="CB423" s="1655"/>
      <c r="CC423" s="1655"/>
      <c r="CD423" s="1655"/>
      <c r="CE423" s="1655"/>
      <c r="CF423" s="1655"/>
      <c r="CG423" s="1655"/>
      <c r="CH423" s="1655"/>
      <c r="CI423" s="1655"/>
      <c r="CJ423" s="1655"/>
      <c r="CK423" s="1655"/>
      <c r="CL423" s="1655"/>
      <c r="CM423" s="1655"/>
      <c r="CN423" s="1655"/>
      <c r="CO423" s="1655"/>
      <c r="CP423" s="1655"/>
      <c r="CQ423" s="1655"/>
      <c r="CR423" s="1655"/>
      <c r="CS423" s="1655"/>
      <c r="CT423" s="1655"/>
      <c r="CU423" s="1655"/>
      <c r="CV423" s="1655"/>
      <c r="CW423" s="1655"/>
      <c r="CX423" s="1655"/>
      <c r="CY423" s="1655"/>
      <c r="CZ423" s="1655"/>
      <c r="DA423" s="1655"/>
      <c r="DB423" s="1655"/>
      <c r="DC423" s="1655"/>
      <c r="DD423" s="1655"/>
      <c r="DE423" s="1655"/>
      <c r="DF423" s="1655"/>
      <c r="DG423" s="1655"/>
      <c r="DH423" s="1655"/>
      <c r="DI423" s="1655"/>
      <c r="DJ423" s="1655"/>
      <c r="DK423" s="1655"/>
      <c r="DL423" s="1655"/>
      <c r="DM423" s="1655"/>
      <c r="DN423" s="1655"/>
      <c r="DO423" s="1655"/>
      <c r="DP423" s="1655"/>
      <c r="DQ423" s="1655"/>
      <c r="DR423" s="1655"/>
      <c r="DS423" s="1655"/>
      <c r="DT423" s="1655"/>
      <c r="DU423" s="1655"/>
      <c r="DV423" s="1655"/>
      <c r="DW423" s="1655"/>
      <c r="DX423" s="1655"/>
      <c r="DY423" s="1655"/>
      <c r="DZ423" s="1655"/>
      <c r="EA423" s="1655"/>
      <c r="EB423" s="1655"/>
      <c r="EC423" s="1655"/>
      <c r="ED423" s="1655"/>
      <c r="EE423" s="1655"/>
      <c r="EF423" s="1655"/>
      <c r="EG423" s="1655"/>
      <c r="EH423" s="1655"/>
      <c r="EI423" s="1655"/>
      <c r="EJ423" s="1655"/>
      <c r="EK423" s="1655"/>
      <c r="EL423" s="1655"/>
      <c r="EM423" s="1655"/>
      <c r="EN423" s="1655"/>
      <c r="EO423" s="1655"/>
      <c r="EP423" s="1655"/>
      <c r="EQ423" s="1655"/>
      <c r="ER423" s="1655"/>
      <c r="ES423" s="1655"/>
      <c r="ET423" s="1655"/>
      <c r="EU423" s="1655"/>
      <c r="EV423" s="1655"/>
      <c r="EW423" s="1655"/>
      <c r="EX423" s="1655"/>
      <c r="EY423" s="1655"/>
      <c r="EZ423" s="1655"/>
      <c r="FA423" s="1655"/>
      <c r="FB423" s="1655"/>
      <c r="FC423" s="1655"/>
      <c r="FD423" s="1655"/>
      <c r="FE423" s="1655"/>
      <c r="FF423" s="1655"/>
      <c r="FG423" s="1655"/>
      <c r="FH423" s="1655"/>
      <c r="FI423" s="1655"/>
    </row>
    <row r="424" spans="1:165">
      <c r="A424" s="1655"/>
      <c r="B424" s="1655"/>
      <c r="C424" s="1655"/>
      <c r="D424" s="1655"/>
      <c r="E424" s="1655"/>
      <c r="F424" s="1655"/>
      <c r="G424" s="1655"/>
      <c r="H424" s="1655"/>
      <c r="I424" s="1655"/>
      <c r="J424" s="1655"/>
      <c r="K424" s="1655"/>
      <c r="L424" s="1655"/>
      <c r="M424" s="1655"/>
      <c r="N424" s="1655"/>
      <c r="O424" s="1655"/>
      <c r="P424" s="1655"/>
      <c r="Q424" s="1655"/>
      <c r="R424" s="1655"/>
      <c r="S424" s="1655"/>
      <c r="T424" s="1655"/>
      <c r="U424" s="1655"/>
      <c r="V424" s="1655"/>
      <c r="W424" s="1655"/>
      <c r="X424" s="1655"/>
      <c r="Y424" s="1655"/>
      <c r="Z424" s="1655"/>
      <c r="AA424" s="1655"/>
      <c r="AB424" s="1655"/>
      <c r="AC424" s="1655"/>
      <c r="AD424" s="1655"/>
      <c r="AE424" s="1655"/>
      <c r="AF424" s="1655"/>
      <c r="AG424" s="1655"/>
      <c r="AH424" s="1655"/>
      <c r="AI424" s="1655"/>
      <c r="AJ424" s="1655"/>
      <c r="AK424" s="1655"/>
      <c r="AL424" s="1655"/>
      <c r="AM424" s="1655"/>
      <c r="AN424" s="1655"/>
      <c r="AO424" s="1655"/>
      <c r="AP424" s="1655"/>
      <c r="AQ424" s="1655"/>
      <c r="AR424" s="1655"/>
      <c r="AS424" s="1655"/>
      <c r="AT424" s="1655"/>
      <c r="AU424" s="1655"/>
      <c r="AV424" s="1655"/>
      <c r="AW424" s="1655"/>
      <c r="AX424" s="1655"/>
      <c r="AY424" s="1655"/>
      <c r="AZ424" s="1655"/>
      <c r="BA424" s="1655"/>
      <c r="BB424" s="1655"/>
      <c r="BC424" s="1655"/>
      <c r="BD424" s="1655"/>
      <c r="BE424" s="1655"/>
      <c r="BF424" s="1655"/>
      <c r="BG424" s="1655"/>
      <c r="BH424" s="1655"/>
      <c r="BI424" s="1655"/>
      <c r="BJ424" s="1655"/>
      <c r="BK424" s="1655"/>
      <c r="BL424" s="1655"/>
      <c r="BM424" s="1655"/>
      <c r="BN424" s="1655"/>
      <c r="BO424" s="1655"/>
      <c r="BP424" s="1655"/>
      <c r="BQ424" s="1655"/>
      <c r="BR424" s="1655"/>
      <c r="BS424" s="1655"/>
      <c r="BT424" s="1655"/>
      <c r="BU424" s="1655"/>
      <c r="BV424" s="1655"/>
      <c r="BW424" s="1655"/>
      <c r="BX424" s="1655"/>
      <c r="BY424" s="1655"/>
      <c r="BZ424" s="1655"/>
      <c r="CA424" s="1655"/>
      <c r="CB424" s="1655"/>
      <c r="CC424" s="1655"/>
      <c r="CD424" s="1655"/>
      <c r="CE424" s="1655"/>
      <c r="CF424" s="1655"/>
      <c r="CG424" s="1655"/>
      <c r="CH424" s="1655"/>
      <c r="CI424" s="1655"/>
      <c r="CJ424" s="1655"/>
      <c r="CK424" s="1655"/>
      <c r="CL424" s="1655"/>
      <c r="CM424" s="1655"/>
      <c r="CN424" s="1655"/>
      <c r="CO424" s="1655"/>
      <c r="CP424" s="1655"/>
      <c r="CQ424" s="1655"/>
      <c r="CR424" s="1655"/>
      <c r="CS424" s="1655"/>
      <c r="CT424" s="1655"/>
      <c r="CU424" s="1655"/>
      <c r="CV424" s="1655"/>
      <c r="CW424" s="1655"/>
      <c r="CX424" s="1655"/>
      <c r="CY424" s="1655"/>
      <c r="CZ424" s="1655"/>
      <c r="DA424" s="1655"/>
      <c r="DB424" s="1655"/>
      <c r="DC424" s="1655"/>
      <c r="DD424" s="1655"/>
      <c r="DE424" s="1655"/>
      <c r="DF424" s="1655"/>
      <c r="DG424" s="1655"/>
      <c r="DH424" s="1655"/>
      <c r="DI424" s="1655"/>
      <c r="DJ424" s="1655"/>
      <c r="DK424" s="1655"/>
      <c r="DL424" s="1655"/>
      <c r="DM424" s="1655"/>
      <c r="DN424" s="1655"/>
      <c r="DO424" s="1655"/>
      <c r="DP424" s="1655"/>
      <c r="DQ424" s="1655"/>
      <c r="DR424" s="1655"/>
      <c r="DS424" s="1655"/>
      <c r="DT424" s="1655"/>
      <c r="DU424" s="1655"/>
      <c r="DV424" s="1655"/>
      <c r="DW424" s="1655"/>
      <c r="DX424" s="1655"/>
      <c r="DY424" s="1655"/>
      <c r="DZ424" s="1655"/>
      <c r="EA424" s="1655"/>
      <c r="EB424" s="1655"/>
      <c r="EC424" s="1655"/>
      <c r="ED424" s="1655"/>
      <c r="EE424" s="1655"/>
      <c r="EF424" s="1655"/>
      <c r="EG424" s="1655"/>
      <c r="EH424" s="1655"/>
      <c r="EI424" s="1655"/>
      <c r="EJ424" s="1655"/>
      <c r="EK424" s="1655"/>
      <c r="EL424" s="1655"/>
      <c r="EM424" s="1655"/>
      <c r="EN424" s="1655"/>
      <c r="EO424" s="1655"/>
      <c r="EP424" s="1655"/>
      <c r="EQ424" s="1655"/>
      <c r="ER424" s="1655"/>
      <c r="ES424" s="1655"/>
      <c r="ET424" s="1655"/>
      <c r="EU424" s="1655"/>
      <c r="EV424" s="1655"/>
      <c r="EW424" s="1655"/>
      <c r="EX424" s="1655"/>
      <c r="EY424" s="1655"/>
      <c r="EZ424" s="1655"/>
      <c r="FA424" s="1655"/>
      <c r="FB424" s="1655"/>
      <c r="FC424" s="1655"/>
      <c r="FD424" s="1655"/>
      <c r="FE424" s="1655"/>
      <c r="FF424" s="1655"/>
      <c r="FG424" s="1655"/>
      <c r="FH424" s="1655"/>
      <c r="FI424" s="1655"/>
    </row>
    <row r="425" spans="1:165">
      <c r="A425" s="1655"/>
      <c r="B425" s="1655"/>
      <c r="C425" s="1655"/>
      <c r="D425" s="1655"/>
      <c r="E425" s="1655"/>
      <c r="F425" s="1655"/>
      <c r="G425" s="1655"/>
      <c r="H425" s="1655"/>
      <c r="I425" s="1655"/>
      <c r="J425" s="1655"/>
      <c r="K425" s="1655"/>
      <c r="L425" s="1655"/>
      <c r="M425" s="1655"/>
      <c r="N425" s="1655"/>
      <c r="O425" s="1655"/>
      <c r="P425" s="1655"/>
      <c r="Q425" s="1655"/>
      <c r="R425" s="1655"/>
      <c r="S425" s="1655"/>
      <c r="T425" s="1655"/>
      <c r="U425" s="1655"/>
      <c r="V425" s="1655"/>
      <c r="W425" s="1655"/>
      <c r="X425" s="1655"/>
      <c r="Y425" s="1655"/>
      <c r="Z425" s="1655"/>
      <c r="AA425" s="1655"/>
      <c r="AB425" s="1655"/>
      <c r="AC425" s="1655"/>
      <c r="AD425" s="1655"/>
      <c r="AE425" s="1655"/>
      <c r="AF425" s="1655"/>
      <c r="AG425" s="1655"/>
      <c r="AH425" s="1655"/>
      <c r="AI425" s="1655"/>
      <c r="AJ425" s="1655"/>
      <c r="AK425" s="1655"/>
      <c r="AL425" s="1655"/>
      <c r="AM425" s="1655"/>
      <c r="AN425" s="1655"/>
      <c r="AO425" s="1655"/>
      <c r="AP425" s="1655"/>
      <c r="AQ425" s="1655"/>
      <c r="AR425" s="1655"/>
      <c r="AS425" s="1655"/>
      <c r="AT425" s="1655"/>
      <c r="AU425" s="1655"/>
      <c r="AV425" s="1655"/>
      <c r="AW425" s="1655"/>
      <c r="AX425" s="1655"/>
      <c r="AY425" s="1655"/>
      <c r="AZ425" s="1655"/>
      <c r="BA425" s="1655"/>
      <c r="BB425" s="1655"/>
      <c r="BC425" s="1655"/>
      <c r="BD425" s="1655"/>
      <c r="BE425" s="1655"/>
      <c r="BF425" s="1655"/>
      <c r="BG425" s="1655"/>
      <c r="BH425" s="1655"/>
      <c r="BI425" s="1655"/>
      <c r="BJ425" s="1655"/>
      <c r="BK425" s="1655"/>
      <c r="BL425" s="1655"/>
      <c r="BM425" s="1655"/>
      <c r="BN425" s="1655"/>
      <c r="BO425" s="1655"/>
      <c r="BP425" s="1655"/>
      <c r="BQ425" s="1655"/>
      <c r="BR425" s="1655"/>
      <c r="BS425" s="1655"/>
      <c r="BT425" s="1655"/>
      <c r="BU425" s="1655"/>
      <c r="BV425" s="1655"/>
      <c r="BW425" s="1655"/>
      <c r="BX425" s="1655"/>
      <c r="BY425" s="1655"/>
      <c r="BZ425" s="1655"/>
      <c r="CA425" s="1655"/>
      <c r="CB425" s="1655"/>
      <c r="CC425" s="1655"/>
      <c r="CD425" s="1655"/>
      <c r="CE425" s="1655"/>
      <c r="CF425" s="1655"/>
      <c r="CG425" s="1655"/>
      <c r="CH425" s="1655"/>
      <c r="CI425" s="1655"/>
      <c r="CJ425" s="1655"/>
      <c r="CK425" s="1655"/>
      <c r="CL425" s="1655"/>
      <c r="CM425" s="1655"/>
      <c r="CN425" s="1655"/>
      <c r="CO425" s="1655"/>
      <c r="CP425" s="1655"/>
      <c r="CQ425" s="1655"/>
      <c r="CR425" s="1655"/>
      <c r="CS425" s="1655"/>
      <c r="CT425" s="1655"/>
      <c r="CU425" s="1655"/>
      <c r="CV425" s="1655"/>
      <c r="CW425" s="1655"/>
      <c r="CX425" s="1655"/>
      <c r="CY425" s="1655"/>
      <c r="CZ425" s="1655"/>
      <c r="DA425" s="1655"/>
      <c r="DB425" s="1655"/>
      <c r="DC425" s="1655"/>
      <c r="DD425" s="1655"/>
      <c r="DE425" s="1655"/>
      <c r="DF425" s="1655"/>
      <c r="DG425" s="1655"/>
      <c r="DH425" s="1655"/>
      <c r="DI425" s="1655"/>
      <c r="DJ425" s="1655"/>
      <c r="DK425" s="1655"/>
      <c r="DL425" s="1655"/>
      <c r="DM425" s="1655"/>
      <c r="DN425" s="1655"/>
      <c r="DO425" s="1655"/>
      <c r="DP425" s="1655"/>
      <c r="DQ425" s="1655"/>
      <c r="DR425" s="1655"/>
      <c r="DS425" s="1655"/>
      <c r="DT425" s="1655"/>
      <c r="DU425" s="1655"/>
      <c r="DV425" s="1655"/>
      <c r="DW425" s="1655"/>
      <c r="DX425" s="1655"/>
      <c r="DY425" s="1655"/>
      <c r="DZ425" s="1655"/>
      <c r="EA425" s="1655"/>
      <c r="EB425" s="1655"/>
      <c r="EC425" s="1655"/>
      <c r="ED425" s="1655"/>
      <c r="EE425" s="1655"/>
      <c r="EF425" s="1655"/>
      <c r="EG425" s="1655"/>
      <c r="EH425" s="1655"/>
      <c r="EI425" s="1655"/>
      <c r="EJ425" s="1655"/>
      <c r="EK425" s="1655"/>
      <c r="EL425" s="1655"/>
      <c r="EM425" s="1655"/>
      <c r="EN425" s="1655"/>
      <c r="EO425" s="1655"/>
      <c r="EP425" s="1655"/>
      <c r="EQ425" s="1655"/>
      <c r="ER425" s="1655"/>
      <c r="ES425" s="1655"/>
      <c r="ET425" s="1655"/>
      <c r="EU425" s="1655"/>
      <c r="EV425" s="1655"/>
      <c r="EW425" s="1655"/>
      <c r="EX425" s="1655"/>
      <c r="EY425" s="1655"/>
      <c r="EZ425" s="1655"/>
      <c r="FA425" s="1655"/>
      <c r="FB425" s="1655"/>
      <c r="FC425" s="1655"/>
      <c r="FD425" s="1655"/>
      <c r="FE425" s="1655"/>
      <c r="FF425" s="1655"/>
      <c r="FG425" s="1655"/>
      <c r="FH425" s="1655"/>
      <c r="FI425" s="1655"/>
    </row>
    <row r="426" spans="1:165">
      <c r="A426" s="1655"/>
      <c r="B426" s="1655"/>
      <c r="C426" s="1655"/>
      <c r="D426" s="1655"/>
      <c r="E426" s="1655"/>
      <c r="F426" s="1655"/>
      <c r="G426" s="1655"/>
      <c r="H426" s="1655"/>
      <c r="I426" s="1655"/>
      <c r="J426" s="1655"/>
      <c r="K426" s="1655"/>
      <c r="L426" s="1655"/>
      <c r="M426" s="1655"/>
      <c r="N426" s="1655"/>
      <c r="O426" s="1655"/>
      <c r="P426" s="1655"/>
      <c r="Q426" s="1655"/>
      <c r="R426" s="1655"/>
      <c r="S426" s="1655"/>
      <c r="T426" s="1655"/>
      <c r="U426" s="1655"/>
      <c r="V426" s="1655"/>
      <c r="W426" s="1655"/>
      <c r="X426" s="1655"/>
      <c r="Y426" s="1655"/>
      <c r="Z426" s="1655"/>
      <c r="AA426" s="1655"/>
      <c r="AB426" s="1655"/>
      <c r="AC426" s="1655"/>
      <c r="AD426" s="1655"/>
      <c r="AE426" s="1655"/>
      <c r="AF426" s="1655"/>
      <c r="AG426" s="1655"/>
      <c r="AH426" s="1655"/>
      <c r="AI426" s="1655"/>
      <c r="AJ426" s="1655"/>
      <c r="AK426" s="1655"/>
      <c r="AL426" s="1655"/>
      <c r="AM426" s="1655"/>
      <c r="AN426" s="1655"/>
      <c r="AO426" s="1655"/>
      <c r="AP426" s="1655"/>
      <c r="AQ426" s="1655"/>
      <c r="AR426" s="1655"/>
      <c r="AS426" s="1655"/>
      <c r="AT426" s="1655"/>
      <c r="AU426" s="1655"/>
      <c r="AV426" s="1655"/>
      <c r="AW426" s="1655"/>
      <c r="AX426" s="1655"/>
      <c r="AY426" s="1655"/>
      <c r="AZ426" s="1655"/>
      <c r="BA426" s="1655"/>
      <c r="BB426" s="1655"/>
      <c r="BC426" s="1655"/>
      <c r="BD426" s="1655"/>
      <c r="BE426" s="1655"/>
      <c r="BF426" s="1655"/>
      <c r="BG426" s="1655"/>
      <c r="BH426" s="1655"/>
      <c r="BI426" s="1655"/>
      <c r="BJ426" s="1655"/>
      <c r="BK426" s="1655"/>
      <c r="BL426" s="1655"/>
      <c r="BM426" s="1655"/>
      <c r="BN426" s="1655"/>
      <c r="BO426" s="1655"/>
      <c r="BP426" s="1655"/>
      <c r="BQ426" s="1655"/>
      <c r="BR426" s="1655"/>
      <c r="BS426" s="1655"/>
      <c r="BT426" s="1655"/>
      <c r="BU426" s="1655"/>
      <c r="BV426" s="1655"/>
      <c r="BW426" s="1655"/>
      <c r="BX426" s="1655"/>
      <c r="BY426" s="1655"/>
      <c r="BZ426" s="1655"/>
      <c r="CA426" s="1655"/>
      <c r="CB426" s="1655"/>
      <c r="CC426" s="1655"/>
      <c r="CD426" s="1655"/>
      <c r="CE426" s="1655"/>
      <c r="CF426" s="1655"/>
      <c r="CG426" s="1655"/>
      <c r="CH426" s="1655"/>
      <c r="CI426" s="1655"/>
      <c r="CJ426" s="1655"/>
      <c r="CK426" s="1655"/>
      <c r="CL426" s="1655"/>
      <c r="CM426" s="1655"/>
      <c r="CN426" s="1655"/>
      <c r="CO426" s="1655"/>
      <c r="CP426" s="1655"/>
      <c r="CQ426" s="1655"/>
      <c r="CR426" s="1655"/>
      <c r="CS426" s="1655"/>
      <c r="CT426" s="1655"/>
      <c r="CU426" s="1655"/>
      <c r="CV426" s="1655"/>
      <c r="CW426" s="1655"/>
      <c r="CX426" s="1655"/>
      <c r="CY426" s="1655"/>
      <c r="CZ426" s="1655"/>
      <c r="DA426" s="1655"/>
      <c r="DB426" s="1655"/>
      <c r="DC426" s="1655"/>
      <c r="DD426" s="1655"/>
      <c r="DE426" s="1655"/>
      <c r="DF426" s="1655"/>
      <c r="DG426" s="1655"/>
      <c r="DH426" s="1655"/>
      <c r="DI426" s="1655"/>
      <c r="DJ426" s="1655"/>
      <c r="DK426" s="1655"/>
      <c r="DL426" s="1655"/>
      <c r="DM426" s="1655"/>
      <c r="DN426" s="1655"/>
      <c r="DO426" s="1655"/>
      <c r="DP426" s="1655"/>
      <c r="DQ426" s="1655"/>
      <c r="DR426" s="1655"/>
      <c r="DS426" s="1655"/>
      <c r="DT426" s="1655"/>
      <c r="DU426" s="1655"/>
      <c r="DV426" s="1655"/>
      <c r="DW426" s="1655"/>
      <c r="DX426" s="1655"/>
      <c r="DY426" s="1655"/>
      <c r="DZ426" s="1655"/>
      <c r="EA426" s="1655"/>
      <c r="EB426" s="1655"/>
      <c r="EC426" s="1655"/>
      <c r="ED426" s="1655"/>
      <c r="EE426" s="1655"/>
      <c r="EF426" s="1655"/>
      <c r="EG426" s="1655"/>
      <c r="EH426" s="1655"/>
      <c r="EI426" s="1655"/>
      <c r="EJ426" s="1655"/>
      <c r="EK426" s="1655"/>
      <c r="EL426" s="1655"/>
      <c r="EM426" s="1655"/>
      <c r="EN426" s="1655"/>
      <c r="EO426" s="1655"/>
      <c r="EP426" s="1655"/>
      <c r="EQ426" s="1655"/>
      <c r="ER426" s="1655"/>
      <c r="ES426" s="1655"/>
      <c r="ET426" s="1655"/>
      <c r="EU426" s="1655"/>
      <c r="EV426" s="1655"/>
      <c r="EW426" s="1655"/>
      <c r="EX426" s="1655"/>
      <c r="EY426" s="1655"/>
      <c r="EZ426" s="1655"/>
      <c r="FA426" s="1655"/>
      <c r="FB426" s="1655"/>
      <c r="FC426" s="1655"/>
      <c r="FD426" s="1655"/>
      <c r="FE426" s="1655"/>
      <c r="FF426" s="1655"/>
      <c r="FG426" s="1655"/>
      <c r="FH426" s="1655"/>
      <c r="FI426" s="1655"/>
    </row>
    <row r="427" spans="1:165">
      <c r="A427" s="1655"/>
      <c r="B427" s="1655"/>
      <c r="C427" s="1655"/>
      <c r="D427" s="1655"/>
      <c r="E427" s="1655"/>
      <c r="F427" s="1655"/>
      <c r="G427" s="1655"/>
      <c r="H427" s="1655"/>
      <c r="I427" s="1655"/>
      <c r="J427" s="1655"/>
      <c r="K427" s="1655"/>
      <c r="L427" s="1655"/>
      <c r="M427" s="1655"/>
      <c r="N427" s="1655"/>
      <c r="O427" s="1655"/>
      <c r="P427" s="1655"/>
      <c r="Q427" s="1655"/>
      <c r="R427" s="1655"/>
      <c r="S427" s="1655"/>
      <c r="T427" s="1655"/>
      <c r="U427" s="1655"/>
      <c r="V427" s="1655"/>
      <c r="W427" s="1655"/>
      <c r="X427" s="1655"/>
      <c r="Y427" s="1655"/>
      <c r="Z427" s="1655"/>
      <c r="AA427" s="1655"/>
      <c r="AB427" s="1655"/>
      <c r="AC427" s="1655"/>
      <c r="AD427" s="1655"/>
      <c r="AE427" s="1655"/>
      <c r="AF427" s="1655"/>
      <c r="AG427" s="1655"/>
      <c r="AH427" s="1655"/>
      <c r="AI427" s="1655"/>
      <c r="AJ427" s="1655"/>
      <c r="AK427" s="1655"/>
      <c r="AL427" s="1655"/>
      <c r="AM427" s="1655"/>
      <c r="AN427" s="1655"/>
      <c r="AO427" s="1655"/>
      <c r="AP427" s="1655"/>
      <c r="AQ427" s="1655"/>
      <c r="AR427" s="1655"/>
      <c r="AS427" s="1655"/>
      <c r="AT427" s="1655"/>
      <c r="AU427" s="1655"/>
      <c r="AV427" s="1655"/>
      <c r="AW427" s="1655"/>
      <c r="AX427" s="1655"/>
      <c r="AY427" s="1655"/>
      <c r="AZ427" s="1655"/>
      <c r="BA427" s="1655"/>
      <c r="BB427" s="1655"/>
      <c r="BC427" s="1655"/>
      <c r="BD427" s="1655"/>
      <c r="BE427" s="1655"/>
      <c r="BF427" s="1655"/>
      <c r="BG427" s="1655"/>
      <c r="BH427" s="1655"/>
      <c r="BI427" s="1655"/>
      <c r="BJ427" s="1655"/>
      <c r="BK427" s="1655"/>
      <c r="BL427" s="1655"/>
      <c r="BM427" s="1655"/>
      <c r="BN427" s="1655"/>
      <c r="BO427" s="1655"/>
      <c r="BP427" s="1655"/>
      <c r="BQ427" s="1655"/>
      <c r="BR427" s="1655"/>
      <c r="BS427" s="1655"/>
      <c r="BT427" s="1655"/>
      <c r="BU427" s="1655"/>
      <c r="BV427" s="1655"/>
      <c r="BW427" s="1655"/>
      <c r="BX427" s="1655"/>
      <c r="BY427" s="1655"/>
      <c r="BZ427" s="1655"/>
      <c r="CA427" s="1655"/>
      <c r="CB427" s="1655"/>
      <c r="CC427" s="1655"/>
      <c r="CD427" s="1655"/>
      <c r="CE427" s="1655"/>
      <c r="CF427" s="1655"/>
      <c r="CG427" s="1655"/>
      <c r="CH427" s="1655"/>
      <c r="CI427" s="1655"/>
      <c r="CJ427" s="1655"/>
      <c r="CK427" s="1655"/>
      <c r="CL427" s="1655"/>
      <c r="CM427" s="1655"/>
      <c r="CN427" s="1655"/>
      <c r="CO427" s="1655"/>
      <c r="CP427" s="1655"/>
      <c r="CQ427" s="1655"/>
      <c r="CR427" s="1655"/>
      <c r="CS427" s="1655"/>
      <c r="CT427" s="1655"/>
      <c r="CU427" s="1655"/>
      <c r="CV427" s="1655"/>
      <c r="CW427" s="1655"/>
      <c r="CX427" s="1655"/>
      <c r="CY427" s="1655"/>
      <c r="CZ427" s="1655"/>
      <c r="DA427" s="1655"/>
      <c r="DB427" s="1655"/>
      <c r="DC427" s="1655"/>
      <c r="DD427" s="1655"/>
      <c r="DE427" s="1655"/>
      <c r="DF427" s="1655"/>
      <c r="DG427" s="1655"/>
      <c r="DH427" s="1655"/>
      <c r="DI427" s="1655"/>
      <c r="DJ427" s="1655"/>
      <c r="DK427" s="1655"/>
      <c r="DL427" s="1655"/>
      <c r="DM427" s="1655"/>
      <c r="DN427" s="1655"/>
      <c r="DO427" s="1655"/>
      <c r="DP427" s="1655"/>
      <c r="DQ427" s="1655"/>
      <c r="DR427" s="1655"/>
      <c r="DS427" s="1655"/>
      <c r="DT427" s="1655"/>
      <c r="DU427" s="1655"/>
      <c r="DV427" s="1655"/>
      <c r="DW427" s="1655"/>
      <c r="DX427" s="1655"/>
      <c r="DY427" s="1655"/>
      <c r="DZ427" s="1655"/>
      <c r="EA427" s="1655"/>
      <c r="EB427" s="1655"/>
      <c r="EC427" s="1655"/>
      <c r="ED427" s="1655"/>
      <c r="EE427" s="1655"/>
      <c r="EF427" s="1655"/>
      <c r="EG427" s="1655"/>
      <c r="EH427" s="1655"/>
      <c r="EI427" s="1655"/>
      <c r="EJ427" s="1655"/>
      <c r="EK427" s="1655"/>
      <c r="EL427" s="1655"/>
      <c r="EM427" s="1655"/>
      <c r="EN427" s="1655"/>
      <c r="EO427" s="1655"/>
      <c r="EP427" s="1655"/>
      <c r="EQ427" s="1655"/>
      <c r="ER427" s="1655"/>
      <c r="ES427" s="1655"/>
      <c r="ET427" s="1655"/>
      <c r="EU427" s="1655"/>
      <c r="EV427" s="1655"/>
      <c r="EW427" s="1655"/>
      <c r="EX427" s="1655"/>
      <c r="EY427" s="1655"/>
      <c r="EZ427" s="1655"/>
      <c r="FA427" s="1655"/>
      <c r="FB427" s="1655"/>
      <c r="FC427" s="1655"/>
      <c r="FD427" s="1655"/>
      <c r="FE427" s="1655"/>
      <c r="FF427" s="1655"/>
      <c r="FG427" s="1655"/>
      <c r="FH427" s="1655"/>
      <c r="FI427" s="1655"/>
    </row>
    <row r="428" spans="1:165">
      <c r="A428" s="1655"/>
      <c r="B428" s="1655"/>
      <c r="C428" s="1655"/>
      <c r="D428" s="1655"/>
      <c r="E428" s="1655"/>
      <c r="F428" s="1655"/>
      <c r="G428" s="1655"/>
      <c r="H428" s="1655"/>
      <c r="I428" s="1655"/>
      <c r="J428" s="1655"/>
      <c r="K428" s="1655"/>
      <c r="L428" s="1655"/>
      <c r="M428" s="1655"/>
      <c r="N428" s="1655"/>
      <c r="O428" s="1655"/>
      <c r="P428" s="1655"/>
      <c r="Q428" s="1655"/>
      <c r="R428" s="1655"/>
      <c r="S428" s="1655"/>
      <c r="T428" s="1655"/>
      <c r="U428" s="1655"/>
      <c r="V428" s="1655"/>
      <c r="W428" s="1655"/>
      <c r="X428" s="1655"/>
      <c r="Y428" s="1655"/>
      <c r="Z428" s="1655"/>
      <c r="AA428" s="1655"/>
      <c r="AB428" s="1655"/>
      <c r="AC428" s="1655"/>
      <c r="AD428" s="1655"/>
      <c r="AE428" s="1655"/>
      <c r="AF428" s="1655"/>
      <c r="AG428" s="1655"/>
      <c r="AH428" s="1655"/>
      <c r="AI428" s="1655"/>
      <c r="AJ428" s="1655"/>
      <c r="AK428" s="1655"/>
      <c r="AL428" s="1655"/>
      <c r="AM428" s="1655"/>
      <c r="AN428" s="1655"/>
      <c r="AO428" s="1655"/>
      <c r="AP428" s="1655"/>
      <c r="AQ428" s="1655"/>
      <c r="AR428" s="1655"/>
      <c r="AS428" s="1655"/>
      <c r="AT428" s="1655"/>
      <c r="AU428" s="1655"/>
      <c r="AV428" s="1655"/>
      <c r="AW428" s="1655"/>
      <c r="AX428" s="1655"/>
      <c r="AY428" s="1655"/>
      <c r="AZ428" s="1655"/>
      <c r="BA428" s="1655"/>
      <c r="BB428" s="1655"/>
      <c r="BC428" s="1655"/>
      <c r="BD428" s="1655"/>
      <c r="BE428" s="1655"/>
      <c r="BF428" s="1655"/>
      <c r="BG428" s="1655"/>
      <c r="BH428" s="1655"/>
      <c r="BI428" s="1655"/>
      <c r="BJ428" s="1655"/>
      <c r="BK428" s="1655"/>
      <c r="BL428" s="1655"/>
      <c r="BM428" s="1655"/>
      <c r="BN428" s="1655"/>
      <c r="BO428" s="1655"/>
      <c r="BP428" s="1655"/>
      <c r="BQ428" s="1655"/>
      <c r="BR428" s="1655"/>
      <c r="BS428" s="1655"/>
      <c r="BT428" s="1655"/>
      <c r="BU428" s="1655"/>
      <c r="BV428" s="1655"/>
      <c r="BW428" s="1655"/>
      <c r="BX428" s="1655"/>
      <c r="BY428" s="1655"/>
      <c r="BZ428" s="1655"/>
      <c r="CA428" s="1655"/>
      <c r="CB428" s="1655"/>
      <c r="CC428" s="1655"/>
      <c r="CD428" s="1655"/>
      <c r="CE428" s="1655"/>
      <c r="CF428" s="1655"/>
      <c r="CG428" s="1655"/>
      <c r="CH428" s="1655"/>
      <c r="CI428" s="1655"/>
      <c r="CJ428" s="1655"/>
      <c r="CK428" s="1655"/>
      <c r="CL428" s="1655"/>
      <c r="CM428" s="1655"/>
      <c r="CN428" s="1655"/>
      <c r="CO428" s="1655"/>
      <c r="CP428" s="1655"/>
      <c r="CQ428" s="1655"/>
      <c r="CR428" s="1655"/>
      <c r="CS428" s="1655"/>
      <c r="CT428" s="1655"/>
      <c r="CU428" s="1655"/>
      <c r="CV428" s="1655"/>
      <c r="CW428" s="1655"/>
      <c r="CX428" s="1655"/>
      <c r="CY428" s="1655"/>
      <c r="CZ428" s="1655"/>
      <c r="DA428" s="1655"/>
      <c r="DB428" s="1655"/>
      <c r="DC428" s="1655"/>
      <c r="DD428" s="1655"/>
      <c r="DE428" s="1655"/>
      <c r="DF428" s="1655"/>
      <c r="DG428" s="1655"/>
      <c r="DH428" s="1655"/>
      <c r="DI428" s="1655"/>
      <c r="DJ428" s="1655"/>
      <c r="DK428" s="1655"/>
      <c r="DL428" s="1655"/>
      <c r="DM428" s="1655"/>
      <c r="DN428" s="1655"/>
      <c r="DO428" s="1655"/>
      <c r="DP428" s="1655"/>
      <c r="DQ428" s="1655"/>
      <c r="DR428" s="1655"/>
      <c r="DS428" s="1655"/>
      <c r="DT428" s="1655"/>
      <c r="DU428" s="1655"/>
      <c r="DV428" s="1655"/>
      <c r="DW428" s="1655"/>
      <c r="DX428" s="1655"/>
      <c r="DY428" s="1655"/>
      <c r="DZ428" s="1655"/>
      <c r="EA428" s="1655"/>
      <c r="EB428" s="1655"/>
      <c r="EC428" s="1655"/>
      <c r="ED428" s="1655"/>
      <c r="EE428" s="1655"/>
      <c r="EF428" s="1655"/>
      <c r="EG428" s="1655"/>
      <c r="EH428" s="1655"/>
      <c r="EI428" s="1655"/>
      <c r="EJ428" s="1655"/>
      <c r="EK428" s="1655"/>
      <c r="EL428" s="1655"/>
      <c r="EM428" s="1655"/>
      <c r="EN428" s="1655"/>
      <c r="EO428" s="1655"/>
      <c r="EP428" s="1655"/>
      <c r="EQ428" s="1655"/>
      <c r="ER428" s="1655"/>
      <c r="ES428" s="1655"/>
      <c r="ET428" s="1655"/>
      <c r="EU428" s="1655"/>
      <c r="EV428" s="1655"/>
      <c r="EW428" s="1655"/>
      <c r="EX428" s="1655"/>
      <c r="EY428" s="1655"/>
      <c r="EZ428" s="1655"/>
      <c r="FA428" s="1655"/>
      <c r="FB428" s="1655"/>
      <c r="FC428" s="1655"/>
      <c r="FD428" s="1655"/>
      <c r="FE428" s="1655"/>
      <c r="FF428" s="1655"/>
      <c r="FG428" s="1655"/>
      <c r="FH428" s="1655"/>
      <c r="FI428" s="1655"/>
    </row>
    <row r="429" spans="1:165">
      <c r="A429" s="1655"/>
      <c r="B429" s="1655"/>
      <c r="C429" s="1655"/>
      <c r="D429" s="1655"/>
      <c r="E429" s="1655"/>
      <c r="F429" s="1655"/>
      <c r="G429" s="1655"/>
      <c r="H429" s="1655"/>
      <c r="I429" s="1655"/>
      <c r="J429" s="1655"/>
      <c r="K429" s="1655"/>
      <c r="L429" s="1655"/>
      <c r="M429" s="1655"/>
      <c r="N429" s="1655"/>
      <c r="O429" s="1655"/>
      <c r="P429" s="1655"/>
      <c r="Q429" s="1655"/>
      <c r="R429" s="1655"/>
      <c r="S429" s="1655"/>
      <c r="T429" s="1655"/>
      <c r="U429" s="1655"/>
      <c r="V429" s="1655"/>
      <c r="W429" s="1655"/>
      <c r="X429" s="1655"/>
      <c r="Y429" s="1655"/>
      <c r="Z429" s="1655"/>
      <c r="AA429" s="1655"/>
      <c r="AB429" s="1655"/>
      <c r="AC429" s="1655"/>
      <c r="AD429" s="1655"/>
      <c r="AE429" s="1655"/>
      <c r="AF429" s="1655"/>
      <c r="AG429" s="1655"/>
      <c r="AH429" s="1655"/>
      <c r="AI429" s="1655"/>
      <c r="AJ429" s="1655"/>
      <c r="AK429" s="1655"/>
      <c r="AL429" s="1655"/>
      <c r="AM429" s="1655"/>
      <c r="AN429" s="1655"/>
      <c r="AO429" s="1655"/>
      <c r="AP429" s="1655"/>
      <c r="AQ429" s="1655"/>
      <c r="AR429" s="1655"/>
      <c r="AS429" s="1655"/>
      <c r="AT429" s="1655"/>
      <c r="AU429" s="1655"/>
      <c r="AV429" s="1655"/>
      <c r="AW429" s="1655"/>
      <c r="AX429" s="1655"/>
      <c r="AY429" s="1655"/>
      <c r="AZ429" s="1655"/>
      <c r="BA429" s="1655"/>
      <c r="BB429" s="1655"/>
      <c r="BC429" s="1655"/>
      <c r="BD429" s="1655"/>
      <c r="BE429" s="1655"/>
      <c r="BF429" s="1655"/>
      <c r="BG429" s="1655"/>
      <c r="BH429" s="1655"/>
      <c r="BI429" s="1655"/>
      <c r="BJ429" s="1655"/>
      <c r="BK429" s="1655"/>
      <c r="BL429" s="1655"/>
      <c r="BM429" s="1655"/>
      <c r="BN429" s="1655"/>
      <c r="BO429" s="1655"/>
      <c r="BP429" s="1655"/>
      <c r="BQ429" s="1655"/>
      <c r="BR429" s="1655"/>
      <c r="BS429" s="1655"/>
      <c r="BT429" s="1655"/>
      <c r="BU429" s="1655"/>
      <c r="BV429" s="1655"/>
      <c r="BW429" s="1655"/>
      <c r="BX429" s="1655"/>
      <c r="BY429" s="1655"/>
      <c r="BZ429" s="1655"/>
      <c r="CA429" s="1655"/>
      <c r="CB429" s="1655"/>
      <c r="CC429" s="1655"/>
      <c r="CD429" s="1655"/>
      <c r="CE429" s="1655"/>
      <c r="CF429" s="1655"/>
      <c r="CG429" s="1655"/>
      <c r="CH429" s="1655"/>
      <c r="CI429" s="1655"/>
      <c r="CJ429" s="1655"/>
      <c r="CK429" s="1655"/>
      <c r="CL429" s="1655"/>
      <c r="CM429" s="1655"/>
      <c r="CN429" s="1655"/>
      <c r="CO429" s="1655"/>
      <c r="CP429" s="1655"/>
      <c r="CQ429" s="1655"/>
      <c r="CR429" s="1655"/>
      <c r="CS429" s="1655"/>
      <c r="CT429" s="1655"/>
      <c r="CU429" s="1655"/>
      <c r="CV429" s="1655"/>
      <c r="CW429" s="1655"/>
      <c r="CX429" s="1655"/>
      <c r="CY429" s="1655"/>
      <c r="CZ429" s="1655"/>
      <c r="DA429" s="1655"/>
      <c r="DB429" s="1655"/>
      <c r="DC429" s="1655"/>
      <c r="DD429" s="1655"/>
      <c r="DE429" s="1655"/>
      <c r="DF429" s="1655"/>
      <c r="DG429" s="1655"/>
      <c r="DH429" s="1655"/>
      <c r="DI429" s="1655"/>
      <c r="DJ429" s="1655"/>
      <c r="DK429" s="1655"/>
      <c r="DL429" s="1655"/>
      <c r="DM429" s="1655"/>
      <c r="DN429" s="1655"/>
      <c r="DO429" s="1655"/>
      <c r="DP429" s="1655"/>
      <c r="DQ429" s="1655"/>
      <c r="DR429" s="1655"/>
      <c r="DS429" s="1655"/>
      <c r="DT429" s="1655"/>
      <c r="DU429" s="1655"/>
      <c r="DV429" s="1655"/>
      <c r="DW429" s="1655"/>
      <c r="DX429" s="1655"/>
      <c r="DY429" s="1655"/>
      <c r="DZ429" s="1655"/>
      <c r="EA429" s="1655"/>
      <c r="EB429" s="1655"/>
      <c r="EC429" s="1655"/>
      <c r="ED429" s="1655"/>
      <c r="EE429" s="1655"/>
      <c r="EF429" s="1655"/>
      <c r="EG429" s="1655"/>
      <c r="EH429" s="1655"/>
      <c r="EI429" s="1655"/>
      <c r="EJ429" s="1655"/>
      <c r="EK429" s="1655"/>
      <c r="EL429" s="1655"/>
      <c r="EM429" s="1655"/>
      <c r="EN429" s="1655"/>
      <c r="EO429" s="1655"/>
      <c r="EP429" s="1655"/>
      <c r="EQ429" s="1655"/>
      <c r="ER429" s="1655"/>
      <c r="ES429" s="1655"/>
      <c r="ET429" s="1655"/>
      <c r="EU429" s="1655"/>
      <c r="EV429" s="1655"/>
      <c r="EW429" s="1655"/>
      <c r="EX429" s="1655"/>
      <c r="EY429" s="1655"/>
      <c r="EZ429" s="1655"/>
      <c r="FA429" s="1655"/>
      <c r="FB429" s="1655"/>
      <c r="FC429" s="1655"/>
      <c r="FD429" s="1655"/>
      <c r="FE429" s="1655"/>
      <c r="FF429" s="1655"/>
      <c r="FG429" s="1655"/>
      <c r="FH429" s="1655"/>
      <c r="FI429" s="1655"/>
    </row>
    <row r="430" spans="1:165">
      <c r="A430" s="1655"/>
      <c r="B430" s="1655"/>
      <c r="C430" s="1655"/>
      <c r="D430" s="1655"/>
      <c r="E430" s="1655"/>
      <c r="F430" s="1655"/>
      <c r="G430" s="1655"/>
      <c r="H430" s="1655"/>
      <c r="I430" s="1655"/>
      <c r="J430" s="1655"/>
      <c r="K430" s="1655"/>
      <c r="L430" s="1655"/>
      <c r="M430" s="1655"/>
      <c r="N430" s="1655"/>
      <c r="O430" s="1655"/>
      <c r="P430" s="1655"/>
      <c r="Q430" s="1655"/>
      <c r="R430" s="1655"/>
      <c r="S430" s="1655"/>
      <c r="T430" s="1655"/>
      <c r="U430" s="1655"/>
      <c r="V430" s="1655"/>
      <c r="W430" s="1655"/>
      <c r="X430" s="1655"/>
      <c r="Y430" s="1655"/>
      <c r="Z430" s="1655"/>
      <c r="AA430" s="1655"/>
      <c r="AB430" s="1655"/>
      <c r="AC430" s="1655"/>
      <c r="AD430" s="1655"/>
      <c r="AE430" s="1655"/>
      <c r="AF430" s="1655"/>
      <c r="AG430" s="1655"/>
      <c r="AH430" s="1655"/>
      <c r="AI430" s="1655"/>
      <c r="AJ430" s="1655"/>
      <c r="AK430" s="1655"/>
      <c r="AL430" s="1655"/>
      <c r="AM430" s="1655"/>
      <c r="AN430" s="1655"/>
      <c r="AO430" s="1655"/>
      <c r="AP430" s="1655"/>
      <c r="AQ430" s="1655"/>
      <c r="AR430" s="1655"/>
      <c r="AS430" s="1655"/>
      <c r="AT430" s="1655"/>
      <c r="AU430" s="1655"/>
      <c r="AV430" s="1655"/>
      <c r="AW430" s="1655"/>
      <c r="AX430" s="1655"/>
      <c r="AY430" s="1655"/>
      <c r="AZ430" s="1655"/>
      <c r="BA430" s="1655"/>
      <c r="BB430" s="1655"/>
      <c r="BC430" s="1655"/>
      <c r="BD430" s="1655"/>
      <c r="BE430" s="1655"/>
      <c r="BF430" s="1655"/>
      <c r="BG430" s="1655"/>
      <c r="BH430" s="1655"/>
      <c r="BI430" s="1655"/>
      <c r="BJ430" s="1655"/>
      <c r="BK430" s="1655"/>
      <c r="BL430" s="1655"/>
      <c r="BM430" s="1655"/>
      <c r="BN430" s="1655"/>
      <c r="BO430" s="1655"/>
      <c r="BP430" s="1655"/>
      <c r="BQ430" s="1655"/>
      <c r="BR430" s="1655"/>
      <c r="BS430" s="1655"/>
      <c r="BT430" s="1655"/>
      <c r="BU430" s="1655"/>
      <c r="BV430" s="1655"/>
      <c r="BW430" s="1655"/>
      <c r="BX430" s="1655"/>
      <c r="BY430" s="1655"/>
      <c r="BZ430" s="1655"/>
      <c r="CA430" s="1655"/>
      <c r="CB430" s="1655"/>
      <c r="CC430" s="1655"/>
      <c r="CD430" s="1655"/>
      <c r="CE430" s="1655"/>
      <c r="CF430" s="1655"/>
      <c r="CG430" s="1655"/>
      <c r="CH430" s="1655"/>
      <c r="CI430" s="1655"/>
      <c r="CJ430" s="1655"/>
      <c r="CK430" s="1655"/>
      <c r="CL430" s="1655"/>
      <c r="CM430" s="1655"/>
      <c r="CN430" s="1655"/>
      <c r="CO430" s="1655"/>
      <c r="CP430" s="1655"/>
      <c r="CQ430" s="1655"/>
      <c r="CR430" s="1655"/>
      <c r="CS430" s="1655"/>
      <c r="CT430" s="1655"/>
      <c r="CU430" s="1655"/>
      <c r="CV430" s="1655"/>
      <c r="CW430" s="1655"/>
      <c r="CX430" s="1655"/>
      <c r="CY430" s="1655"/>
      <c r="CZ430" s="1655"/>
      <c r="DA430" s="1655"/>
      <c r="DB430" s="1655"/>
      <c r="DC430" s="1655"/>
      <c r="DD430" s="1655"/>
      <c r="DE430" s="1655"/>
      <c r="DF430" s="1655"/>
      <c r="DG430" s="1655"/>
      <c r="DH430" s="1655"/>
      <c r="DI430" s="1655"/>
      <c r="DJ430" s="1655"/>
      <c r="DK430" s="1655"/>
      <c r="DL430" s="1655"/>
      <c r="DM430" s="1655"/>
      <c r="DN430" s="1655"/>
      <c r="DO430" s="1655"/>
      <c r="DP430" s="1655"/>
      <c r="DQ430" s="1655"/>
      <c r="DR430" s="1655"/>
      <c r="DS430" s="1655"/>
      <c r="DT430" s="1655"/>
      <c r="DU430" s="1655"/>
      <c r="DV430" s="1655"/>
      <c r="DW430" s="1655"/>
      <c r="DX430" s="1655"/>
      <c r="DY430" s="1655"/>
      <c r="DZ430" s="1655"/>
      <c r="EA430" s="1655"/>
      <c r="EB430" s="1655"/>
      <c r="EC430" s="1655"/>
      <c r="ED430" s="1655"/>
      <c r="EE430" s="1655"/>
      <c r="EF430" s="1655"/>
      <c r="EG430" s="1655"/>
      <c r="EH430" s="1655"/>
      <c r="EI430" s="1655"/>
      <c r="EJ430" s="1655"/>
      <c r="EK430" s="1655"/>
      <c r="EL430" s="1655"/>
      <c r="EM430" s="1655"/>
      <c r="EN430" s="1655"/>
      <c r="EO430" s="1655"/>
      <c r="EP430" s="1655"/>
      <c r="EQ430" s="1655"/>
      <c r="ER430" s="1655"/>
      <c r="ES430" s="1655"/>
      <c r="ET430" s="1655"/>
      <c r="EU430" s="1655"/>
      <c r="EV430" s="1655"/>
      <c r="EW430" s="1655"/>
      <c r="EX430" s="1655"/>
      <c r="EY430" s="1655"/>
      <c r="EZ430" s="1655"/>
      <c r="FA430" s="1655"/>
      <c r="FB430" s="1655"/>
      <c r="FC430" s="1655"/>
      <c r="FD430" s="1655"/>
      <c r="FE430" s="1655"/>
      <c r="FF430" s="1655"/>
      <c r="FG430" s="1655"/>
      <c r="FH430" s="1655"/>
      <c r="FI430" s="1655"/>
    </row>
    <row r="431" spans="1:165">
      <c r="A431" s="1655"/>
      <c r="B431" s="1655"/>
      <c r="C431" s="1655"/>
      <c r="D431" s="1655"/>
      <c r="E431" s="1655"/>
      <c r="F431" s="1655"/>
      <c r="G431" s="1655"/>
      <c r="H431" s="1655"/>
      <c r="I431" s="1655"/>
      <c r="J431" s="1655"/>
      <c r="K431" s="1655"/>
      <c r="L431" s="1655"/>
      <c r="M431" s="1655"/>
      <c r="N431" s="1655"/>
      <c r="O431" s="1655"/>
      <c r="P431" s="1655"/>
      <c r="Q431" s="1655"/>
      <c r="R431" s="1655"/>
      <c r="S431" s="1655"/>
      <c r="T431" s="1655"/>
      <c r="U431" s="1655"/>
      <c r="V431" s="1655"/>
      <c r="W431" s="1655"/>
      <c r="X431" s="1655"/>
      <c r="Y431" s="1655"/>
      <c r="Z431" s="1655"/>
      <c r="AA431" s="1655"/>
      <c r="AB431" s="1655"/>
      <c r="AC431" s="1655"/>
      <c r="AD431" s="1655"/>
      <c r="AE431" s="1655"/>
      <c r="AF431" s="1655"/>
      <c r="AG431" s="1655"/>
      <c r="AH431" s="1655"/>
      <c r="AI431" s="1655"/>
      <c r="AJ431" s="1655"/>
      <c r="AK431" s="1655"/>
      <c r="AL431" s="1655"/>
      <c r="AM431" s="1655"/>
      <c r="AN431" s="1655"/>
      <c r="AO431" s="1655"/>
      <c r="AP431" s="1655"/>
      <c r="AQ431" s="1655"/>
      <c r="AR431" s="1655"/>
      <c r="AS431" s="1655"/>
      <c r="AT431" s="1655"/>
      <c r="AU431" s="1655"/>
      <c r="AV431" s="1655"/>
      <c r="AW431" s="1655"/>
      <c r="AX431" s="1655"/>
      <c r="AY431" s="1655"/>
      <c r="AZ431" s="1655"/>
      <c r="BA431" s="1655"/>
      <c r="BB431" s="1655"/>
      <c r="BC431" s="1655"/>
      <c r="BD431" s="1655"/>
      <c r="BE431" s="1655"/>
      <c r="BF431" s="1655"/>
      <c r="BG431" s="1655"/>
      <c r="BH431" s="1655"/>
      <c r="BI431" s="1655"/>
      <c r="BJ431" s="1655"/>
      <c r="BK431" s="1655"/>
      <c r="BL431" s="1655"/>
      <c r="BM431" s="1655"/>
      <c r="BN431" s="1655"/>
      <c r="BO431" s="1655"/>
      <c r="BP431" s="1655"/>
      <c r="BQ431" s="1655"/>
      <c r="BR431" s="1655"/>
      <c r="BS431" s="1655"/>
      <c r="BT431" s="1655"/>
      <c r="BU431" s="1655"/>
      <c r="BV431" s="1655"/>
      <c r="BW431" s="1655"/>
      <c r="BX431" s="1655"/>
      <c r="BY431" s="1655"/>
      <c r="BZ431" s="1655"/>
      <c r="CA431" s="1655"/>
      <c r="CB431" s="1655"/>
      <c r="CC431" s="1655"/>
      <c r="CD431" s="1655"/>
      <c r="CE431" s="1655"/>
      <c r="CF431" s="1655"/>
      <c r="CG431" s="1655"/>
      <c r="CH431" s="1655"/>
      <c r="CI431" s="1655"/>
      <c r="CJ431" s="1655"/>
      <c r="CK431" s="1655"/>
      <c r="CL431" s="1655"/>
      <c r="CM431" s="1655"/>
      <c r="CN431" s="1655"/>
      <c r="CO431" s="1655"/>
      <c r="CP431" s="1655"/>
      <c r="CQ431" s="1655"/>
      <c r="CR431" s="1655"/>
      <c r="CS431" s="1655"/>
      <c r="CT431" s="1655"/>
      <c r="CU431" s="1655"/>
      <c r="CV431" s="1655"/>
      <c r="CW431" s="1655"/>
      <c r="CX431" s="1655"/>
      <c r="CY431" s="1655"/>
      <c r="CZ431" s="1655"/>
      <c r="DA431" s="1655"/>
      <c r="DB431" s="1655"/>
      <c r="DC431" s="1655"/>
      <c r="DD431" s="1655"/>
      <c r="DE431" s="1655"/>
      <c r="DF431" s="1655"/>
      <c r="DG431" s="1655"/>
      <c r="DH431" s="1655"/>
      <c r="DI431" s="1655"/>
      <c r="DJ431" s="1655"/>
      <c r="DK431" s="1655"/>
      <c r="DL431" s="1655"/>
      <c r="DM431" s="1655"/>
      <c r="DN431" s="1655"/>
      <c r="DO431" s="1655"/>
      <c r="DP431" s="1655"/>
      <c r="DQ431" s="1655"/>
      <c r="DR431" s="1655"/>
      <c r="DS431" s="1655"/>
      <c r="DT431" s="1655"/>
      <c r="DU431" s="1655"/>
      <c r="DV431" s="1655"/>
      <c r="DW431" s="1655"/>
      <c r="DX431" s="1655"/>
      <c r="DY431" s="1655"/>
      <c r="DZ431" s="1655"/>
      <c r="EA431" s="1655"/>
      <c r="EB431" s="1655"/>
      <c r="EC431" s="1655"/>
      <c r="ED431" s="1655"/>
      <c r="EE431" s="1655"/>
      <c r="EF431" s="1655"/>
      <c r="EG431" s="1655"/>
      <c r="EH431" s="1655"/>
      <c r="EI431" s="1655"/>
      <c r="EJ431" s="1655"/>
      <c r="EK431" s="1655"/>
      <c r="EL431" s="1655"/>
      <c r="EM431" s="1655"/>
      <c r="EN431" s="1655"/>
      <c r="EO431" s="1655"/>
      <c r="EP431" s="1655"/>
      <c r="EQ431" s="1655"/>
      <c r="ER431" s="1655"/>
      <c r="ES431" s="1655"/>
      <c r="ET431" s="1655"/>
      <c r="EU431" s="1655"/>
      <c r="EV431" s="1655"/>
      <c r="EW431" s="1655"/>
      <c r="EX431" s="1655"/>
      <c r="EY431" s="1655"/>
      <c r="EZ431" s="1655"/>
      <c r="FA431" s="1655"/>
      <c r="FB431" s="1655"/>
      <c r="FC431" s="1655"/>
      <c r="FD431" s="1655"/>
      <c r="FE431" s="1655"/>
      <c r="FF431" s="1655"/>
      <c r="FG431" s="1655"/>
      <c r="FH431" s="1655"/>
      <c r="FI431" s="1655"/>
    </row>
    <row r="432" spans="1:165">
      <c r="A432" s="1655"/>
      <c r="B432" s="1655"/>
      <c r="C432" s="1655"/>
      <c r="D432" s="1655"/>
      <c r="E432" s="1655"/>
      <c r="F432" s="1655"/>
      <c r="G432" s="1655"/>
      <c r="H432" s="1655"/>
      <c r="I432" s="1655"/>
      <c r="J432" s="1655"/>
      <c r="K432" s="1655"/>
      <c r="L432" s="1655"/>
      <c r="M432" s="1655"/>
      <c r="N432" s="1655"/>
      <c r="O432" s="1655"/>
      <c r="P432" s="1655"/>
      <c r="Q432" s="1655"/>
      <c r="R432" s="1655"/>
      <c r="S432" s="1655"/>
      <c r="T432" s="1655"/>
      <c r="U432" s="1655"/>
      <c r="V432" s="1655"/>
      <c r="W432" s="1655"/>
      <c r="X432" s="1655"/>
      <c r="Y432" s="1655"/>
      <c r="Z432" s="1655"/>
      <c r="AA432" s="1655"/>
      <c r="AB432" s="1655"/>
      <c r="AC432" s="1655"/>
      <c r="AD432" s="1655"/>
      <c r="AE432" s="1655"/>
      <c r="AF432" s="1655"/>
      <c r="AG432" s="1655"/>
      <c r="AH432" s="1655"/>
      <c r="AI432" s="1655"/>
      <c r="AJ432" s="1655"/>
      <c r="AK432" s="1655"/>
      <c r="AL432" s="1655"/>
      <c r="AM432" s="1655"/>
      <c r="AN432" s="1655"/>
      <c r="AO432" s="1655"/>
      <c r="AP432" s="1655"/>
      <c r="AQ432" s="1655"/>
      <c r="AR432" s="1655"/>
      <c r="AS432" s="1655"/>
      <c r="AT432" s="1655"/>
      <c r="AU432" s="1655"/>
      <c r="AV432" s="1655"/>
      <c r="AW432" s="1655"/>
      <c r="AX432" s="1655"/>
      <c r="AY432" s="1655"/>
      <c r="AZ432" s="1655"/>
      <c r="BA432" s="1655"/>
      <c r="BB432" s="1655"/>
      <c r="BC432" s="1655"/>
      <c r="BD432" s="1655"/>
      <c r="BE432" s="1655"/>
      <c r="BF432" s="1655"/>
      <c r="BG432" s="1655"/>
      <c r="BH432" s="1655"/>
      <c r="BI432" s="1655"/>
      <c r="BJ432" s="1655"/>
      <c r="BK432" s="1655"/>
      <c r="BL432" s="1655"/>
      <c r="BM432" s="1655"/>
      <c r="BN432" s="1655"/>
      <c r="BO432" s="1655"/>
      <c r="BP432" s="1655"/>
      <c r="BQ432" s="1655"/>
      <c r="BR432" s="1655"/>
      <c r="BS432" s="1655"/>
      <c r="BT432" s="1655"/>
      <c r="BU432" s="1655"/>
      <c r="BV432" s="1655"/>
      <c r="BW432" s="1655"/>
      <c r="BX432" s="1655"/>
      <c r="BY432" s="1655"/>
      <c r="BZ432" s="1655"/>
      <c r="CA432" s="1655"/>
      <c r="CB432" s="1655"/>
      <c r="CC432" s="1655"/>
      <c r="CD432" s="1655"/>
      <c r="CE432" s="1655"/>
      <c r="CF432" s="1655"/>
      <c r="CG432" s="1655"/>
      <c r="CH432" s="1655"/>
      <c r="CI432" s="1655"/>
      <c r="CJ432" s="1655"/>
      <c r="CK432" s="1655"/>
      <c r="CL432" s="1655"/>
      <c r="CM432" s="1655"/>
      <c r="CN432" s="1655"/>
      <c r="CO432" s="1655"/>
      <c r="CP432" s="1655"/>
      <c r="CQ432" s="1655"/>
      <c r="CR432" s="1655"/>
      <c r="CS432" s="1655"/>
      <c r="CT432" s="1655"/>
      <c r="CU432" s="1655"/>
      <c r="CV432" s="1655"/>
      <c r="CW432" s="1655"/>
      <c r="CX432" s="1655"/>
      <c r="CY432" s="1655"/>
      <c r="CZ432" s="1655"/>
      <c r="DA432" s="1655"/>
      <c r="DB432" s="1655"/>
      <c r="DC432" s="1655"/>
      <c r="DD432" s="1655"/>
      <c r="DE432" s="1655"/>
      <c r="DF432" s="1655"/>
      <c r="DG432" s="1655"/>
      <c r="DH432" s="1655"/>
      <c r="DI432" s="1655"/>
      <c r="DJ432" s="1655"/>
      <c r="DK432" s="1655"/>
      <c r="DL432" s="1655"/>
      <c r="DM432" s="1655"/>
      <c r="DN432" s="1655"/>
      <c r="DO432" s="1655"/>
      <c r="DP432" s="1655"/>
      <c r="DQ432" s="1655"/>
      <c r="DR432" s="1655"/>
      <c r="DS432" s="1655"/>
      <c r="DT432" s="1655"/>
      <c r="DU432" s="1655"/>
      <c r="DV432" s="1655"/>
      <c r="DW432" s="1655"/>
      <c r="DX432" s="1655"/>
      <c r="DY432" s="1655"/>
      <c r="DZ432" s="1655"/>
      <c r="EA432" s="1655"/>
      <c r="EB432" s="1655"/>
      <c r="EC432" s="1655"/>
      <c r="ED432" s="1655"/>
      <c r="EE432" s="1655"/>
      <c r="EF432" s="1655"/>
      <c r="EG432" s="1655"/>
      <c r="EH432" s="1655"/>
      <c r="EI432" s="1655"/>
      <c r="EJ432" s="1655"/>
      <c r="EK432" s="1655"/>
      <c r="EL432" s="1655"/>
      <c r="EM432" s="1655"/>
      <c r="EN432" s="1655"/>
      <c r="EO432" s="1655"/>
      <c r="EP432" s="1655"/>
      <c r="EQ432" s="1655"/>
      <c r="ER432" s="1655"/>
      <c r="ES432" s="1655"/>
      <c r="ET432" s="1655"/>
      <c r="EU432" s="1655"/>
      <c r="EV432" s="1655"/>
      <c r="EW432" s="1655"/>
      <c r="EX432" s="1655"/>
      <c r="EY432" s="1655"/>
      <c r="EZ432" s="1655"/>
      <c r="FA432" s="1655"/>
      <c r="FB432" s="1655"/>
      <c r="FC432" s="1655"/>
      <c r="FD432" s="1655"/>
      <c r="FE432" s="1655"/>
      <c r="FF432" s="1655"/>
      <c r="FG432" s="1655"/>
      <c r="FH432" s="1655"/>
      <c r="FI432" s="1655"/>
    </row>
    <row r="433" spans="1:165">
      <c r="A433" s="1655"/>
      <c r="B433" s="1655"/>
      <c r="C433" s="1655"/>
      <c r="D433" s="1655"/>
      <c r="E433" s="1655"/>
      <c r="F433" s="1655"/>
      <c r="G433" s="1655"/>
      <c r="H433" s="1655"/>
      <c r="I433" s="1655"/>
      <c r="J433" s="1655"/>
      <c r="K433" s="1655"/>
      <c r="L433" s="1655"/>
      <c r="M433" s="1655"/>
      <c r="N433" s="1655"/>
      <c r="O433" s="1655"/>
      <c r="P433" s="1655"/>
      <c r="Q433" s="1655"/>
      <c r="R433" s="1655"/>
      <c r="S433" s="1655"/>
      <c r="T433" s="1655"/>
      <c r="U433" s="1655"/>
      <c r="V433" s="1655"/>
      <c r="W433" s="1655"/>
      <c r="X433" s="1655"/>
      <c r="Y433" s="1655"/>
      <c r="Z433" s="1655"/>
      <c r="AA433" s="1655"/>
      <c r="AB433" s="1655"/>
      <c r="AC433" s="1655"/>
      <c r="AD433" s="1655"/>
      <c r="AE433" s="1655"/>
      <c r="AF433" s="1655"/>
      <c r="AG433" s="1655"/>
      <c r="AH433" s="1655"/>
      <c r="AI433" s="1655"/>
      <c r="AJ433" s="1655"/>
      <c r="AK433" s="1655"/>
      <c r="AL433" s="1655"/>
      <c r="AM433" s="1655"/>
      <c r="AN433" s="1655"/>
      <c r="AO433" s="1655"/>
      <c r="AP433" s="1655"/>
      <c r="AQ433" s="1655"/>
      <c r="AR433" s="1655"/>
      <c r="AS433" s="1655"/>
      <c r="AT433" s="1655"/>
      <c r="AU433" s="1655"/>
      <c r="AV433" s="1655"/>
      <c r="AW433" s="1655"/>
      <c r="AX433" s="1655"/>
      <c r="AY433" s="1655"/>
      <c r="AZ433" s="1655"/>
      <c r="BA433" s="1655"/>
      <c r="BB433" s="1655"/>
      <c r="BC433" s="1655"/>
      <c r="BD433" s="1655"/>
      <c r="BE433" s="1655"/>
      <c r="BF433" s="1655"/>
      <c r="BG433" s="1655"/>
      <c r="BH433" s="1655"/>
      <c r="BI433" s="1655"/>
      <c r="BJ433" s="1655"/>
      <c r="BK433" s="1655"/>
      <c r="BL433" s="1655"/>
      <c r="BM433" s="1655"/>
      <c r="BN433" s="1655"/>
      <c r="BO433" s="1655"/>
      <c r="BP433" s="1655"/>
      <c r="BQ433" s="1655"/>
      <c r="BR433" s="1655"/>
      <c r="BS433" s="1655"/>
      <c r="BT433" s="1655"/>
      <c r="BU433" s="1655"/>
      <c r="BV433" s="1655"/>
      <c r="BW433" s="1655"/>
      <c r="BX433" s="1655"/>
      <c r="BY433" s="1655"/>
      <c r="BZ433" s="1655"/>
      <c r="CA433" s="1655"/>
      <c r="CB433" s="1655"/>
      <c r="CC433" s="1655"/>
      <c r="CD433" s="1655"/>
      <c r="CE433" s="1655"/>
      <c r="CF433" s="1655"/>
      <c r="CG433" s="1655"/>
      <c r="CH433" s="1655"/>
      <c r="CI433" s="1655"/>
      <c r="CJ433" s="1655"/>
      <c r="CK433" s="1655"/>
      <c r="CL433" s="1655"/>
      <c r="CM433" s="1655"/>
      <c r="CN433" s="1655"/>
      <c r="CO433" s="1655"/>
      <c r="CP433" s="1655"/>
      <c r="CQ433" s="1655"/>
      <c r="CR433" s="1655"/>
      <c r="CS433" s="1655"/>
      <c r="CT433" s="1655"/>
      <c r="CU433" s="1655"/>
      <c r="CV433" s="1655"/>
      <c r="CW433" s="1655"/>
      <c r="CX433" s="1655"/>
      <c r="CY433" s="1655"/>
      <c r="CZ433" s="1655"/>
      <c r="DA433" s="1655"/>
      <c r="DB433" s="1655"/>
      <c r="DC433" s="1655"/>
      <c r="DD433" s="1655"/>
      <c r="DE433" s="1655"/>
      <c r="DF433" s="1655"/>
      <c r="DG433" s="1655"/>
      <c r="DH433" s="1655"/>
      <c r="DI433" s="1655"/>
      <c r="DJ433" s="1655"/>
      <c r="DK433" s="1655"/>
      <c r="DL433" s="1655"/>
      <c r="DM433" s="1655"/>
      <c r="DN433" s="1655"/>
      <c r="DO433" s="1655"/>
      <c r="DP433" s="1655"/>
      <c r="DQ433" s="1655"/>
      <c r="DR433" s="1655"/>
      <c r="DS433" s="1655"/>
      <c r="DT433" s="1655"/>
      <c r="DU433" s="1655"/>
      <c r="DV433" s="1655"/>
      <c r="DW433" s="1655"/>
      <c r="DX433" s="1655"/>
      <c r="DY433" s="1655"/>
      <c r="DZ433" s="1655"/>
      <c r="EA433" s="1655"/>
      <c r="EB433" s="1655"/>
      <c r="EC433" s="1655"/>
      <c r="ED433" s="1655"/>
      <c r="EE433" s="1655"/>
      <c r="EF433" s="1655"/>
      <c r="EG433" s="1655"/>
      <c r="EH433" s="1655"/>
      <c r="EI433" s="1655"/>
      <c r="EJ433" s="1655"/>
      <c r="EK433" s="1655"/>
      <c r="EL433" s="1655"/>
      <c r="EM433" s="1655"/>
      <c r="EN433" s="1655"/>
      <c r="EO433" s="1655"/>
      <c r="EP433" s="1655"/>
      <c r="EQ433" s="1655"/>
      <c r="ER433" s="1655"/>
      <c r="ES433" s="1655"/>
      <c r="ET433" s="1655"/>
      <c r="EU433" s="1655"/>
      <c r="EV433" s="1655"/>
      <c r="EW433" s="1655"/>
      <c r="EX433" s="1655"/>
      <c r="EY433" s="1655"/>
      <c r="EZ433" s="1655"/>
      <c r="FA433" s="1655"/>
      <c r="FB433" s="1655"/>
      <c r="FC433" s="1655"/>
      <c r="FD433" s="1655"/>
      <c r="FE433" s="1655"/>
      <c r="FF433" s="1655"/>
      <c r="FG433" s="1655"/>
      <c r="FH433" s="1655"/>
      <c r="FI433" s="1655"/>
    </row>
    <row r="434" spans="1:165">
      <c r="A434" s="1655"/>
      <c r="B434" s="1655"/>
      <c r="C434" s="1655"/>
      <c r="D434" s="1655"/>
      <c r="E434" s="1655"/>
      <c r="F434" s="1655"/>
      <c r="G434" s="1655"/>
      <c r="H434" s="1655"/>
      <c r="I434" s="1655"/>
      <c r="J434" s="1655"/>
      <c r="K434" s="1655"/>
      <c r="L434" s="1655"/>
      <c r="M434" s="1655"/>
      <c r="N434" s="1655"/>
      <c r="O434" s="1655"/>
      <c r="P434" s="1655"/>
      <c r="Q434" s="1655"/>
      <c r="R434" s="1655"/>
      <c r="S434" s="1655"/>
      <c r="T434" s="1655"/>
      <c r="U434" s="1655"/>
      <c r="V434" s="1655"/>
      <c r="W434" s="1655"/>
      <c r="X434" s="1655"/>
      <c r="Y434" s="1655"/>
      <c r="Z434" s="1655"/>
      <c r="AA434" s="1655"/>
      <c r="AB434" s="1655"/>
      <c r="AC434" s="1655"/>
      <c r="AD434" s="1655"/>
      <c r="AE434" s="1655"/>
      <c r="AF434" s="1655"/>
      <c r="AG434" s="1655"/>
      <c r="AH434" s="1655"/>
      <c r="AI434" s="1655"/>
      <c r="AJ434" s="1655"/>
      <c r="AK434" s="1655"/>
      <c r="AL434" s="1655"/>
      <c r="AM434" s="1655"/>
      <c r="AN434" s="1655"/>
      <c r="AO434" s="1655"/>
      <c r="AP434" s="1655"/>
      <c r="AQ434" s="1655"/>
      <c r="AR434" s="1655"/>
      <c r="AS434" s="1655"/>
      <c r="AT434" s="1655"/>
      <c r="AU434" s="1655"/>
      <c r="AV434" s="1655"/>
      <c r="AW434" s="1655"/>
      <c r="AX434" s="1655"/>
      <c r="AY434" s="1655"/>
      <c r="AZ434" s="1655"/>
      <c r="BA434" s="1655"/>
      <c r="BB434" s="1655"/>
      <c r="BC434" s="1655"/>
      <c r="BD434" s="1655"/>
      <c r="BE434" s="1655"/>
      <c r="BF434" s="1655"/>
      <c r="BG434" s="1655"/>
      <c r="BH434" s="1655"/>
      <c r="BI434" s="1655"/>
      <c r="BJ434" s="1655"/>
      <c r="BK434" s="1655"/>
      <c r="BL434" s="1655"/>
      <c r="BM434" s="1655"/>
      <c r="BN434" s="1655"/>
      <c r="BO434" s="1655"/>
      <c r="BP434" s="1655"/>
      <c r="BQ434" s="1655"/>
      <c r="BR434" s="1655"/>
      <c r="BS434" s="1655"/>
      <c r="BT434" s="1655"/>
      <c r="BU434" s="1655"/>
      <c r="BV434" s="1655"/>
      <c r="BW434" s="1655"/>
      <c r="BX434" s="1655"/>
      <c r="BY434" s="1655"/>
      <c r="BZ434" s="1655"/>
      <c r="CA434" s="1655"/>
      <c r="CB434" s="1655"/>
      <c r="CC434" s="1655"/>
      <c r="CD434" s="1655"/>
      <c r="CE434" s="1655"/>
      <c r="CF434" s="1655"/>
      <c r="CG434" s="1655"/>
      <c r="CH434" s="1655"/>
      <c r="CI434" s="1655"/>
      <c r="CJ434" s="1655"/>
      <c r="CK434" s="1655"/>
      <c r="CL434" s="1655"/>
      <c r="CM434" s="1655"/>
      <c r="CN434" s="1655"/>
      <c r="CO434" s="1655"/>
      <c r="CP434" s="1655"/>
      <c r="CQ434" s="1655"/>
      <c r="CR434" s="1655"/>
      <c r="CS434" s="1655"/>
      <c r="CT434" s="1655"/>
      <c r="CU434" s="1655"/>
      <c r="CV434" s="1655"/>
      <c r="CW434" s="1655"/>
      <c r="CX434" s="1655"/>
      <c r="CY434" s="1655"/>
      <c r="CZ434" s="1655"/>
      <c r="DA434" s="1655"/>
      <c r="DB434" s="1655"/>
      <c r="DC434" s="1655"/>
      <c r="DD434" s="1655"/>
      <c r="DE434" s="1655"/>
      <c r="DF434" s="1655"/>
      <c r="DG434" s="1655"/>
      <c r="DH434" s="1655"/>
      <c r="DI434" s="1655"/>
      <c r="DJ434" s="1655"/>
      <c r="DK434" s="1655"/>
      <c r="DL434" s="1655"/>
      <c r="DM434" s="1655"/>
      <c r="DN434" s="1655"/>
      <c r="DO434" s="1655"/>
      <c r="DP434" s="1655"/>
      <c r="DQ434" s="1655"/>
      <c r="DR434" s="1655"/>
      <c r="DS434" s="1655"/>
      <c r="DT434" s="1655"/>
      <c r="DU434" s="1655"/>
      <c r="DV434" s="1655"/>
      <c r="DW434" s="1655"/>
      <c r="DX434" s="1655"/>
      <c r="DY434" s="1655"/>
      <c r="DZ434" s="1655"/>
      <c r="EA434" s="1655"/>
      <c r="EB434" s="1655"/>
      <c r="EC434" s="1655"/>
      <c r="ED434" s="1655"/>
      <c r="EE434" s="1655"/>
      <c r="EF434" s="1655"/>
      <c r="EG434" s="1655"/>
      <c r="EH434" s="1655"/>
      <c r="EI434" s="1655"/>
      <c r="EJ434" s="1655"/>
      <c r="EK434" s="1655"/>
      <c r="EL434" s="1655"/>
      <c r="EM434" s="1655"/>
      <c r="EN434" s="1655"/>
      <c r="EO434" s="1655"/>
      <c r="EP434" s="1655"/>
      <c r="EQ434" s="1655"/>
      <c r="ER434" s="1655"/>
      <c r="ES434" s="1655"/>
      <c r="ET434" s="1655"/>
      <c r="EU434" s="1655"/>
      <c r="EV434" s="1655"/>
      <c r="EW434" s="1655"/>
      <c r="EX434" s="1655"/>
      <c r="EY434" s="1655"/>
      <c r="EZ434" s="1655"/>
      <c r="FA434" s="1655"/>
      <c r="FB434" s="1655"/>
      <c r="FC434" s="1655"/>
      <c r="FD434" s="1655"/>
      <c r="FE434" s="1655"/>
      <c r="FF434" s="1655"/>
      <c r="FG434" s="1655"/>
      <c r="FH434" s="1655"/>
      <c r="FI434" s="1655"/>
    </row>
    <row r="435" spans="1:165">
      <c r="A435" s="1655"/>
      <c r="B435" s="1655"/>
      <c r="C435" s="1655"/>
      <c r="D435" s="1655"/>
      <c r="E435" s="1655"/>
      <c r="F435" s="1655"/>
      <c r="G435" s="1655"/>
      <c r="H435" s="1655"/>
      <c r="I435" s="1655"/>
      <c r="J435" s="1655"/>
      <c r="K435" s="1655"/>
      <c r="L435" s="1655"/>
      <c r="M435" s="1655"/>
      <c r="N435" s="1655"/>
      <c r="O435" s="1655"/>
      <c r="P435" s="1655"/>
      <c r="Q435" s="1655"/>
      <c r="R435" s="1655"/>
      <c r="S435" s="1655"/>
      <c r="T435" s="1655"/>
      <c r="U435" s="1655"/>
      <c r="V435" s="1655"/>
      <c r="W435" s="1655"/>
      <c r="X435" s="1655"/>
      <c r="Y435" s="1655"/>
      <c r="Z435" s="1655"/>
      <c r="AA435" s="1655"/>
      <c r="AB435" s="1655"/>
      <c r="AC435" s="1655"/>
      <c r="AD435" s="1655"/>
      <c r="AE435" s="1655"/>
      <c r="AF435" s="1655"/>
      <c r="AG435" s="1655"/>
      <c r="AH435" s="1655"/>
      <c r="AI435" s="1655"/>
      <c r="AJ435" s="1655"/>
      <c r="AK435" s="1655"/>
      <c r="AL435" s="1655"/>
      <c r="AM435" s="1655"/>
      <c r="AN435" s="1655"/>
      <c r="AO435" s="1655"/>
      <c r="AP435" s="1655"/>
      <c r="AQ435" s="1655"/>
      <c r="AR435" s="1655"/>
      <c r="AS435" s="1655"/>
      <c r="AT435" s="1655"/>
      <c r="AU435" s="1655"/>
      <c r="AV435" s="1655"/>
      <c r="AW435" s="1655"/>
      <c r="AX435" s="1655"/>
      <c r="AY435" s="1655"/>
      <c r="AZ435" s="1655"/>
      <c r="BA435" s="1655"/>
      <c r="BB435" s="1655"/>
      <c r="BC435" s="1655"/>
      <c r="BD435" s="1655"/>
      <c r="BE435" s="1655"/>
      <c r="BF435" s="1655"/>
      <c r="BG435" s="1655"/>
      <c r="BH435" s="1655"/>
      <c r="BI435" s="1655"/>
      <c r="BJ435" s="1655"/>
      <c r="BK435" s="1655"/>
      <c r="BL435" s="1655"/>
      <c r="BM435" s="1655"/>
      <c r="BN435" s="1655"/>
      <c r="BO435" s="1655"/>
      <c r="BP435" s="1655"/>
      <c r="BQ435" s="1655"/>
      <c r="BR435" s="1655"/>
      <c r="BS435" s="1655"/>
      <c r="BT435" s="1655"/>
      <c r="BU435" s="1655"/>
      <c r="BV435" s="1655"/>
      <c r="BW435" s="1655"/>
      <c r="BX435" s="1655"/>
      <c r="BY435" s="1655"/>
      <c r="BZ435" s="1655"/>
      <c r="CA435" s="1655"/>
      <c r="CB435" s="1655"/>
      <c r="CC435" s="1655"/>
      <c r="CD435" s="1655"/>
      <c r="CE435" s="1655"/>
      <c r="CF435" s="1655"/>
      <c r="CG435" s="1655"/>
      <c r="CH435" s="1655"/>
      <c r="CI435" s="1655"/>
      <c r="CJ435" s="1655"/>
      <c r="CK435" s="1655"/>
      <c r="CL435" s="1655"/>
      <c r="CM435" s="1655"/>
      <c r="CN435" s="1655"/>
      <c r="CO435" s="1655"/>
      <c r="CP435" s="1655"/>
      <c r="CQ435" s="1655"/>
      <c r="CR435" s="1655"/>
      <c r="CS435" s="1655"/>
      <c r="CT435" s="1655"/>
      <c r="CU435" s="1655"/>
      <c r="CV435" s="1655"/>
      <c r="CW435" s="1655"/>
      <c r="CX435" s="1655"/>
      <c r="CY435" s="1655"/>
      <c r="CZ435" s="1655"/>
      <c r="DA435" s="1655"/>
      <c r="DB435" s="1655"/>
      <c r="DC435" s="1655"/>
      <c r="DD435" s="1655"/>
      <c r="DE435" s="1655"/>
      <c r="DF435" s="1655"/>
      <c r="DG435" s="1655"/>
      <c r="DH435" s="1655"/>
      <c r="DI435" s="1655"/>
      <c r="DJ435" s="1655"/>
      <c r="DK435" s="1655"/>
      <c r="DL435" s="1655"/>
      <c r="DM435" s="1655"/>
      <c r="DN435" s="1655"/>
      <c r="DO435" s="1655"/>
      <c r="DP435" s="1655"/>
      <c r="DQ435" s="1655"/>
      <c r="DR435" s="1655"/>
      <c r="DS435" s="1655"/>
      <c r="DT435" s="1655"/>
      <c r="DU435" s="1655"/>
      <c r="DV435" s="1655"/>
      <c r="DW435" s="1655"/>
      <c r="DX435" s="1655"/>
      <c r="DY435" s="1655"/>
      <c r="DZ435" s="1655"/>
      <c r="EA435" s="1655"/>
      <c r="EB435" s="1655"/>
      <c r="EC435" s="1655"/>
      <c r="ED435" s="1655"/>
      <c r="EE435" s="1655"/>
      <c r="EF435" s="1655"/>
      <c r="EG435" s="1655"/>
      <c r="EH435" s="1655"/>
      <c r="EI435" s="1655"/>
      <c r="EJ435" s="1655"/>
      <c r="EK435" s="1655"/>
      <c r="EL435" s="1655"/>
      <c r="EM435" s="1655"/>
      <c r="EN435" s="1655"/>
      <c r="EO435" s="1655"/>
      <c r="EP435" s="1655"/>
      <c r="EQ435" s="1655"/>
      <c r="ER435" s="1655"/>
      <c r="ES435" s="1655"/>
      <c r="ET435" s="1655"/>
      <c r="EU435" s="1655"/>
      <c r="EV435" s="1655"/>
      <c r="EW435" s="1655"/>
      <c r="EX435" s="1655"/>
      <c r="EY435" s="1655"/>
      <c r="EZ435" s="1655"/>
      <c r="FA435" s="1655"/>
      <c r="FB435" s="1655"/>
      <c r="FC435" s="1655"/>
      <c r="FD435" s="1655"/>
      <c r="FE435" s="1655"/>
      <c r="FF435" s="1655"/>
      <c r="FG435" s="1655"/>
      <c r="FH435" s="1655"/>
      <c r="FI435" s="1655"/>
    </row>
    <row r="436" spans="1:165">
      <c r="A436" s="1655"/>
      <c r="B436" s="1655"/>
      <c r="C436" s="1655"/>
      <c r="D436" s="1655"/>
      <c r="E436" s="1655"/>
      <c r="F436" s="1655"/>
      <c r="G436" s="1655"/>
      <c r="H436" s="1655"/>
      <c r="I436" s="1655"/>
      <c r="J436" s="1655"/>
      <c r="K436" s="1655"/>
      <c r="L436" s="1655"/>
      <c r="M436" s="1655"/>
      <c r="N436" s="1655"/>
      <c r="O436" s="1655"/>
      <c r="P436" s="1655"/>
      <c r="Q436" s="1655"/>
      <c r="R436" s="1655"/>
      <c r="S436" s="1655"/>
      <c r="T436" s="1655"/>
      <c r="U436" s="1655"/>
      <c r="V436" s="1655"/>
      <c r="W436" s="1655"/>
      <c r="X436" s="1655"/>
      <c r="Y436" s="1655"/>
      <c r="Z436" s="1655"/>
      <c r="AA436" s="1655"/>
      <c r="AB436" s="1655"/>
      <c r="AC436" s="1655"/>
      <c r="AD436" s="1655"/>
      <c r="AE436" s="1655"/>
      <c r="AF436" s="1655"/>
      <c r="AG436" s="1655"/>
      <c r="AH436" s="1655"/>
      <c r="AI436" s="1655"/>
      <c r="AJ436" s="1655"/>
      <c r="AK436" s="1655"/>
      <c r="AL436" s="1655"/>
      <c r="AM436" s="1655"/>
      <c r="AN436" s="1655"/>
      <c r="AO436" s="1655"/>
      <c r="AP436" s="1655"/>
      <c r="AQ436" s="1655"/>
      <c r="AR436" s="1655"/>
      <c r="AS436" s="1655"/>
      <c r="AT436" s="1655"/>
      <c r="AU436" s="1655"/>
      <c r="AV436" s="1655"/>
      <c r="AW436" s="1655"/>
      <c r="AX436" s="1655"/>
      <c r="AY436" s="1655"/>
      <c r="AZ436" s="1655"/>
      <c r="BA436" s="1655"/>
      <c r="BB436" s="1655"/>
      <c r="BC436" s="1655"/>
      <c r="BD436" s="1655"/>
      <c r="BE436" s="1655"/>
      <c r="BF436" s="1655"/>
      <c r="BG436" s="1655"/>
      <c r="BH436" s="1655"/>
      <c r="BI436" s="1655"/>
      <c r="BJ436" s="1655"/>
      <c r="BK436" s="1655"/>
      <c r="BL436" s="1655"/>
      <c r="BM436" s="1655"/>
      <c r="BN436" s="1655"/>
      <c r="BO436" s="1655"/>
      <c r="BP436" s="1655"/>
      <c r="BQ436" s="1655"/>
      <c r="BR436" s="1655"/>
      <c r="BS436" s="1655"/>
      <c r="BT436" s="1655"/>
      <c r="BU436" s="1655"/>
      <c r="BV436" s="1655"/>
      <c r="BW436" s="1655"/>
      <c r="BX436" s="1655"/>
      <c r="BY436" s="1655"/>
      <c r="BZ436" s="1655"/>
      <c r="CA436" s="1655"/>
      <c r="CB436" s="1655"/>
      <c r="CC436" s="1655"/>
      <c r="CD436" s="1655"/>
      <c r="CE436" s="1655"/>
      <c r="CF436" s="1655"/>
      <c r="CG436" s="1655"/>
      <c r="CH436" s="1655"/>
      <c r="CI436" s="1655"/>
      <c r="CJ436" s="1655"/>
      <c r="CK436" s="1655"/>
      <c r="CL436" s="1655"/>
      <c r="CM436" s="1655"/>
      <c r="CN436" s="1655"/>
      <c r="CO436" s="1655"/>
      <c r="CP436" s="1655"/>
      <c r="CQ436" s="1655"/>
      <c r="CR436" s="1655"/>
      <c r="CS436" s="1655"/>
      <c r="CT436" s="1655"/>
      <c r="CU436" s="1655"/>
      <c r="CV436" s="1655"/>
      <c r="CW436" s="1655"/>
      <c r="CX436" s="1655"/>
      <c r="CY436" s="1655"/>
      <c r="CZ436" s="1655"/>
      <c r="DA436" s="1655"/>
      <c r="DB436" s="1655"/>
      <c r="DC436" s="1655"/>
      <c r="DD436" s="1655"/>
      <c r="DE436" s="1655"/>
      <c r="DF436" s="1655"/>
      <c r="DG436" s="1655"/>
      <c r="DH436" s="1655"/>
      <c r="DI436" s="1655"/>
      <c r="DJ436" s="1655"/>
      <c r="DK436" s="1655"/>
      <c r="DL436" s="1655"/>
      <c r="DM436" s="1655"/>
      <c r="DN436" s="1655"/>
      <c r="DO436" s="1655"/>
      <c r="DP436" s="1655"/>
      <c r="DQ436" s="1655"/>
      <c r="DR436" s="1655"/>
      <c r="DS436" s="1655"/>
      <c r="DT436" s="1655"/>
      <c r="DU436" s="1655"/>
      <c r="DV436" s="1655"/>
      <c r="DW436" s="1655"/>
      <c r="DX436" s="1655"/>
      <c r="DY436" s="1655"/>
      <c r="DZ436" s="1655"/>
      <c r="EA436" s="1655"/>
      <c r="EB436" s="1655"/>
      <c r="EC436" s="1655"/>
      <c r="ED436" s="1655"/>
      <c r="EE436" s="1655"/>
      <c r="EF436" s="1655"/>
      <c r="EG436" s="1655"/>
      <c r="EH436" s="1655"/>
      <c r="EI436" s="1655"/>
      <c r="EJ436" s="1655"/>
      <c r="EK436" s="1655"/>
      <c r="EL436" s="1655"/>
      <c r="EM436" s="1655"/>
      <c r="EN436" s="1655"/>
      <c r="EO436" s="1655"/>
      <c r="EP436" s="1655"/>
      <c r="EQ436" s="1655"/>
      <c r="ER436" s="1655"/>
      <c r="ES436" s="1655"/>
      <c r="ET436" s="1655"/>
      <c r="EU436" s="1655"/>
      <c r="EV436" s="1655"/>
      <c r="EW436" s="1655"/>
      <c r="EX436" s="1655"/>
      <c r="EY436" s="1655"/>
      <c r="EZ436" s="1655"/>
      <c r="FA436" s="1655"/>
      <c r="FB436" s="1655"/>
      <c r="FC436" s="1655"/>
      <c r="FD436" s="1655"/>
      <c r="FE436" s="1655"/>
      <c r="FF436" s="1655"/>
      <c r="FG436" s="1655"/>
      <c r="FH436" s="1655"/>
      <c r="FI436" s="1655"/>
    </row>
    <row r="437" spans="1:165">
      <c r="A437" s="1655"/>
      <c r="B437" s="1655"/>
      <c r="C437" s="1655"/>
      <c r="D437" s="1655"/>
      <c r="E437" s="1655"/>
      <c r="F437" s="1655"/>
      <c r="G437" s="1655"/>
      <c r="H437" s="1655"/>
      <c r="I437" s="1655"/>
      <c r="J437" s="1655"/>
      <c r="K437" s="1655"/>
      <c r="L437" s="1655"/>
      <c r="M437" s="1655"/>
      <c r="N437" s="1655"/>
      <c r="O437" s="1655"/>
      <c r="P437" s="1655"/>
      <c r="Q437" s="1655"/>
      <c r="R437" s="1655"/>
      <c r="S437" s="1655"/>
      <c r="T437" s="1655"/>
      <c r="U437" s="1655"/>
      <c r="V437" s="1655"/>
      <c r="W437" s="1655"/>
      <c r="X437" s="1655"/>
      <c r="Y437" s="1655"/>
      <c r="Z437" s="1655"/>
      <c r="AA437" s="1655"/>
      <c r="AB437" s="1655"/>
      <c r="AC437" s="1655"/>
      <c r="AD437" s="1655"/>
      <c r="AE437" s="1655"/>
      <c r="AF437" s="1655"/>
      <c r="AG437" s="1655"/>
      <c r="AH437" s="1655"/>
      <c r="AI437" s="1655"/>
      <c r="AJ437" s="1655"/>
      <c r="AK437" s="1655"/>
      <c r="AL437" s="1655"/>
      <c r="AM437" s="1655"/>
      <c r="AN437" s="1655"/>
      <c r="AO437" s="1655"/>
      <c r="AP437" s="1655"/>
      <c r="AQ437" s="1655"/>
      <c r="AR437" s="1655"/>
      <c r="AS437" s="1655"/>
      <c r="AT437" s="1655"/>
      <c r="AU437" s="1655"/>
      <c r="AV437" s="1655"/>
      <c r="AW437" s="1655"/>
      <c r="AX437" s="1655"/>
      <c r="AY437" s="1655"/>
      <c r="AZ437" s="1655"/>
      <c r="BA437" s="1655"/>
      <c r="BB437" s="1655"/>
      <c r="BC437" s="1655"/>
      <c r="BD437" s="1655"/>
      <c r="BE437" s="1655"/>
      <c r="BF437" s="1655"/>
      <c r="BG437" s="1655"/>
      <c r="BH437" s="1655"/>
      <c r="BI437" s="1655"/>
      <c r="BJ437" s="1655"/>
      <c r="BK437" s="1655"/>
      <c r="BL437" s="1655"/>
      <c r="BM437" s="1655"/>
      <c r="BN437" s="1655"/>
      <c r="BO437" s="1655"/>
      <c r="BP437" s="1655"/>
      <c r="BQ437" s="1655"/>
      <c r="BR437" s="1655"/>
      <c r="BS437" s="1655"/>
      <c r="BT437" s="1655"/>
      <c r="BU437" s="1655"/>
      <c r="BV437" s="1655"/>
      <c r="BW437" s="1655"/>
      <c r="BX437" s="1655"/>
      <c r="BY437" s="1655"/>
      <c r="BZ437" s="1655"/>
      <c r="CA437" s="1655"/>
      <c r="CB437" s="1655"/>
      <c r="CC437" s="1655"/>
      <c r="CD437" s="1655"/>
      <c r="CE437" s="1655"/>
      <c r="CF437" s="1655"/>
      <c r="CG437" s="1655"/>
      <c r="CH437" s="1655"/>
      <c r="CI437" s="1655"/>
      <c r="CJ437" s="1655"/>
      <c r="CK437" s="1655"/>
      <c r="CL437" s="1655"/>
      <c r="CM437" s="1655"/>
      <c r="CN437" s="1655"/>
      <c r="CO437" s="1655"/>
      <c r="CP437" s="1655"/>
      <c r="CQ437" s="1655"/>
      <c r="CR437" s="1655"/>
      <c r="CS437" s="1655"/>
      <c r="CT437" s="1655"/>
      <c r="CU437" s="1655"/>
      <c r="CV437" s="1655"/>
      <c r="CW437" s="1655"/>
      <c r="CX437" s="1655"/>
      <c r="CY437" s="1655"/>
      <c r="CZ437" s="1655"/>
      <c r="DA437" s="1655"/>
      <c r="DB437" s="1655"/>
      <c r="DC437" s="1655"/>
      <c r="DD437" s="1655"/>
      <c r="DE437" s="1655"/>
      <c r="DF437" s="1655"/>
      <c r="DG437" s="1655"/>
      <c r="DH437" s="1655"/>
      <c r="DI437" s="1655"/>
      <c r="DJ437" s="1655"/>
      <c r="DK437" s="1655"/>
      <c r="DL437" s="1655"/>
      <c r="DM437" s="1655"/>
      <c r="DN437" s="1655"/>
      <c r="DO437" s="1655"/>
      <c r="DP437" s="1655"/>
      <c r="DQ437" s="1655"/>
      <c r="DR437" s="1655"/>
      <c r="DS437" s="1655"/>
      <c r="DT437" s="1655"/>
      <c r="DU437" s="1655"/>
      <c r="DV437" s="1655"/>
      <c r="DW437" s="1655"/>
      <c r="DX437" s="1655"/>
      <c r="DY437" s="1655"/>
      <c r="DZ437" s="1655"/>
      <c r="EA437" s="1655"/>
      <c r="EB437" s="1655"/>
      <c r="EC437" s="1655"/>
      <c r="ED437" s="1655"/>
      <c r="EE437" s="1655"/>
      <c r="EF437" s="1655"/>
      <c r="EG437" s="1655"/>
      <c r="EH437" s="1655"/>
      <c r="EI437" s="1655"/>
      <c r="EJ437" s="1655"/>
      <c r="EK437" s="1655"/>
      <c r="EL437" s="1655"/>
      <c r="EM437" s="1655"/>
      <c r="EN437" s="1655"/>
      <c r="EO437" s="1655"/>
      <c r="EP437" s="1655"/>
      <c r="EQ437" s="1655"/>
      <c r="ER437" s="1655"/>
      <c r="ES437" s="1655"/>
      <c r="ET437" s="1655"/>
      <c r="EU437" s="1655"/>
      <c r="EV437" s="1655"/>
      <c r="EW437" s="1655"/>
      <c r="EX437" s="1655"/>
      <c r="EY437" s="1655"/>
      <c r="EZ437" s="1655"/>
      <c r="FA437" s="1655"/>
      <c r="FB437" s="1655"/>
      <c r="FC437" s="1655"/>
      <c r="FD437" s="1655"/>
      <c r="FE437" s="1655"/>
      <c r="FF437" s="1655"/>
      <c r="FG437" s="1655"/>
      <c r="FH437" s="1655"/>
      <c r="FI437" s="1655"/>
    </row>
    <row r="438" spans="1:165">
      <c r="A438" s="1655"/>
      <c r="B438" s="1655"/>
      <c r="C438" s="1655"/>
      <c r="D438" s="1655"/>
      <c r="E438" s="1655"/>
      <c r="F438" s="1655"/>
      <c r="G438" s="1655"/>
      <c r="H438" s="1655"/>
      <c r="I438" s="1655"/>
      <c r="J438" s="1655"/>
      <c r="K438" s="1655"/>
      <c r="L438" s="1655"/>
      <c r="M438" s="1655"/>
      <c r="N438" s="1655"/>
      <c r="O438" s="1655"/>
      <c r="P438" s="1655"/>
      <c r="Q438" s="1655"/>
      <c r="R438" s="1655"/>
      <c r="S438" s="1655"/>
      <c r="T438" s="1655"/>
      <c r="U438" s="1655"/>
      <c r="V438" s="1655"/>
      <c r="W438" s="1655"/>
      <c r="X438" s="1655"/>
      <c r="Y438" s="1655"/>
      <c r="Z438" s="1655"/>
      <c r="AA438" s="1655"/>
      <c r="AB438" s="1655"/>
      <c r="AC438" s="1655"/>
      <c r="AD438" s="1655"/>
      <c r="AE438" s="1655"/>
      <c r="AF438" s="1655"/>
      <c r="AG438" s="1655"/>
      <c r="AH438" s="1655"/>
      <c r="AI438" s="1655"/>
      <c r="AJ438" s="1655"/>
      <c r="AK438" s="1655"/>
      <c r="AL438" s="1655"/>
      <c r="AM438" s="1655"/>
      <c r="AN438" s="1655"/>
      <c r="AO438" s="1655"/>
      <c r="AP438" s="1655"/>
      <c r="AQ438" s="1655"/>
      <c r="AR438" s="1655"/>
      <c r="AS438" s="1655"/>
      <c r="AT438" s="1655"/>
      <c r="AU438" s="1655"/>
      <c r="AV438" s="1655"/>
      <c r="AW438" s="1655"/>
      <c r="AX438" s="1655"/>
      <c r="AY438" s="1655"/>
      <c r="AZ438" s="1655"/>
      <c r="BA438" s="1655"/>
      <c r="BB438" s="1655"/>
      <c r="BC438" s="1655"/>
      <c r="BD438" s="1655"/>
      <c r="BE438" s="1655"/>
      <c r="BF438" s="1655"/>
      <c r="BG438" s="1655"/>
      <c r="BH438" s="1655"/>
      <c r="BI438" s="1655"/>
      <c r="BJ438" s="1655"/>
      <c r="BK438" s="1655"/>
      <c r="BL438" s="1655"/>
      <c r="BM438" s="1655"/>
      <c r="BN438" s="1655"/>
      <c r="BO438" s="1655"/>
      <c r="BP438" s="1655"/>
      <c r="BQ438" s="1655"/>
      <c r="BR438" s="1655"/>
      <c r="BS438" s="1655"/>
      <c r="BT438" s="1655"/>
      <c r="BU438" s="1655"/>
      <c r="BV438" s="1655"/>
      <c r="BW438" s="1655"/>
      <c r="BX438" s="1655"/>
      <c r="BY438" s="1655"/>
      <c r="BZ438" s="1655"/>
      <c r="CA438" s="1655"/>
      <c r="CB438" s="1655"/>
      <c r="CC438" s="1655"/>
      <c r="CD438" s="1655"/>
      <c r="CE438" s="1655"/>
      <c r="CF438" s="1655"/>
      <c r="CG438" s="1655"/>
      <c r="CH438" s="1655"/>
      <c r="CI438" s="1655"/>
      <c r="CJ438" s="1655"/>
      <c r="CK438" s="1655"/>
      <c r="CL438" s="1655"/>
      <c r="CM438" s="1655"/>
      <c r="CN438" s="1655"/>
      <c r="CO438" s="1655"/>
      <c r="CP438" s="1655"/>
      <c r="CQ438" s="1655"/>
      <c r="CR438" s="1655"/>
      <c r="CS438" s="1655"/>
      <c r="CT438" s="1655"/>
      <c r="CU438" s="1655"/>
      <c r="CV438" s="1655"/>
      <c r="CW438" s="1655"/>
      <c r="CX438" s="1655"/>
      <c r="CY438" s="1655"/>
      <c r="CZ438" s="1655"/>
      <c r="DA438" s="1655"/>
      <c r="DB438" s="1655"/>
      <c r="DC438" s="1655"/>
      <c r="DD438" s="1655"/>
      <c r="DE438" s="1655"/>
      <c r="DF438" s="1655"/>
      <c r="DG438" s="1655"/>
      <c r="DH438" s="1655"/>
      <c r="DI438" s="1655"/>
      <c r="DJ438" s="1655"/>
      <c r="DK438" s="1655"/>
      <c r="DL438" s="1655"/>
      <c r="DM438" s="1655"/>
      <c r="DN438" s="1655"/>
      <c r="DO438" s="1655"/>
      <c r="DP438" s="1655"/>
      <c r="DQ438" s="1655"/>
      <c r="DR438" s="1655"/>
      <c r="DS438" s="1655"/>
      <c r="DT438" s="1655"/>
      <c r="DU438" s="1655"/>
      <c r="DV438" s="1655"/>
      <c r="DW438" s="1655"/>
      <c r="DX438" s="1655"/>
      <c r="DY438" s="1655"/>
      <c r="DZ438" s="1655"/>
      <c r="EA438" s="1655"/>
      <c r="EB438" s="1655"/>
      <c r="EC438" s="1655"/>
      <c r="ED438" s="1655"/>
      <c r="EE438" s="1655"/>
      <c r="EF438" s="1655"/>
      <c r="EG438" s="1655"/>
      <c r="EH438" s="1655"/>
      <c r="EI438" s="1655"/>
      <c r="EJ438" s="1655"/>
      <c r="EK438" s="1655"/>
      <c r="EL438" s="1655"/>
      <c r="EM438" s="1655"/>
      <c r="EN438" s="1655"/>
      <c r="EO438" s="1655"/>
      <c r="EP438" s="1655"/>
      <c r="EQ438" s="1655"/>
      <c r="ER438" s="1655"/>
      <c r="ES438" s="1655"/>
      <c r="ET438" s="1655"/>
      <c r="EU438" s="1655"/>
      <c r="EV438" s="1655"/>
      <c r="EW438" s="1655"/>
      <c r="EX438" s="1655"/>
      <c r="EY438" s="1655"/>
      <c r="EZ438" s="1655"/>
      <c r="FA438" s="1655"/>
      <c r="FB438" s="1655"/>
      <c r="FC438" s="1655"/>
      <c r="FD438" s="1655"/>
      <c r="FE438" s="1655"/>
      <c r="FF438" s="1655"/>
      <c r="FG438" s="1655"/>
      <c r="FH438" s="1655"/>
      <c r="FI438" s="1655"/>
    </row>
    <row r="439" spans="1:165">
      <c r="A439" s="1655"/>
      <c r="B439" s="1655"/>
      <c r="C439" s="1655"/>
      <c r="D439" s="1655"/>
      <c r="E439" s="1655"/>
      <c r="F439" s="1655"/>
      <c r="G439" s="1655"/>
      <c r="H439" s="1655"/>
      <c r="I439" s="1655"/>
      <c r="J439" s="1655"/>
      <c r="K439" s="1655"/>
      <c r="L439" s="1655"/>
      <c r="M439" s="1655"/>
      <c r="N439" s="1655"/>
      <c r="O439" s="1655"/>
      <c r="P439" s="1655"/>
      <c r="Q439" s="1655"/>
      <c r="R439" s="1655"/>
      <c r="S439" s="1655"/>
      <c r="T439" s="1655"/>
      <c r="U439" s="1655"/>
      <c r="V439" s="1655"/>
      <c r="W439" s="1655"/>
      <c r="X439" s="1655"/>
      <c r="Y439" s="1655"/>
      <c r="Z439" s="1655"/>
      <c r="AA439" s="1655"/>
      <c r="AB439" s="1655"/>
      <c r="AC439" s="1655"/>
      <c r="AD439" s="1655"/>
      <c r="AE439" s="1655"/>
      <c r="AF439" s="1655"/>
      <c r="AG439" s="1655"/>
      <c r="AH439" s="1655"/>
      <c r="AI439" s="1655"/>
      <c r="AJ439" s="1655"/>
      <c r="AK439" s="1655"/>
      <c r="AL439" s="1655"/>
      <c r="AM439" s="1655"/>
      <c r="AN439" s="1655"/>
      <c r="AO439" s="1655"/>
      <c r="AP439" s="1655"/>
      <c r="AQ439" s="1655"/>
      <c r="AR439" s="1655"/>
      <c r="AS439" s="1655"/>
      <c r="AT439" s="1655"/>
      <c r="AU439" s="1655"/>
      <c r="AV439" s="1655"/>
      <c r="AW439" s="1655"/>
      <c r="AX439" s="1655"/>
      <c r="AY439" s="1655"/>
      <c r="AZ439" s="1655"/>
      <c r="BA439" s="1655"/>
      <c r="BB439" s="1655"/>
      <c r="BC439" s="1655"/>
      <c r="BD439" s="1655"/>
      <c r="BE439" s="1655"/>
      <c r="BF439" s="1655"/>
      <c r="BG439" s="1655"/>
      <c r="BH439" s="1655"/>
      <c r="BI439" s="1655"/>
      <c r="BJ439" s="1655"/>
      <c r="BK439" s="1655"/>
      <c r="BL439" s="1655"/>
      <c r="BM439" s="1655"/>
      <c r="BN439" s="1655"/>
      <c r="BO439" s="1655"/>
      <c r="BP439" s="1655"/>
      <c r="BQ439" s="1655"/>
      <c r="BR439" s="1655"/>
      <c r="BS439" s="1655"/>
      <c r="BT439" s="1655"/>
      <c r="BU439" s="1655"/>
      <c r="BV439" s="1655"/>
      <c r="BW439" s="1655"/>
      <c r="BX439" s="1655"/>
      <c r="BY439" s="1655"/>
      <c r="BZ439" s="1655"/>
      <c r="CA439" s="1655"/>
      <c r="CB439" s="1655"/>
      <c r="CC439" s="1655"/>
      <c r="CD439" s="1655"/>
      <c r="CE439" s="1655"/>
      <c r="CF439" s="1655"/>
      <c r="CG439" s="1655"/>
      <c r="CH439" s="1655"/>
      <c r="CI439" s="1655"/>
      <c r="CJ439" s="1655"/>
      <c r="CK439" s="1655"/>
      <c r="CL439" s="1655"/>
      <c r="CM439" s="1655"/>
      <c r="CN439" s="1655"/>
      <c r="CO439" s="1655"/>
      <c r="CP439" s="1655"/>
      <c r="CQ439" s="1655"/>
      <c r="CR439" s="1655"/>
      <c r="CS439" s="1655"/>
      <c r="CT439" s="1655"/>
      <c r="CU439" s="1655"/>
      <c r="CV439" s="1655"/>
      <c r="CW439" s="1655"/>
      <c r="CX439" s="1655"/>
      <c r="CY439" s="1655"/>
      <c r="CZ439" s="1655"/>
      <c r="DA439" s="1655"/>
      <c r="DB439" s="1655"/>
      <c r="DC439" s="1655"/>
      <c r="DD439" s="1655"/>
      <c r="DE439" s="1655"/>
      <c r="DF439" s="1655"/>
      <c r="DG439" s="1655"/>
      <c r="DH439" s="1655"/>
      <c r="DI439" s="1655"/>
      <c r="DJ439" s="1655"/>
      <c r="DK439" s="1655"/>
      <c r="DL439" s="1655"/>
      <c r="DM439" s="1655"/>
      <c r="DN439" s="1655"/>
      <c r="DO439" s="1655"/>
      <c r="DP439" s="1655"/>
      <c r="DQ439" s="1655"/>
      <c r="DR439" s="1655"/>
      <c r="DS439" s="1655"/>
      <c r="DT439" s="1655"/>
      <c r="DU439" s="1655"/>
      <c r="DV439" s="1655"/>
      <c r="DW439" s="1655"/>
      <c r="DX439" s="1655"/>
      <c r="DY439" s="1655"/>
      <c r="DZ439" s="1655"/>
      <c r="EA439" s="1655"/>
      <c r="EB439" s="1655"/>
      <c r="EC439" s="1655"/>
      <c r="ED439" s="1655"/>
      <c r="EE439" s="1655"/>
      <c r="EF439" s="1655"/>
      <c r="EG439" s="1655"/>
      <c r="EH439" s="1655"/>
      <c r="EI439" s="1655"/>
      <c r="EJ439" s="1655"/>
      <c r="EK439" s="1655"/>
      <c r="EL439" s="1655"/>
      <c r="EM439" s="1655"/>
      <c r="EN439" s="1655"/>
      <c r="EO439" s="1655"/>
      <c r="EP439" s="1655"/>
      <c r="EQ439" s="1655"/>
      <c r="ER439" s="1655"/>
      <c r="ES439" s="1655"/>
      <c r="ET439" s="1655"/>
      <c r="EU439" s="1655"/>
      <c r="EV439" s="1655"/>
      <c r="EW439" s="1655"/>
      <c r="EX439" s="1655"/>
      <c r="EY439" s="1655"/>
      <c r="EZ439" s="1655"/>
      <c r="FA439" s="1655"/>
      <c r="FB439" s="1655"/>
      <c r="FC439" s="1655"/>
      <c r="FD439" s="1655"/>
      <c r="FE439" s="1655"/>
      <c r="FF439" s="1655"/>
      <c r="FG439" s="1655"/>
      <c r="FH439" s="1655"/>
      <c r="FI439" s="1655"/>
    </row>
    <row r="440" spans="1:165">
      <c r="A440" s="1655"/>
      <c r="B440" s="1655"/>
      <c r="C440" s="1655"/>
      <c r="D440" s="1655"/>
      <c r="E440" s="1655"/>
      <c r="F440" s="1655"/>
      <c r="G440" s="1655"/>
      <c r="H440" s="1655"/>
      <c r="I440" s="1655"/>
      <c r="J440" s="1655"/>
      <c r="K440" s="1655"/>
      <c r="L440" s="1655"/>
      <c r="M440" s="1655"/>
      <c r="N440" s="1655"/>
      <c r="O440" s="1655"/>
      <c r="P440" s="1655"/>
      <c r="Q440" s="1655"/>
      <c r="R440" s="1655"/>
      <c r="S440" s="1655"/>
      <c r="T440" s="1655"/>
      <c r="U440" s="1655"/>
      <c r="V440" s="1655"/>
      <c r="W440" s="1655"/>
      <c r="X440" s="1655"/>
      <c r="Y440" s="1655"/>
      <c r="Z440" s="1655"/>
      <c r="AA440" s="1655"/>
      <c r="AB440" s="1655"/>
      <c r="AC440" s="1655"/>
      <c r="AD440" s="1655"/>
      <c r="AE440" s="1655"/>
      <c r="AF440" s="1655"/>
      <c r="AG440" s="1655"/>
      <c r="AH440" s="1655"/>
      <c r="AI440" s="1655"/>
      <c r="AJ440" s="1655"/>
      <c r="AK440" s="1655"/>
      <c r="AL440" s="1655"/>
      <c r="AM440" s="1655"/>
      <c r="AN440" s="1655"/>
      <c r="AO440" s="1655"/>
      <c r="AP440" s="1655"/>
      <c r="AQ440" s="1655"/>
      <c r="AR440" s="1655"/>
      <c r="AS440" s="1655"/>
      <c r="AT440" s="1655"/>
      <c r="AU440" s="1655"/>
      <c r="AV440" s="1655"/>
      <c r="AW440" s="1655"/>
      <c r="AX440" s="1655"/>
      <c r="AY440" s="1655"/>
      <c r="AZ440" s="1655"/>
      <c r="BA440" s="1655"/>
      <c r="BB440" s="1655"/>
      <c r="BC440" s="1655"/>
      <c r="BD440" s="1655"/>
      <c r="BE440" s="1655"/>
      <c r="BF440" s="1655"/>
      <c r="BG440" s="1655"/>
      <c r="BH440" s="1655"/>
      <c r="BI440" s="1655"/>
      <c r="BJ440" s="1655"/>
      <c r="BK440" s="1655"/>
      <c r="BL440" s="1655"/>
      <c r="BM440" s="1655"/>
      <c r="BN440" s="1655"/>
      <c r="BO440" s="1655"/>
      <c r="BP440" s="1655"/>
      <c r="BQ440" s="1655"/>
      <c r="BR440" s="1655"/>
      <c r="BS440" s="1655"/>
      <c r="BT440" s="1655"/>
      <c r="BU440" s="1655"/>
      <c r="BV440" s="1655"/>
      <c r="BW440" s="1655"/>
      <c r="BX440" s="1655"/>
      <c r="BY440" s="1655"/>
      <c r="BZ440" s="1655"/>
      <c r="CA440" s="1655"/>
      <c r="CB440" s="1655"/>
      <c r="CC440" s="1655"/>
      <c r="CD440" s="1655"/>
      <c r="CE440" s="1655"/>
      <c r="CF440" s="1655"/>
      <c r="CG440" s="1655"/>
      <c r="CH440" s="1655"/>
      <c r="CI440" s="1655"/>
      <c r="CJ440" s="1655"/>
      <c r="CK440" s="1655"/>
      <c r="CL440" s="1655"/>
      <c r="CM440" s="1655"/>
      <c r="CN440" s="1655"/>
      <c r="CO440" s="1655"/>
      <c r="CP440" s="1655"/>
      <c r="CQ440" s="1655"/>
      <c r="CR440" s="1655"/>
      <c r="CS440" s="1655"/>
      <c r="CT440" s="1655"/>
      <c r="CU440" s="1655"/>
      <c r="CV440" s="1655"/>
      <c r="CW440" s="1655"/>
      <c r="CX440" s="1655"/>
      <c r="CY440" s="1655"/>
      <c r="CZ440" s="1655"/>
      <c r="DA440" s="1655"/>
      <c r="DB440" s="1655"/>
      <c r="DC440" s="1655"/>
      <c r="DD440" s="1655"/>
      <c r="DE440" s="1655"/>
      <c r="DF440" s="1655"/>
      <c r="DG440" s="1655"/>
      <c r="DH440" s="1655"/>
      <c r="DI440" s="1655"/>
      <c r="DJ440" s="1655"/>
      <c r="DK440" s="1655"/>
      <c r="DL440" s="1655"/>
      <c r="DM440" s="1655"/>
      <c r="DN440" s="1655"/>
      <c r="DO440" s="1655"/>
      <c r="DP440" s="1655"/>
      <c r="DQ440" s="1655"/>
      <c r="DR440" s="1655"/>
      <c r="DS440" s="1655"/>
      <c r="DT440" s="1655"/>
      <c r="DU440" s="1655"/>
      <c r="DV440" s="1655"/>
      <c r="DW440" s="1655"/>
      <c r="DX440" s="1655"/>
      <c r="DY440" s="1655"/>
      <c r="DZ440" s="1655"/>
      <c r="EA440" s="1655"/>
      <c r="EB440" s="1655"/>
      <c r="EC440" s="1655"/>
      <c r="ED440" s="1655"/>
      <c r="EE440" s="1655"/>
      <c r="EF440" s="1655"/>
      <c r="EG440" s="1655"/>
      <c r="EH440" s="1655"/>
      <c r="EI440" s="1655"/>
      <c r="EJ440" s="1655"/>
      <c r="EK440" s="1655"/>
      <c r="EL440" s="1655"/>
      <c r="EM440" s="1655"/>
      <c r="EN440" s="1655"/>
      <c r="EO440" s="1655"/>
      <c r="EP440" s="1655"/>
      <c r="EQ440" s="1655"/>
      <c r="ER440" s="1655"/>
      <c r="ES440" s="1655"/>
      <c r="ET440" s="1655"/>
      <c r="EU440" s="1655"/>
      <c r="EV440" s="1655"/>
      <c r="EW440" s="1655"/>
      <c r="EX440" s="1655"/>
      <c r="EY440" s="1655"/>
      <c r="EZ440" s="1655"/>
      <c r="FA440" s="1655"/>
      <c r="FB440" s="1655"/>
      <c r="FC440" s="1655"/>
      <c r="FD440" s="1655"/>
      <c r="FE440" s="1655"/>
      <c r="FF440" s="1655"/>
      <c r="FG440" s="1655"/>
      <c r="FH440" s="1655"/>
      <c r="FI440" s="1655"/>
    </row>
    <row r="441" spans="1:165">
      <c r="A441" s="1655"/>
      <c r="B441" s="1655"/>
      <c r="C441" s="1655"/>
      <c r="D441" s="1655"/>
      <c r="E441" s="1655"/>
      <c r="F441" s="1655"/>
      <c r="G441" s="1655"/>
      <c r="H441" s="1655"/>
      <c r="I441" s="1655"/>
      <c r="J441" s="1655"/>
      <c r="K441" s="1655"/>
      <c r="L441" s="1655"/>
      <c r="M441" s="1655"/>
      <c r="N441" s="1655"/>
      <c r="O441" s="1655"/>
      <c r="P441" s="1655"/>
      <c r="Q441" s="1655"/>
      <c r="R441" s="1655"/>
      <c r="S441" s="1655"/>
      <c r="T441" s="1655"/>
      <c r="U441" s="1655"/>
      <c r="V441" s="1655"/>
      <c r="W441" s="1655"/>
      <c r="X441" s="1655"/>
      <c r="Y441" s="1655"/>
      <c r="Z441" s="1655"/>
      <c r="AA441" s="1655"/>
      <c r="AB441" s="1655"/>
      <c r="AC441" s="1655"/>
      <c r="AD441" s="1655"/>
      <c r="AE441" s="1655"/>
      <c r="AF441" s="1655"/>
      <c r="AG441" s="1655"/>
      <c r="AH441" s="1655"/>
      <c r="AI441" s="1655"/>
      <c r="AJ441" s="1655"/>
      <c r="AK441" s="1655"/>
      <c r="AL441" s="1655"/>
      <c r="AM441" s="1655"/>
      <c r="AN441" s="1655"/>
      <c r="AO441" s="1655"/>
      <c r="AP441" s="1655"/>
      <c r="AQ441" s="1655"/>
      <c r="AR441" s="1655"/>
      <c r="AS441" s="1655"/>
      <c r="AT441" s="1655"/>
      <c r="AU441" s="1655"/>
      <c r="AV441" s="1655"/>
      <c r="AW441" s="1655"/>
      <c r="AX441" s="1655"/>
      <c r="AY441" s="1655"/>
      <c r="AZ441" s="1655"/>
      <c r="BA441" s="1655"/>
      <c r="BB441" s="1655"/>
      <c r="BC441" s="1655"/>
      <c r="BD441" s="1655"/>
      <c r="BE441" s="1655"/>
      <c r="BF441" s="1655"/>
      <c r="BG441" s="1655"/>
      <c r="BH441" s="1655"/>
      <c r="BI441" s="1655"/>
      <c r="BJ441" s="1655"/>
      <c r="BK441" s="1655"/>
      <c r="BL441" s="1655"/>
      <c r="BM441" s="1655"/>
      <c r="BN441" s="1655"/>
      <c r="BO441" s="1655"/>
      <c r="BP441" s="1655"/>
      <c r="BQ441" s="1655"/>
      <c r="BR441" s="1655"/>
      <c r="BS441" s="1655"/>
      <c r="BT441" s="1655"/>
      <c r="BU441" s="1655"/>
      <c r="BV441" s="1655"/>
      <c r="BW441" s="1655"/>
      <c r="BX441" s="1655"/>
      <c r="BY441" s="1655"/>
      <c r="BZ441" s="1655"/>
      <c r="CA441" s="1655"/>
      <c r="CB441" s="1655"/>
      <c r="CC441" s="1655"/>
      <c r="CD441" s="1655"/>
      <c r="CE441" s="1655"/>
      <c r="CF441" s="1655"/>
      <c r="CG441" s="1655"/>
      <c r="CH441" s="1655"/>
      <c r="CI441" s="1655"/>
      <c r="CJ441" s="1655"/>
      <c r="CK441" s="1655"/>
      <c r="CL441" s="1655"/>
      <c r="CM441" s="1655"/>
      <c r="CN441" s="1655"/>
      <c r="CO441" s="1655"/>
      <c r="CP441" s="1655"/>
      <c r="CQ441" s="1655"/>
      <c r="CR441" s="1655"/>
      <c r="CS441" s="1655"/>
      <c r="CT441" s="1655"/>
      <c r="CU441" s="1655"/>
      <c r="CV441" s="1655"/>
      <c r="CW441" s="1655"/>
      <c r="CX441" s="1655"/>
      <c r="CY441" s="1655"/>
      <c r="CZ441" s="1655"/>
      <c r="DA441" s="1655"/>
      <c r="DB441" s="1655"/>
      <c r="DC441" s="1655"/>
      <c r="DD441" s="1655"/>
      <c r="DE441" s="1655"/>
      <c r="DF441" s="1655"/>
      <c r="DG441" s="1655"/>
      <c r="DH441" s="1655"/>
      <c r="DI441" s="1655"/>
      <c r="DJ441" s="1655"/>
      <c r="DK441" s="1655"/>
      <c r="DL441" s="1655"/>
      <c r="DM441" s="1655"/>
      <c r="DN441" s="1655"/>
      <c r="DO441" s="1655"/>
      <c r="DP441" s="1655"/>
      <c r="DQ441" s="1655"/>
      <c r="DR441" s="1655"/>
      <c r="DS441" s="1655"/>
      <c r="DT441" s="1655"/>
      <c r="DU441" s="1655"/>
      <c r="DV441" s="1655"/>
      <c r="DW441" s="1655"/>
      <c r="DX441" s="1655"/>
      <c r="DY441" s="1655"/>
      <c r="DZ441" s="1655"/>
      <c r="EA441" s="1655"/>
      <c r="EB441" s="1655"/>
      <c r="EC441" s="1655"/>
      <c r="ED441" s="1655"/>
      <c r="EE441" s="1655"/>
      <c r="EF441" s="1655"/>
      <c r="EG441" s="1655"/>
      <c r="EH441" s="1655"/>
      <c r="EI441" s="1655"/>
      <c r="EJ441" s="1655"/>
      <c r="EK441" s="1655"/>
      <c r="EL441" s="1655"/>
      <c r="EM441" s="1655"/>
      <c r="EN441" s="1655"/>
      <c r="EO441" s="1655"/>
      <c r="EP441" s="1655"/>
      <c r="EQ441" s="1655"/>
      <c r="ER441" s="1655"/>
      <c r="ES441" s="1655"/>
      <c r="ET441" s="1655"/>
      <c r="EU441" s="1655"/>
      <c r="EV441" s="1655"/>
      <c r="EW441" s="1655"/>
      <c r="EX441" s="1655"/>
      <c r="EY441" s="1655"/>
      <c r="EZ441" s="1655"/>
      <c r="FA441" s="1655"/>
      <c r="FB441" s="1655"/>
      <c r="FC441" s="1655"/>
      <c r="FD441" s="1655"/>
      <c r="FE441" s="1655"/>
      <c r="FF441" s="1655"/>
      <c r="FG441" s="1655"/>
      <c r="FH441" s="1655"/>
      <c r="FI441" s="1655"/>
    </row>
    <row r="442" spans="1:165">
      <c r="A442" s="1655"/>
      <c r="B442" s="1655"/>
      <c r="C442" s="1655"/>
      <c r="D442" s="1655"/>
      <c r="E442" s="1655"/>
      <c r="F442" s="1655"/>
      <c r="G442" s="1655"/>
      <c r="H442" s="1655"/>
      <c r="I442" s="1655"/>
      <c r="J442" s="1655"/>
      <c r="K442" s="1655"/>
      <c r="L442" s="1655"/>
      <c r="M442" s="1655"/>
      <c r="N442" s="1655"/>
      <c r="O442" s="1655"/>
      <c r="P442" s="1655"/>
      <c r="Q442" s="1655"/>
      <c r="R442" s="1655"/>
      <c r="S442" s="1655"/>
      <c r="T442" s="1655"/>
      <c r="U442" s="1655"/>
      <c r="V442" s="1655"/>
      <c r="W442" s="1655"/>
      <c r="X442" s="1655"/>
      <c r="Y442" s="1655"/>
      <c r="Z442" s="1655"/>
      <c r="AA442" s="1655"/>
      <c r="AB442" s="1655"/>
      <c r="AC442" s="1655"/>
      <c r="AD442" s="1655"/>
      <c r="AE442" s="1655"/>
      <c r="AF442" s="1655"/>
      <c r="AG442" s="1655"/>
      <c r="AH442" s="1655"/>
      <c r="AI442" s="1655"/>
      <c r="AJ442" s="1655"/>
      <c r="AK442" s="1655"/>
      <c r="AL442" s="1655"/>
      <c r="AM442" s="1655"/>
      <c r="AN442" s="1655"/>
      <c r="AO442" s="1655"/>
      <c r="AP442" s="1655"/>
      <c r="AQ442" s="1655"/>
      <c r="AR442" s="1655"/>
      <c r="AS442" s="1655"/>
      <c r="AT442" s="1655"/>
      <c r="AU442" s="1655"/>
      <c r="AV442" s="1655"/>
      <c r="AW442" s="1655"/>
      <c r="AX442" s="1655"/>
      <c r="AY442" s="1655"/>
      <c r="AZ442" s="1655"/>
      <c r="BA442" s="1655"/>
      <c r="BB442" s="1655"/>
      <c r="BC442" s="1655"/>
      <c r="BD442" s="1655"/>
      <c r="BE442" s="1655"/>
      <c r="BF442" s="1655"/>
      <c r="BG442" s="1655"/>
      <c r="BH442" s="1655"/>
      <c r="BI442" s="1655"/>
      <c r="BJ442" s="1655"/>
      <c r="BK442" s="1655"/>
      <c r="BL442" s="1655"/>
      <c r="BM442" s="1655"/>
      <c r="BN442" s="1655"/>
      <c r="BO442" s="1655"/>
      <c r="BP442" s="1655"/>
      <c r="BQ442" s="1655"/>
      <c r="BR442" s="1655"/>
      <c r="BS442" s="1655"/>
      <c r="BT442" s="1655"/>
      <c r="BU442" s="1655"/>
      <c r="BV442" s="1655"/>
      <c r="BW442" s="1655"/>
      <c r="BX442" s="1655"/>
      <c r="BY442" s="1655"/>
      <c r="BZ442" s="1655"/>
      <c r="CA442" s="1655"/>
      <c r="CB442" s="1655"/>
      <c r="CC442" s="1655"/>
      <c r="CD442" s="1655"/>
      <c r="CE442" s="1655"/>
      <c r="CF442" s="1655"/>
      <c r="CG442" s="1655"/>
      <c r="CH442" s="1655"/>
      <c r="CI442" s="1655"/>
      <c r="CJ442" s="1655"/>
      <c r="CK442" s="1655"/>
      <c r="CL442" s="1655"/>
      <c r="CM442" s="1655"/>
      <c r="CN442" s="1655"/>
      <c r="CO442" s="1655"/>
      <c r="CP442" s="1655"/>
      <c r="CQ442" s="1655"/>
      <c r="CR442" s="1655"/>
      <c r="CS442" s="1655"/>
      <c r="CT442" s="1655"/>
      <c r="CU442" s="1655"/>
      <c r="CV442" s="1655"/>
      <c r="CW442" s="1655"/>
      <c r="CX442" s="1655"/>
      <c r="CY442" s="1655"/>
      <c r="CZ442" s="1655"/>
      <c r="DA442" s="1655"/>
      <c r="DB442" s="1655"/>
      <c r="DC442" s="1655"/>
      <c r="DD442" s="1655"/>
      <c r="DE442" s="1655"/>
      <c r="DF442" s="1655"/>
      <c r="DG442" s="1655"/>
      <c r="DH442" s="1655"/>
      <c r="DI442" s="1655"/>
      <c r="DJ442" s="1655"/>
      <c r="DK442" s="1655"/>
      <c r="DL442" s="1655"/>
      <c r="DM442" s="1655"/>
      <c r="DN442" s="1655"/>
      <c r="DO442" s="1655"/>
      <c r="DP442" s="1655"/>
      <c r="DQ442" s="1655"/>
      <c r="DR442" s="1655"/>
      <c r="DS442" s="1655"/>
      <c r="DT442" s="1655"/>
      <c r="DU442" s="1655"/>
      <c r="DV442" s="1655"/>
      <c r="DW442" s="1655"/>
      <c r="DX442" s="1655"/>
      <c r="DY442" s="1655"/>
      <c r="DZ442" s="1655"/>
      <c r="EA442" s="1655"/>
      <c r="EB442" s="1655"/>
      <c r="EC442" s="1655"/>
      <c r="ED442" s="1655"/>
      <c r="EE442" s="1655"/>
      <c r="EF442" s="1655"/>
      <c r="EG442" s="1655"/>
      <c r="EH442" s="1655"/>
      <c r="EI442" s="1655"/>
      <c r="EJ442" s="1655"/>
      <c r="EK442" s="1655"/>
      <c r="EL442" s="1655"/>
      <c r="EM442" s="1655"/>
      <c r="EN442" s="1655"/>
      <c r="EO442" s="1655"/>
      <c r="EP442" s="1655"/>
      <c r="EQ442" s="1655"/>
      <c r="ER442" s="1655"/>
      <c r="ES442" s="1655"/>
      <c r="ET442" s="1655"/>
      <c r="EU442" s="1655"/>
      <c r="EV442" s="1655"/>
      <c r="EW442" s="1655"/>
      <c r="EX442" s="1655"/>
      <c r="EY442" s="1655"/>
      <c r="EZ442" s="1655"/>
      <c r="FA442" s="1655"/>
      <c r="FB442" s="1655"/>
      <c r="FC442" s="1655"/>
      <c r="FD442" s="1655"/>
      <c r="FE442" s="1655"/>
      <c r="FF442" s="1655"/>
      <c r="FG442" s="1655"/>
      <c r="FH442" s="1655"/>
      <c r="FI442" s="1655"/>
    </row>
    <row r="443" spans="1:165">
      <c r="A443" s="1655"/>
      <c r="B443" s="1655"/>
      <c r="C443" s="1655"/>
      <c r="D443" s="1655"/>
      <c r="E443" s="1655"/>
      <c r="F443" s="1655"/>
      <c r="G443" s="1655"/>
      <c r="H443" s="1655"/>
      <c r="I443" s="1655"/>
      <c r="J443" s="1655"/>
      <c r="K443" s="1655"/>
      <c r="L443" s="1655"/>
      <c r="M443" s="1655"/>
      <c r="N443" s="1655"/>
      <c r="O443" s="1655"/>
      <c r="P443" s="1655"/>
      <c r="Q443" s="1655"/>
      <c r="R443" s="1655"/>
      <c r="S443" s="1655"/>
      <c r="T443" s="1655"/>
      <c r="U443" s="1655"/>
      <c r="V443" s="1655"/>
      <c r="W443" s="1655"/>
      <c r="X443" s="1655"/>
      <c r="Y443" s="1655"/>
      <c r="Z443" s="1655"/>
      <c r="AA443" s="1655"/>
      <c r="AB443" s="1655"/>
      <c r="AC443" s="1655"/>
      <c r="AD443" s="1655"/>
      <c r="AE443" s="1655"/>
      <c r="AF443" s="1655"/>
      <c r="AG443" s="1655"/>
      <c r="AH443" s="1655"/>
      <c r="AI443" s="1655"/>
      <c r="AJ443" s="1655"/>
      <c r="AK443" s="1655"/>
      <c r="AL443" s="1655"/>
      <c r="AM443" s="1655"/>
      <c r="AN443" s="1655"/>
      <c r="AO443" s="1655"/>
      <c r="AP443" s="1655"/>
      <c r="AQ443" s="1655"/>
      <c r="AR443" s="1655"/>
      <c r="AS443" s="1655"/>
      <c r="AT443" s="1655"/>
      <c r="AU443" s="1655"/>
      <c r="AV443" s="1655"/>
      <c r="AW443" s="1655"/>
      <c r="AX443" s="1655"/>
      <c r="AY443" s="1655"/>
      <c r="AZ443" s="1655"/>
      <c r="BA443" s="1655"/>
      <c r="BB443" s="1655"/>
      <c r="BC443" s="1655"/>
      <c r="BD443" s="1655"/>
      <c r="BE443" s="1655"/>
      <c r="BF443" s="1655"/>
      <c r="BG443" s="1655"/>
      <c r="BH443" s="1655"/>
      <c r="BI443" s="1655"/>
      <c r="BJ443" s="1655"/>
      <c r="BK443" s="1655"/>
      <c r="BL443" s="1655"/>
      <c r="BM443" s="1655"/>
      <c r="BN443" s="1655"/>
      <c r="BO443" s="1655"/>
      <c r="BP443" s="1655"/>
      <c r="BQ443" s="1655"/>
      <c r="BR443" s="1655"/>
      <c r="BS443" s="1655"/>
      <c r="BT443" s="1655"/>
      <c r="BU443" s="1655"/>
      <c r="BV443" s="1655"/>
      <c r="BW443" s="1655"/>
      <c r="BX443" s="1655"/>
      <c r="BY443" s="1655"/>
      <c r="BZ443" s="1655"/>
      <c r="CA443" s="1655"/>
      <c r="CB443" s="1655"/>
      <c r="CC443" s="1655"/>
      <c r="CD443" s="1655"/>
      <c r="CE443" s="1655"/>
      <c r="CF443" s="1655"/>
      <c r="CG443" s="1655"/>
      <c r="CH443" s="1655"/>
      <c r="CI443" s="1655"/>
      <c r="CJ443" s="1655"/>
      <c r="CK443" s="1655"/>
      <c r="CL443" s="1655"/>
      <c r="CM443" s="1655"/>
      <c r="CN443" s="1655"/>
      <c r="CO443" s="1655"/>
      <c r="CP443" s="1655"/>
      <c r="CQ443" s="1655"/>
      <c r="CR443" s="1655"/>
      <c r="CS443" s="1655"/>
      <c r="CT443" s="1655"/>
      <c r="CU443" s="1655"/>
      <c r="CV443" s="1655"/>
      <c r="CW443" s="1655"/>
      <c r="CX443" s="1655"/>
      <c r="CY443" s="1655"/>
      <c r="CZ443" s="1655"/>
      <c r="DA443" s="1655"/>
      <c r="DB443" s="1655"/>
      <c r="DC443" s="1655"/>
      <c r="DD443" s="1655"/>
      <c r="DE443" s="1655"/>
      <c r="DF443" s="1655"/>
      <c r="DG443" s="1655"/>
      <c r="DH443" s="1655"/>
      <c r="DI443" s="1655"/>
      <c r="DJ443" s="1655"/>
      <c r="DK443" s="1655"/>
      <c r="DL443" s="1655"/>
      <c r="DM443" s="1655"/>
      <c r="DN443" s="1655"/>
      <c r="DO443" s="1655"/>
      <c r="DP443" s="1655"/>
      <c r="DQ443" s="1655"/>
      <c r="DR443" s="1655"/>
      <c r="DS443" s="1655"/>
      <c r="DT443" s="1655"/>
      <c r="DU443" s="1655"/>
      <c r="DV443" s="1655"/>
      <c r="DW443" s="1655"/>
      <c r="DX443" s="1655"/>
      <c r="DY443" s="1655"/>
      <c r="DZ443" s="1655"/>
      <c r="EA443" s="1655"/>
      <c r="EB443" s="1655"/>
      <c r="EC443" s="1655"/>
      <c r="ED443" s="1655"/>
      <c r="EE443" s="1655"/>
      <c r="EF443" s="1655"/>
      <c r="EG443" s="1655"/>
      <c r="EH443" s="1655"/>
      <c r="EI443" s="1655"/>
      <c r="EJ443" s="1655"/>
      <c r="EK443" s="1655"/>
      <c r="EL443" s="1655"/>
      <c r="EM443" s="1655"/>
      <c r="EN443" s="1655"/>
      <c r="EO443" s="1655"/>
      <c r="EP443" s="1655"/>
      <c r="EQ443" s="1655"/>
      <c r="ER443" s="1655"/>
      <c r="ES443" s="1655"/>
      <c r="ET443" s="1655"/>
      <c r="EU443" s="1655"/>
      <c r="EV443" s="1655"/>
      <c r="EW443" s="1655"/>
      <c r="EX443" s="1655"/>
      <c r="EY443" s="1655"/>
      <c r="EZ443" s="1655"/>
      <c r="FA443" s="1655"/>
      <c r="FB443" s="1655"/>
      <c r="FC443" s="1655"/>
      <c r="FD443" s="1655"/>
      <c r="FE443" s="1655"/>
      <c r="FF443" s="1655"/>
      <c r="FG443" s="1655"/>
      <c r="FH443" s="1655"/>
      <c r="FI443" s="1655"/>
    </row>
    <row r="444" spans="1:165">
      <c r="A444" s="1655"/>
      <c r="B444" s="1655"/>
      <c r="C444" s="1655"/>
      <c r="D444" s="1655"/>
      <c r="E444" s="1655"/>
      <c r="F444" s="1655"/>
      <c r="G444" s="1655"/>
      <c r="H444" s="1655"/>
      <c r="I444" s="1655"/>
      <c r="J444" s="1655"/>
      <c r="K444" s="1655"/>
      <c r="L444" s="1655"/>
      <c r="M444" s="1655"/>
      <c r="N444" s="1655"/>
      <c r="O444" s="1655"/>
      <c r="P444" s="1655"/>
      <c r="Q444" s="1655"/>
      <c r="R444" s="1655"/>
      <c r="S444" s="1655"/>
      <c r="T444" s="1655"/>
      <c r="U444" s="1655"/>
      <c r="V444" s="1655"/>
      <c r="W444" s="1655"/>
      <c r="X444" s="1655"/>
      <c r="Y444" s="1655"/>
      <c r="Z444" s="1655"/>
      <c r="AA444" s="1655"/>
      <c r="AB444" s="1655"/>
      <c r="AC444" s="1655"/>
      <c r="AD444" s="1655"/>
      <c r="AE444" s="1655"/>
      <c r="AF444" s="1655"/>
      <c r="AG444" s="1655"/>
      <c r="AH444" s="1655"/>
      <c r="AI444" s="1655"/>
      <c r="AJ444" s="1655"/>
      <c r="AK444" s="1655"/>
      <c r="AL444" s="1655"/>
      <c r="AM444" s="1655"/>
      <c r="AN444" s="1655"/>
      <c r="AO444" s="1655"/>
      <c r="AP444" s="1655"/>
      <c r="AQ444" s="1655"/>
      <c r="AR444" s="1655"/>
      <c r="AS444" s="1655"/>
      <c r="AT444" s="1655"/>
      <c r="AU444" s="1655"/>
      <c r="AV444" s="1655"/>
      <c r="AW444" s="1655"/>
      <c r="AX444" s="1655"/>
      <c r="AY444" s="1655"/>
      <c r="AZ444" s="1655"/>
      <c r="BA444" s="1655"/>
      <c r="BB444" s="1655"/>
      <c r="BC444" s="1655"/>
      <c r="BD444" s="1655"/>
      <c r="BE444" s="1655"/>
      <c r="BF444" s="1655"/>
      <c r="BG444" s="1655"/>
      <c r="BH444" s="1655"/>
      <c r="BI444" s="1655"/>
      <c r="BJ444" s="1655"/>
      <c r="BK444" s="1655"/>
      <c r="BL444" s="1655"/>
      <c r="BM444" s="1655"/>
      <c r="BN444" s="1655"/>
      <c r="BO444" s="1655"/>
      <c r="BP444" s="1655"/>
      <c r="BQ444" s="1655"/>
      <c r="BR444" s="1655"/>
      <c r="BS444" s="1655"/>
      <c r="BT444" s="1655"/>
      <c r="BU444" s="1655"/>
      <c r="BV444" s="1655"/>
      <c r="BW444" s="1655"/>
      <c r="BX444" s="1655"/>
      <c r="BY444" s="1655"/>
      <c r="BZ444" s="1655"/>
      <c r="CA444" s="1655"/>
      <c r="CB444" s="1655"/>
      <c r="CC444" s="1655"/>
      <c r="CD444" s="1655"/>
      <c r="CE444" s="1655"/>
      <c r="CF444" s="1655"/>
      <c r="CG444" s="1655"/>
      <c r="CH444" s="1655"/>
      <c r="CI444" s="1655"/>
      <c r="CJ444" s="1655"/>
      <c r="CK444" s="1655"/>
      <c r="CL444" s="1655"/>
      <c r="CM444" s="1655"/>
      <c r="CN444" s="1655"/>
      <c r="CO444" s="1655"/>
      <c r="CP444" s="1655"/>
      <c r="CQ444" s="1655"/>
      <c r="CR444" s="1655"/>
      <c r="CS444" s="1655"/>
      <c r="CT444" s="1655"/>
      <c r="CU444" s="1655"/>
      <c r="CV444" s="1655"/>
      <c r="CW444" s="1655"/>
      <c r="CX444" s="1655"/>
      <c r="CY444" s="1655"/>
      <c r="CZ444" s="1655"/>
      <c r="DA444" s="1655"/>
      <c r="DB444" s="1655"/>
      <c r="DC444" s="1655"/>
      <c r="DD444" s="1655"/>
      <c r="DE444" s="1655"/>
      <c r="DF444" s="1655"/>
      <c r="DG444" s="1655"/>
      <c r="DH444" s="1655"/>
      <c r="DI444" s="1655"/>
      <c r="DJ444" s="1655"/>
      <c r="DK444" s="1655"/>
      <c r="DL444" s="1655"/>
      <c r="DM444" s="1655"/>
      <c r="DN444" s="1655"/>
      <c r="DO444" s="1655"/>
      <c r="DP444" s="1655"/>
      <c r="DQ444" s="1655"/>
      <c r="DR444" s="1655"/>
      <c r="DS444" s="1655"/>
      <c r="DT444" s="1655"/>
      <c r="DU444" s="1655"/>
      <c r="DV444" s="1655"/>
      <c r="DW444" s="1655"/>
      <c r="DX444" s="1655"/>
      <c r="DY444" s="1655"/>
      <c r="DZ444" s="1655"/>
      <c r="EA444" s="1655"/>
      <c r="EB444" s="1655"/>
      <c r="EC444" s="1655"/>
      <c r="ED444" s="1655"/>
      <c r="EE444" s="1655"/>
      <c r="EF444" s="1655"/>
      <c r="EG444" s="1655"/>
      <c r="EH444" s="1655"/>
      <c r="EI444" s="1655"/>
      <c r="EJ444" s="1655"/>
      <c r="EK444" s="1655"/>
      <c r="EL444" s="1655"/>
      <c r="EM444" s="1655"/>
      <c r="EN444" s="1655"/>
      <c r="EO444" s="1655"/>
      <c r="EP444" s="1655"/>
      <c r="EQ444" s="1655"/>
      <c r="ER444" s="1655"/>
      <c r="ES444" s="1655"/>
      <c r="ET444" s="1655"/>
      <c r="EU444" s="1655"/>
      <c r="EV444" s="1655"/>
      <c r="EW444" s="1655"/>
      <c r="EX444" s="1655"/>
      <c r="EY444" s="1655"/>
      <c r="EZ444" s="1655"/>
      <c r="FA444" s="1655"/>
      <c r="FB444" s="1655"/>
      <c r="FC444" s="1655"/>
      <c r="FD444" s="1655"/>
      <c r="FE444" s="1655"/>
      <c r="FF444" s="1655"/>
      <c r="FG444" s="1655"/>
      <c r="FH444" s="1655"/>
      <c r="FI444" s="1655"/>
    </row>
    <row r="445" spans="1:165">
      <c r="A445" s="1655"/>
      <c r="B445" s="1655"/>
      <c r="C445" s="1655"/>
      <c r="D445" s="1655"/>
      <c r="E445" s="1655"/>
      <c r="F445" s="1655"/>
      <c r="G445" s="1655"/>
      <c r="H445" s="1655"/>
      <c r="I445" s="1655"/>
      <c r="J445" s="1655"/>
      <c r="K445" s="1655"/>
      <c r="L445" s="1655"/>
      <c r="M445" s="1655"/>
      <c r="N445" s="1655"/>
      <c r="O445" s="1655"/>
      <c r="P445" s="1655"/>
      <c r="Q445" s="1655"/>
      <c r="R445" s="1655"/>
      <c r="S445" s="1655"/>
      <c r="T445" s="1655"/>
      <c r="U445" s="1655"/>
      <c r="V445" s="1655"/>
      <c r="W445" s="1655"/>
      <c r="X445" s="1655"/>
      <c r="Y445" s="1655"/>
      <c r="Z445" s="1655"/>
      <c r="AA445" s="1655"/>
      <c r="AB445" s="1655"/>
      <c r="AC445" s="1655"/>
      <c r="AD445" s="1655"/>
      <c r="AE445" s="1655"/>
      <c r="AF445" s="1655"/>
      <c r="AG445" s="1655"/>
      <c r="AH445" s="1655"/>
      <c r="AI445" s="1655"/>
      <c r="AJ445" s="1655"/>
      <c r="AK445" s="1655"/>
      <c r="AL445" s="1655"/>
      <c r="AM445" s="1655"/>
      <c r="AN445" s="1655"/>
      <c r="AO445" s="1655"/>
      <c r="AP445" s="1655"/>
      <c r="AQ445" s="1655"/>
      <c r="AR445" s="1655"/>
      <c r="AS445" s="1655"/>
      <c r="AT445" s="1655"/>
      <c r="AU445" s="1655"/>
      <c r="AV445" s="1655"/>
      <c r="AW445" s="1655"/>
      <c r="AX445" s="1655"/>
      <c r="AY445" s="1655"/>
      <c r="AZ445" s="1655"/>
      <c r="BA445" s="1655"/>
      <c r="BB445" s="1655"/>
      <c r="BC445" s="1655"/>
      <c r="BD445" s="1655"/>
      <c r="BE445" s="1655"/>
      <c r="BF445" s="1655"/>
      <c r="BG445" s="1655"/>
      <c r="BH445" s="1655"/>
      <c r="BI445" s="1655"/>
      <c r="BJ445" s="1655"/>
      <c r="BK445" s="1655"/>
      <c r="BL445" s="1655"/>
      <c r="BM445" s="1655"/>
      <c r="BN445" s="1655"/>
      <c r="BO445" s="1655"/>
      <c r="BP445" s="1655"/>
      <c r="BQ445" s="1655"/>
      <c r="BR445" s="1655"/>
      <c r="BS445" s="1655"/>
      <c r="BT445" s="1655"/>
      <c r="BU445" s="1655"/>
      <c r="BV445" s="1655"/>
      <c r="BW445" s="1655"/>
      <c r="BX445" s="1655"/>
      <c r="BY445" s="1655"/>
      <c r="BZ445" s="1655"/>
      <c r="CA445" s="1655"/>
      <c r="CB445" s="1655"/>
      <c r="CC445" s="1655"/>
      <c r="CD445" s="1655"/>
      <c r="CE445" s="1655"/>
      <c r="CF445" s="1655"/>
      <c r="CG445" s="1655"/>
      <c r="CH445" s="1655"/>
      <c r="CI445" s="1655"/>
      <c r="CJ445" s="1655"/>
      <c r="CK445" s="1655"/>
      <c r="CL445" s="1655"/>
      <c r="CM445" s="1655"/>
      <c r="CN445" s="1655"/>
      <c r="CO445" s="1655"/>
      <c r="CP445" s="1655"/>
      <c r="CQ445" s="1655"/>
      <c r="CR445" s="1655"/>
      <c r="CS445" s="1655"/>
      <c r="CT445" s="1655"/>
      <c r="CU445" s="1655"/>
      <c r="CV445" s="1655"/>
      <c r="CW445" s="1655"/>
      <c r="CX445" s="1655"/>
      <c r="CY445" s="1655"/>
      <c r="CZ445" s="1655"/>
      <c r="DA445" s="1655"/>
      <c r="DB445" s="1655"/>
      <c r="DC445" s="1655"/>
      <c r="DD445" s="1655"/>
      <c r="DE445" s="1655"/>
      <c r="DF445" s="1655"/>
      <c r="DG445" s="1655"/>
      <c r="DH445" s="1655"/>
      <c r="DI445" s="1655"/>
      <c r="DJ445" s="1655"/>
      <c r="DK445" s="1655"/>
      <c r="DL445" s="1655"/>
      <c r="DM445" s="1655"/>
      <c r="DN445" s="1655"/>
      <c r="DO445" s="1655"/>
      <c r="DP445" s="1655"/>
      <c r="DQ445" s="1655"/>
      <c r="DR445" s="1655"/>
      <c r="DS445" s="1655"/>
      <c r="DT445" s="1655"/>
      <c r="DU445" s="1655"/>
      <c r="DV445" s="1655"/>
      <c r="DW445" s="1655"/>
      <c r="DX445" s="1655"/>
      <c r="DY445" s="1655"/>
      <c r="DZ445" s="1655"/>
      <c r="EA445" s="1655"/>
      <c r="EB445" s="1655"/>
      <c r="EC445" s="1655"/>
      <c r="ED445" s="1655"/>
      <c r="EE445" s="1655"/>
      <c r="EF445" s="1655"/>
      <c r="EG445" s="1655"/>
      <c r="EH445" s="1655"/>
      <c r="EI445" s="1655"/>
      <c r="EJ445" s="1655"/>
      <c r="EK445" s="1655"/>
      <c r="EL445" s="1655"/>
      <c r="EM445" s="1655"/>
      <c r="EN445" s="1655"/>
      <c r="EO445" s="1655"/>
      <c r="EP445" s="1655"/>
      <c r="EQ445" s="1655"/>
      <c r="ER445" s="1655"/>
      <c r="ES445" s="1655"/>
      <c r="ET445" s="1655"/>
      <c r="EU445" s="1655"/>
      <c r="EV445" s="1655"/>
      <c r="EW445" s="1655"/>
      <c r="EX445" s="1655"/>
      <c r="EY445" s="1655"/>
      <c r="EZ445" s="1655"/>
      <c r="FA445" s="1655"/>
      <c r="FB445" s="1655"/>
      <c r="FC445" s="1655"/>
      <c r="FD445" s="1655"/>
      <c r="FE445" s="1655"/>
      <c r="FF445" s="1655"/>
      <c r="FG445" s="1655"/>
      <c r="FH445" s="1655"/>
      <c r="FI445" s="1655"/>
    </row>
    <row r="446" spans="1:165">
      <c r="A446" s="1655"/>
      <c r="B446" s="1655"/>
      <c r="C446" s="1655"/>
      <c r="D446" s="1655"/>
      <c r="E446" s="1655"/>
      <c r="F446" s="1655"/>
      <c r="G446" s="1655"/>
      <c r="H446" s="1655"/>
      <c r="I446" s="1655"/>
      <c r="J446" s="1655"/>
      <c r="K446" s="1655"/>
      <c r="L446" s="1655"/>
      <c r="M446" s="1655"/>
      <c r="N446" s="1655"/>
      <c r="O446" s="1655"/>
      <c r="P446" s="1655"/>
      <c r="Q446" s="1655"/>
      <c r="R446" s="1655"/>
      <c r="S446" s="1655"/>
      <c r="T446" s="1655"/>
      <c r="U446" s="1655"/>
      <c r="V446" s="1655"/>
      <c r="W446" s="1655"/>
      <c r="X446" s="1655"/>
      <c r="Y446" s="1655"/>
      <c r="Z446" s="1655"/>
      <c r="AA446" s="1655"/>
      <c r="AB446" s="1655"/>
      <c r="AC446" s="1655"/>
      <c r="AD446" s="1655"/>
      <c r="AE446" s="1655"/>
      <c r="AF446" s="1655"/>
      <c r="AG446" s="1655"/>
      <c r="AH446" s="1655"/>
      <c r="AI446" s="1655"/>
      <c r="AJ446" s="1655"/>
      <c r="AK446" s="1655"/>
      <c r="AL446" s="1655"/>
      <c r="AM446" s="1655"/>
      <c r="AN446" s="1655"/>
      <c r="AO446" s="1655"/>
      <c r="AP446" s="1655"/>
      <c r="AQ446" s="1655"/>
      <c r="AR446" s="1655"/>
      <c r="AS446" s="1655"/>
      <c r="AT446" s="1655"/>
      <c r="AU446" s="1655"/>
      <c r="AV446" s="1655"/>
      <c r="AW446" s="1655"/>
      <c r="AX446" s="1655"/>
      <c r="AY446" s="1655"/>
      <c r="AZ446" s="1655"/>
      <c r="BA446" s="1655"/>
      <c r="BB446" s="1655"/>
      <c r="BC446" s="1655"/>
      <c r="BD446" s="1655"/>
      <c r="BE446" s="1655"/>
      <c r="BF446" s="1655"/>
      <c r="BG446" s="1655"/>
      <c r="BH446" s="1655"/>
      <c r="BI446" s="1655"/>
      <c r="BJ446" s="1655"/>
      <c r="BK446" s="1655"/>
      <c r="BL446" s="1655"/>
      <c r="BM446" s="1655"/>
      <c r="BN446" s="1655"/>
      <c r="BO446" s="1655"/>
      <c r="BP446" s="1655"/>
      <c r="BQ446" s="1655"/>
      <c r="BR446" s="1655"/>
      <c r="BS446" s="1655"/>
      <c r="BT446" s="1655"/>
      <c r="BU446" s="1655"/>
      <c r="BV446" s="1655"/>
      <c r="BW446" s="1655"/>
      <c r="BX446" s="1655"/>
      <c r="BY446" s="1655"/>
      <c r="BZ446" s="1655"/>
      <c r="CA446" s="1655"/>
      <c r="CB446" s="1655"/>
      <c r="CC446" s="1655"/>
      <c r="CD446" s="1655"/>
      <c r="CE446" s="1655"/>
      <c r="CF446" s="1655"/>
      <c r="CG446" s="1655"/>
      <c r="CH446" s="1655"/>
      <c r="CI446" s="1655"/>
      <c r="CJ446" s="1655"/>
      <c r="CK446" s="1655"/>
      <c r="CL446" s="1655"/>
      <c r="CM446" s="1655"/>
      <c r="CN446" s="1655"/>
      <c r="CO446" s="1655"/>
      <c r="CP446" s="1655"/>
      <c r="CQ446" s="1655"/>
      <c r="CR446" s="1655"/>
      <c r="CS446" s="1655"/>
      <c r="CT446" s="1655"/>
      <c r="CU446" s="1655"/>
      <c r="CV446" s="1655"/>
      <c r="CW446" s="1655"/>
      <c r="CX446" s="1655"/>
      <c r="CY446" s="1655"/>
      <c r="CZ446" s="1655"/>
      <c r="DA446" s="1655"/>
      <c r="DB446" s="1655"/>
      <c r="DC446" s="1655"/>
      <c r="DD446" s="1655"/>
      <c r="DE446" s="1655"/>
      <c r="DF446" s="1655"/>
      <c r="DG446" s="1655"/>
      <c r="DH446" s="1655"/>
      <c r="DI446" s="1655"/>
      <c r="DJ446" s="1655"/>
      <c r="DK446" s="1655"/>
      <c r="DL446" s="1655"/>
      <c r="DM446" s="1655"/>
      <c r="DN446" s="1655"/>
      <c r="DO446" s="1655"/>
      <c r="DP446" s="1655"/>
      <c r="DQ446" s="1655"/>
      <c r="DR446" s="1655"/>
      <c r="DS446" s="1655"/>
      <c r="DT446" s="1655"/>
      <c r="DU446" s="1655"/>
      <c r="DV446" s="1655"/>
      <c r="DW446" s="1655"/>
      <c r="DX446" s="1655"/>
      <c r="DY446" s="1655"/>
      <c r="DZ446" s="1655"/>
      <c r="EA446" s="1655"/>
      <c r="EB446" s="1655"/>
      <c r="EC446" s="1655"/>
      <c r="ED446" s="1655"/>
      <c r="EE446" s="1655"/>
      <c r="EF446" s="1655"/>
      <c r="EG446" s="1655"/>
      <c r="EH446" s="1655"/>
      <c r="EI446" s="1655"/>
      <c r="EJ446" s="1655"/>
      <c r="EK446" s="1655"/>
      <c r="EL446" s="1655"/>
      <c r="EM446" s="1655"/>
      <c r="EN446" s="1655"/>
      <c r="EO446" s="1655"/>
      <c r="EP446" s="1655"/>
      <c r="EQ446" s="1655"/>
      <c r="ER446" s="1655"/>
      <c r="ES446" s="1655"/>
      <c r="ET446" s="1655"/>
      <c r="EU446" s="1655"/>
      <c r="EV446" s="1655"/>
      <c r="EW446" s="1655"/>
      <c r="EX446" s="1655"/>
      <c r="EY446" s="1655"/>
      <c r="EZ446" s="1655"/>
      <c r="FA446" s="1655"/>
      <c r="FB446" s="1655"/>
      <c r="FC446" s="1655"/>
      <c r="FD446" s="1655"/>
      <c r="FE446" s="1655"/>
      <c r="FF446" s="1655"/>
      <c r="FG446" s="1655"/>
      <c r="FH446" s="1655"/>
      <c r="FI446" s="1655"/>
    </row>
    <row r="447" spans="1:165">
      <c r="A447" s="1655"/>
      <c r="B447" s="1655"/>
      <c r="C447" s="1655"/>
      <c r="D447" s="1655"/>
      <c r="E447" s="1655"/>
      <c r="F447" s="1655"/>
      <c r="G447" s="1655"/>
      <c r="H447" s="1655"/>
      <c r="I447" s="1655"/>
      <c r="J447" s="1655"/>
      <c r="K447" s="1655"/>
      <c r="L447" s="1655"/>
      <c r="M447" s="1655"/>
      <c r="N447" s="1655"/>
      <c r="O447" s="1655"/>
      <c r="P447" s="1655"/>
      <c r="Q447" s="1655"/>
      <c r="R447" s="1655"/>
      <c r="S447" s="1655"/>
      <c r="T447" s="1655"/>
      <c r="U447" s="1655"/>
      <c r="V447" s="1655"/>
      <c r="W447" s="1655"/>
      <c r="X447" s="1655"/>
      <c r="Y447" s="1655"/>
      <c r="Z447" s="1655"/>
      <c r="AA447" s="1655"/>
      <c r="AB447" s="1655"/>
      <c r="AC447" s="1655"/>
      <c r="AD447" s="1655"/>
      <c r="AE447" s="1655"/>
      <c r="AF447" s="1655"/>
      <c r="AG447" s="1655"/>
      <c r="AH447" s="1655"/>
      <c r="AI447" s="1655"/>
      <c r="AJ447" s="1655"/>
      <c r="AK447" s="1655"/>
      <c r="AL447" s="1655"/>
      <c r="AM447" s="1655"/>
      <c r="AN447" s="1655"/>
      <c r="AO447" s="1655"/>
      <c r="AP447" s="1655"/>
      <c r="AQ447" s="1655"/>
      <c r="AR447" s="1655"/>
      <c r="AS447" s="1655"/>
      <c r="AT447" s="1655"/>
      <c r="AU447" s="1655"/>
      <c r="AV447" s="1655"/>
      <c r="AW447" s="1655"/>
      <c r="AX447" s="1655"/>
      <c r="AY447" s="1655"/>
      <c r="AZ447" s="1655"/>
      <c r="BA447" s="1655"/>
      <c r="BB447" s="1655"/>
      <c r="BC447" s="1655"/>
      <c r="BD447" s="1655"/>
      <c r="BE447" s="1655"/>
      <c r="BF447" s="1655"/>
      <c r="BG447" s="1655"/>
      <c r="BH447" s="1655"/>
      <c r="BI447" s="1655"/>
      <c r="BJ447" s="1655"/>
      <c r="BK447" s="1655"/>
      <c r="BL447" s="1655"/>
      <c r="BM447" s="1655"/>
      <c r="BN447" s="1655"/>
      <c r="BO447" s="1655"/>
      <c r="BP447" s="1655"/>
      <c r="BQ447" s="1655"/>
      <c r="BR447" s="1655"/>
      <c r="BS447" s="1655"/>
      <c r="BT447" s="1655"/>
      <c r="BU447" s="1655"/>
      <c r="BV447" s="1655"/>
      <c r="BW447" s="1655"/>
      <c r="BX447" s="1655"/>
      <c r="BY447" s="1655"/>
      <c r="BZ447" s="1655"/>
      <c r="CA447" s="1655"/>
      <c r="CB447" s="1655"/>
      <c r="CC447" s="1655"/>
      <c r="CD447" s="1655"/>
      <c r="CE447" s="1655"/>
      <c r="CF447" s="1655"/>
      <c r="CG447" s="1655"/>
      <c r="CH447" s="1655"/>
      <c r="CI447" s="1655"/>
      <c r="CJ447" s="1655"/>
      <c r="CK447" s="1655"/>
      <c r="CL447" s="1655"/>
      <c r="CM447" s="1655"/>
      <c r="CN447" s="1655"/>
      <c r="CO447" s="1655"/>
      <c r="CP447" s="1655"/>
      <c r="CQ447" s="1655"/>
      <c r="CR447" s="1655"/>
      <c r="CS447" s="1655"/>
      <c r="CT447" s="1655"/>
      <c r="CU447" s="1655"/>
      <c r="CV447" s="1655"/>
      <c r="CW447" s="1655"/>
      <c r="CX447" s="1655"/>
      <c r="CY447" s="1655"/>
      <c r="CZ447" s="1655"/>
      <c r="DA447" s="1655"/>
      <c r="DB447" s="1655"/>
      <c r="DC447" s="1655"/>
      <c r="DD447" s="1655"/>
      <c r="DE447" s="1655"/>
      <c r="DF447" s="1655"/>
      <c r="DG447" s="1655"/>
      <c r="DH447" s="1655"/>
      <c r="DI447" s="1655"/>
      <c r="DJ447" s="1655"/>
      <c r="DK447" s="1655"/>
      <c r="DL447" s="1655"/>
      <c r="DM447" s="1655"/>
      <c r="DN447" s="1655"/>
      <c r="DO447" s="1655"/>
      <c r="DP447" s="1655"/>
      <c r="DQ447" s="1655"/>
      <c r="DR447" s="1655"/>
      <c r="DS447" s="1655"/>
      <c r="DT447" s="1655"/>
      <c r="DU447" s="1655"/>
      <c r="DV447" s="1655"/>
      <c r="DW447" s="1655"/>
      <c r="DX447" s="1655"/>
      <c r="DY447" s="1655"/>
      <c r="DZ447" s="1655"/>
      <c r="EA447" s="1655"/>
      <c r="EB447" s="1655"/>
      <c r="EC447" s="1655"/>
      <c r="ED447" s="1655"/>
      <c r="EE447" s="1655"/>
      <c r="EF447" s="1655"/>
      <c r="EG447" s="1655"/>
      <c r="EH447" s="1655"/>
      <c r="EI447" s="1655"/>
      <c r="EJ447" s="1655"/>
      <c r="EK447" s="1655"/>
      <c r="EL447" s="1655"/>
      <c r="EM447" s="1655"/>
      <c r="EN447" s="1655"/>
      <c r="EO447" s="1655"/>
      <c r="EP447" s="1655"/>
      <c r="EQ447" s="1655"/>
      <c r="ER447" s="1655"/>
      <c r="ES447" s="1655"/>
      <c r="ET447" s="1655"/>
      <c r="EU447" s="1655"/>
      <c r="EV447" s="1655"/>
      <c r="EW447" s="1655"/>
      <c r="EX447" s="1655"/>
      <c r="EY447" s="1655"/>
      <c r="EZ447" s="1655"/>
      <c r="FA447" s="1655"/>
      <c r="FB447" s="1655"/>
      <c r="FC447" s="1655"/>
      <c r="FD447" s="1655"/>
      <c r="FE447" s="1655"/>
      <c r="FF447" s="1655"/>
      <c r="FG447" s="1655"/>
      <c r="FH447" s="1655"/>
      <c r="FI447" s="1655"/>
    </row>
    <row r="448" spans="1:165">
      <c r="A448" s="1655"/>
      <c r="B448" s="1655"/>
      <c r="C448" s="1655"/>
      <c r="D448" s="1655"/>
      <c r="E448" s="1655"/>
      <c r="F448" s="1655"/>
      <c r="G448" s="1655"/>
      <c r="H448" s="1655"/>
      <c r="I448" s="1655"/>
      <c r="J448" s="1655"/>
      <c r="K448" s="1655"/>
      <c r="L448" s="1655"/>
      <c r="M448" s="1655"/>
      <c r="N448" s="1655"/>
      <c r="O448" s="1655"/>
      <c r="P448" s="1655"/>
      <c r="Q448" s="1655"/>
      <c r="R448" s="1655"/>
      <c r="S448" s="1655"/>
      <c r="T448" s="1655"/>
      <c r="U448" s="1655"/>
      <c r="V448" s="1655"/>
      <c r="W448" s="1655"/>
      <c r="X448" s="1655"/>
      <c r="Y448" s="1655"/>
      <c r="Z448" s="1655"/>
      <c r="AA448" s="1655"/>
      <c r="AB448" s="1655"/>
      <c r="AC448" s="1655"/>
      <c r="AD448" s="1655"/>
      <c r="AE448" s="1655"/>
      <c r="AF448" s="1655"/>
      <c r="AG448" s="1655"/>
      <c r="AH448" s="1655"/>
      <c r="AI448" s="1655"/>
      <c r="AJ448" s="1655"/>
      <c r="AK448" s="1655"/>
      <c r="AL448" s="1655"/>
      <c r="AM448" s="1655"/>
      <c r="AN448" s="1655"/>
      <c r="AO448" s="1655"/>
      <c r="AP448" s="1655"/>
      <c r="AQ448" s="1655"/>
      <c r="AR448" s="1655"/>
      <c r="AS448" s="1655"/>
      <c r="AT448" s="1655"/>
      <c r="AU448" s="1655"/>
      <c r="AV448" s="1655"/>
      <c r="AW448" s="1655"/>
      <c r="AX448" s="1655"/>
      <c r="AY448" s="1655"/>
      <c r="AZ448" s="1655"/>
      <c r="BA448" s="1655"/>
      <c r="BB448" s="1655"/>
      <c r="BC448" s="1655"/>
      <c r="BD448" s="1655"/>
      <c r="BE448" s="1655"/>
      <c r="BF448" s="1655"/>
      <c r="BG448" s="1655"/>
      <c r="BH448" s="1655"/>
      <c r="BI448" s="1655"/>
      <c r="BJ448" s="1655"/>
      <c r="BK448" s="1655"/>
      <c r="BL448" s="1655"/>
      <c r="BM448" s="1655"/>
      <c r="BN448" s="1655"/>
      <c r="BO448" s="1655"/>
      <c r="BP448" s="1655"/>
      <c r="BQ448" s="1655"/>
      <c r="BR448" s="1655"/>
      <c r="BS448" s="1655"/>
      <c r="BT448" s="1655"/>
      <c r="BU448" s="1655"/>
      <c r="BV448" s="1655"/>
      <c r="BW448" s="1655"/>
      <c r="BX448" s="1655"/>
      <c r="BY448" s="1655"/>
      <c r="BZ448" s="1655"/>
      <c r="CA448" s="1655"/>
      <c r="CB448" s="1655"/>
      <c r="CC448" s="1655"/>
      <c r="CD448" s="1655"/>
      <c r="CE448" s="1655"/>
      <c r="CF448" s="1655"/>
      <c r="CG448" s="1655"/>
      <c r="CH448" s="1655"/>
      <c r="CI448" s="1655"/>
      <c r="CJ448" s="1655"/>
      <c r="CK448" s="1655"/>
      <c r="CL448" s="1655"/>
      <c r="CM448" s="1655"/>
      <c r="CN448" s="1655"/>
      <c r="CO448" s="1655"/>
      <c r="CP448" s="1655"/>
      <c r="CQ448" s="1655"/>
      <c r="CR448" s="1655"/>
      <c r="CS448" s="1655"/>
      <c r="CT448" s="1655"/>
      <c r="CU448" s="1655"/>
      <c r="CV448" s="1655"/>
      <c r="CW448" s="1655"/>
      <c r="CX448" s="1655"/>
      <c r="CY448" s="1655"/>
      <c r="CZ448" s="1655"/>
      <c r="DA448" s="1655"/>
      <c r="DB448" s="1655"/>
      <c r="DC448" s="1655"/>
      <c r="DD448" s="1655"/>
      <c r="DE448" s="1655"/>
      <c r="DF448" s="1655"/>
      <c r="DG448" s="1655"/>
      <c r="DH448" s="1655"/>
      <c r="DI448" s="1655"/>
      <c r="DJ448" s="1655"/>
      <c r="DK448" s="1655"/>
      <c r="DL448" s="1655"/>
      <c r="DM448" s="1655"/>
      <c r="DN448" s="1655"/>
      <c r="DO448" s="1655"/>
      <c r="DP448" s="1655"/>
      <c r="DQ448" s="1655"/>
      <c r="DR448" s="1655"/>
      <c r="DS448" s="1655"/>
      <c r="DT448" s="1655"/>
      <c r="DU448" s="1655"/>
      <c r="DV448" s="1655"/>
      <c r="DW448" s="1655"/>
      <c r="DX448" s="1655"/>
      <c r="DY448" s="1655"/>
      <c r="DZ448" s="1655"/>
      <c r="EA448" s="1655"/>
      <c r="EB448" s="1655"/>
      <c r="EC448" s="1655"/>
      <c r="ED448" s="1655"/>
      <c r="EE448" s="1655"/>
      <c r="EF448" s="1655"/>
      <c r="EG448" s="1655"/>
      <c r="EH448" s="1655"/>
      <c r="EI448" s="1655"/>
      <c r="EJ448" s="1655"/>
      <c r="EK448" s="1655"/>
      <c r="EL448" s="1655"/>
      <c r="EM448" s="1655"/>
      <c r="EN448" s="1655"/>
      <c r="EO448" s="1655"/>
      <c r="EP448" s="1655"/>
      <c r="EQ448" s="1655"/>
      <c r="ER448" s="1655"/>
      <c r="ES448" s="1655"/>
      <c r="ET448" s="1655"/>
      <c r="EU448" s="1655"/>
      <c r="EV448" s="1655"/>
      <c r="EW448" s="1655"/>
      <c r="EX448" s="1655"/>
      <c r="EY448" s="1655"/>
      <c r="EZ448" s="1655"/>
      <c r="FA448" s="1655"/>
      <c r="FB448" s="1655"/>
      <c r="FC448" s="1655"/>
      <c r="FD448" s="1655"/>
      <c r="FE448" s="1655"/>
      <c r="FF448" s="1655"/>
      <c r="FG448" s="1655"/>
      <c r="FH448" s="1655"/>
      <c r="FI448" s="1655"/>
    </row>
    <row r="449" spans="1:165">
      <c r="A449" s="1655"/>
      <c r="B449" s="1655"/>
      <c r="C449" s="1655"/>
      <c r="D449" s="1655"/>
      <c r="E449" s="1655"/>
      <c r="F449" s="1655"/>
      <c r="G449" s="1655"/>
      <c r="H449" s="1655"/>
      <c r="I449" s="1655"/>
      <c r="J449" s="1655"/>
      <c r="K449" s="1655"/>
      <c r="L449" s="1655"/>
      <c r="M449" s="1655"/>
      <c r="N449" s="1655"/>
      <c r="O449" s="1655"/>
      <c r="P449" s="1655"/>
      <c r="Q449" s="1655"/>
      <c r="R449" s="1655"/>
      <c r="S449" s="1655"/>
      <c r="T449" s="1655"/>
      <c r="U449" s="1655"/>
      <c r="V449" s="1655"/>
      <c r="W449" s="1655"/>
      <c r="X449" s="1655"/>
      <c r="Y449" s="1655"/>
      <c r="Z449" s="1655"/>
      <c r="AA449" s="1655"/>
      <c r="AB449" s="1655"/>
      <c r="AC449" s="1655"/>
      <c r="AD449" s="1655"/>
      <c r="AE449" s="1655"/>
      <c r="AF449" s="1655"/>
      <c r="AG449" s="1655"/>
      <c r="AH449" s="1655"/>
      <c r="AI449" s="1655"/>
      <c r="AJ449" s="1655"/>
      <c r="AK449" s="1655"/>
      <c r="AL449" s="1655"/>
      <c r="AM449" s="1655"/>
      <c r="AN449" s="1655"/>
      <c r="AO449" s="1655"/>
      <c r="AP449" s="1655"/>
      <c r="AQ449" s="1655"/>
      <c r="AR449" s="1655"/>
      <c r="AS449" s="1655"/>
      <c r="AT449" s="1655"/>
      <c r="AU449" s="1655"/>
      <c r="AV449" s="1655"/>
      <c r="AW449" s="1655"/>
      <c r="AX449" s="1655"/>
      <c r="AY449" s="1655"/>
      <c r="AZ449" s="1655"/>
      <c r="BA449" s="1655"/>
      <c r="BB449" s="1655"/>
      <c r="BC449" s="1655"/>
      <c r="BD449" s="1655"/>
      <c r="BE449" s="1655"/>
      <c r="BF449" s="1655"/>
      <c r="BG449" s="1655"/>
      <c r="BH449" s="1655"/>
      <c r="BI449" s="1655"/>
      <c r="BJ449" s="1655"/>
      <c r="BK449" s="1655"/>
      <c r="BL449" s="1655"/>
      <c r="BM449" s="1655"/>
      <c r="BN449" s="1655"/>
      <c r="BO449" s="1655"/>
      <c r="BP449" s="1655"/>
      <c r="BQ449" s="1655"/>
      <c r="BR449" s="1655"/>
      <c r="BS449" s="1655"/>
      <c r="BT449" s="1655"/>
      <c r="BU449" s="1655"/>
      <c r="BV449" s="1655"/>
      <c r="BW449" s="1655"/>
      <c r="BX449" s="1655"/>
      <c r="BY449" s="1655"/>
      <c r="BZ449" s="1655"/>
      <c r="CA449" s="1655"/>
      <c r="CB449" s="1655"/>
      <c r="CC449" s="1655"/>
      <c r="CD449" s="1655"/>
      <c r="CE449" s="1655"/>
      <c r="CF449" s="1655"/>
      <c r="CG449" s="1655"/>
      <c r="CH449" s="1655"/>
      <c r="CI449" s="1655"/>
      <c r="CJ449" s="1655"/>
      <c r="CK449" s="1655"/>
      <c r="CL449" s="1655"/>
      <c r="CM449" s="1655"/>
      <c r="CN449" s="1655"/>
      <c r="CO449" s="1655"/>
      <c r="CP449" s="1655"/>
      <c r="CQ449" s="1655"/>
      <c r="CR449" s="1655"/>
      <c r="CS449" s="1655"/>
      <c r="CT449" s="1655"/>
      <c r="CU449" s="1655"/>
      <c r="CV449" s="1655"/>
      <c r="CW449" s="1655"/>
      <c r="CX449" s="1655"/>
      <c r="CY449" s="1655"/>
      <c r="CZ449" s="1655"/>
      <c r="DA449" s="1655"/>
      <c r="DB449" s="1655"/>
      <c r="DC449" s="1655"/>
      <c r="DD449" s="1655"/>
      <c r="DE449" s="1655"/>
      <c r="DF449" s="1655"/>
      <c r="DG449" s="1655"/>
      <c r="DH449" s="1655"/>
      <c r="DI449" s="1655"/>
      <c r="DJ449" s="1655"/>
      <c r="DK449" s="1655"/>
      <c r="DL449" s="1655"/>
      <c r="DM449" s="1655"/>
      <c r="DN449" s="1655"/>
      <c r="DO449" s="1655"/>
      <c r="DP449" s="1655"/>
      <c r="DQ449" s="1655"/>
      <c r="DR449" s="1655"/>
      <c r="DS449" s="1655"/>
      <c r="DT449" s="1655"/>
      <c r="DU449" s="1655"/>
      <c r="DV449" s="1655"/>
      <c r="DW449" s="1655"/>
      <c r="DX449" s="1655"/>
      <c r="DY449" s="1655"/>
      <c r="DZ449" s="1655"/>
      <c r="EA449" s="1655"/>
      <c r="EB449" s="1655"/>
      <c r="EC449" s="1655"/>
      <c r="ED449" s="1655"/>
      <c r="EE449" s="1655"/>
      <c r="EF449" s="1655"/>
      <c r="EG449" s="1655"/>
      <c r="EH449" s="1655"/>
      <c r="EI449" s="1655"/>
      <c r="EJ449" s="1655"/>
      <c r="EK449" s="1655"/>
      <c r="EL449" s="1655"/>
      <c r="EM449" s="1655"/>
      <c r="EN449" s="1655"/>
      <c r="EO449" s="1655"/>
      <c r="EP449" s="1655"/>
      <c r="EQ449" s="1655"/>
      <c r="ER449" s="1655"/>
      <c r="ES449" s="1655"/>
      <c r="ET449" s="1655"/>
      <c r="EU449" s="1655"/>
      <c r="EV449" s="1655"/>
      <c r="EW449" s="1655"/>
      <c r="EX449" s="1655"/>
      <c r="EY449" s="1655"/>
      <c r="EZ449" s="1655"/>
      <c r="FA449" s="1655"/>
      <c r="FB449" s="1655"/>
      <c r="FC449" s="1655"/>
      <c r="FD449" s="1655"/>
      <c r="FE449" s="1655"/>
      <c r="FF449" s="1655"/>
      <c r="FG449" s="1655"/>
      <c r="FH449" s="1655"/>
      <c r="FI449" s="1655"/>
    </row>
    <row r="450" spans="1:165">
      <c r="A450" s="1655"/>
      <c r="B450" s="1655"/>
      <c r="C450" s="1655"/>
      <c r="D450" s="1655"/>
      <c r="E450" s="1655"/>
      <c r="F450" s="1655"/>
      <c r="G450" s="1655"/>
      <c r="H450" s="1655"/>
      <c r="I450" s="1655"/>
      <c r="J450" s="1655"/>
      <c r="K450" s="1655"/>
      <c r="L450" s="1655"/>
      <c r="M450" s="1655"/>
      <c r="N450" s="1655"/>
      <c r="O450" s="1655"/>
      <c r="P450" s="1655"/>
      <c r="Q450" s="1655"/>
      <c r="R450" s="1655"/>
      <c r="S450" s="1655"/>
      <c r="T450" s="1655"/>
      <c r="U450" s="1655"/>
      <c r="V450" s="1655"/>
      <c r="W450" s="1655"/>
      <c r="X450" s="1655"/>
      <c r="Y450" s="1655"/>
      <c r="Z450" s="1655"/>
      <c r="AA450" s="1655"/>
      <c r="AB450" s="1655"/>
      <c r="AC450" s="1655"/>
      <c r="AD450" s="1655"/>
      <c r="AE450" s="1655"/>
      <c r="AF450" s="1655"/>
      <c r="AG450" s="1655"/>
      <c r="AH450" s="1655"/>
      <c r="AI450" s="1655"/>
      <c r="AJ450" s="1655"/>
      <c r="AK450" s="1655"/>
      <c r="AL450" s="1655"/>
      <c r="AM450" s="1655"/>
      <c r="AN450" s="1655"/>
      <c r="AO450" s="1655"/>
      <c r="AP450" s="1655"/>
      <c r="AQ450" s="1655"/>
      <c r="AR450" s="1655"/>
      <c r="AS450" s="1655"/>
      <c r="AT450" s="1655"/>
      <c r="AU450" s="1655"/>
      <c r="AV450" s="1655"/>
      <c r="AW450" s="1655"/>
      <c r="AX450" s="1655"/>
      <c r="AY450" s="1655"/>
      <c r="AZ450" s="1655"/>
      <c r="BA450" s="1655"/>
      <c r="BB450" s="1655"/>
      <c r="BC450" s="1655"/>
      <c r="BD450" s="1655"/>
      <c r="BE450" s="1655"/>
      <c r="BF450" s="1655"/>
      <c r="BG450" s="1655"/>
      <c r="BH450" s="1655"/>
      <c r="BI450" s="1655"/>
      <c r="BJ450" s="1655"/>
      <c r="BK450" s="1655"/>
      <c r="BL450" s="1655"/>
      <c r="BM450" s="1655"/>
      <c r="BN450" s="1655"/>
      <c r="BO450" s="1655"/>
      <c r="BP450" s="1655"/>
      <c r="BQ450" s="1655"/>
      <c r="BR450" s="1655"/>
      <c r="BS450" s="1655"/>
      <c r="BT450" s="1655"/>
      <c r="BU450" s="1655"/>
      <c r="BV450" s="1655"/>
      <c r="BW450" s="1655"/>
      <c r="BX450" s="1655"/>
      <c r="BY450" s="1655"/>
      <c r="BZ450" s="1655"/>
      <c r="CA450" s="1655"/>
      <c r="CB450" s="1655"/>
      <c r="CC450" s="1655"/>
      <c r="CD450" s="1655"/>
      <c r="CE450" s="1655"/>
      <c r="CF450" s="1655"/>
      <c r="CG450" s="1655"/>
      <c r="CH450" s="1655"/>
      <c r="CI450" s="1655"/>
      <c r="CJ450" s="1655"/>
      <c r="CK450" s="1655"/>
      <c r="CL450" s="1655"/>
      <c r="CM450" s="1655"/>
      <c r="CN450" s="1655"/>
      <c r="CO450" s="1655"/>
      <c r="CP450" s="1655"/>
      <c r="CQ450" s="1655"/>
      <c r="CR450" s="1655"/>
      <c r="CS450" s="1655"/>
      <c r="CT450" s="1655"/>
      <c r="CU450" s="1655"/>
      <c r="CV450" s="1655"/>
      <c r="CW450" s="1655"/>
      <c r="CX450" s="1655"/>
      <c r="CY450" s="1655"/>
      <c r="CZ450" s="1655"/>
      <c r="DA450" s="1655"/>
      <c r="DB450" s="1655"/>
      <c r="DC450" s="1655"/>
      <c r="DD450" s="1655"/>
      <c r="DE450" s="1655"/>
      <c r="DF450" s="1655"/>
      <c r="DG450" s="1655"/>
      <c r="DH450" s="1655"/>
      <c r="DI450" s="1655"/>
      <c r="DJ450" s="1655"/>
      <c r="DK450" s="1655"/>
      <c r="DL450" s="1655"/>
      <c r="DM450" s="1655"/>
      <c r="DN450" s="1655"/>
      <c r="DO450" s="1655"/>
      <c r="DP450" s="1655"/>
      <c r="DQ450" s="1655"/>
      <c r="DR450" s="1655"/>
      <c r="DS450" s="1655"/>
      <c r="DT450" s="1655"/>
      <c r="DU450" s="1655"/>
      <c r="DV450" s="1655"/>
      <c r="DW450" s="1655"/>
      <c r="DX450" s="1655"/>
      <c r="DY450" s="1655"/>
      <c r="DZ450" s="1655"/>
      <c r="EA450" s="1655"/>
      <c r="EB450" s="1655"/>
      <c r="EC450" s="1655"/>
      <c r="ED450" s="1655"/>
      <c r="EE450" s="1655"/>
      <c r="EF450" s="1655"/>
      <c r="EG450" s="1655"/>
      <c r="EH450" s="1655"/>
      <c r="EI450" s="1655"/>
      <c r="EJ450" s="1655"/>
      <c r="EK450" s="1655"/>
      <c r="EL450" s="1655"/>
      <c r="EM450" s="1655"/>
      <c r="EN450" s="1655"/>
      <c r="EO450" s="1655"/>
      <c r="EP450" s="1655"/>
      <c r="EQ450" s="1655"/>
      <c r="ER450" s="1655"/>
      <c r="ES450" s="1655"/>
      <c r="ET450" s="1655"/>
      <c r="EU450" s="1655"/>
      <c r="EV450" s="1655"/>
      <c r="EW450" s="1655"/>
      <c r="EX450" s="1655"/>
      <c r="EY450" s="1655"/>
      <c r="EZ450" s="1655"/>
      <c r="FA450" s="1655"/>
      <c r="FB450" s="1655"/>
      <c r="FC450" s="1655"/>
      <c r="FD450" s="1655"/>
      <c r="FE450" s="1655"/>
      <c r="FF450" s="1655"/>
      <c r="FG450" s="1655"/>
      <c r="FH450" s="1655"/>
      <c r="FI450" s="1655"/>
    </row>
    <row r="451" spans="1:165">
      <c r="A451" s="1655"/>
      <c r="B451" s="1655"/>
      <c r="C451" s="1655"/>
      <c r="D451" s="1655"/>
      <c r="E451" s="1655"/>
      <c r="F451" s="1655"/>
      <c r="G451" s="1655"/>
      <c r="H451" s="1655"/>
      <c r="I451" s="1655"/>
      <c r="J451" s="1655"/>
      <c r="K451" s="1655"/>
      <c r="L451" s="1655"/>
      <c r="M451" s="1655"/>
      <c r="N451" s="1655"/>
      <c r="O451" s="1655"/>
      <c r="P451" s="1655"/>
      <c r="Q451" s="1655"/>
      <c r="R451" s="1655"/>
      <c r="S451" s="1655"/>
      <c r="T451" s="1655"/>
      <c r="U451" s="1655"/>
      <c r="V451" s="1655"/>
      <c r="W451" s="1655"/>
      <c r="X451" s="1655"/>
      <c r="Y451" s="1655"/>
      <c r="Z451" s="1655"/>
      <c r="AA451" s="1655"/>
      <c r="AB451" s="1655"/>
      <c r="AC451" s="1655"/>
      <c r="AD451" s="1655"/>
      <c r="AE451" s="1655"/>
      <c r="AF451" s="1655"/>
      <c r="AG451" s="1655"/>
      <c r="AH451" s="1655"/>
      <c r="AI451" s="1655"/>
      <c r="AJ451" s="1655"/>
      <c r="AK451" s="1655"/>
      <c r="AL451" s="1655"/>
      <c r="AM451" s="1655"/>
      <c r="AN451" s="1655"/>
      <c r="AO451" s="1655"/>
      <c r="AP451" s="1655"/>
      <c r="AQ451" s="1655"/>
      <c r="AR451" s="1655"/>
      <c r="AS451" s="1655"/>
      <c r="AT451" s="1655"/>
      <c r="AU451" s="1655"/>
      <c r="AV451" s="1655"/>
      <c r="AW451" s="1655"/>
      <c r="AX451" s="1655"/>
      <c r="AY451" s="1655"/>
      <c r="AZ451" s="1655"/>
      <c r="BA451" s="1655"/>
      <c r="BB451" s="1655"/>
      <c r="BC451" s="1655"/>
      <c r="BD451" s="1655"/>
      <c r="BE451" s="1655"/>
      <c r="BF451" s="1655"/>
      <c r="BG451" s="1655"/>
      <c r="BH451" s="1655"/>
      <c r="BI451" s="1655"/>
      <c r="BJ451" s="1655"/>
      <c r="BK451" s="1655"/>
      <c r="BL451" s="1655"/>
      <c r="BM451" s="1655"/>
      <c r="BN451" s="1655"/>
      <c r="BO451" s="1655"/>
      <c r="BP451" s="1655"/>
      <c r="BQ451" s="1655"/>
      <c r="BR451" s="1655"/>
      <c r="BS451" s="1655"/>
      <c r="BT451" s="1655"/>
      <c r="BU451" s="1655"/>
      <c r="BV451" s="1655"/>
      <c r="BW451" s="1655"/>
      <c r="BX451" s="1655"/>
      <c r="BY451" s="1655"/>
      <c r="BZ451" s="1655"/>
      <c r="CA451" s="1655"/>
      <c r="CB451" s="1655"/>
      <c r="CC451" s="1655"/>
      <c r="CD451" s="1655"/>
      <c r="CE451" s="1655"/>
      <c r="CF451" s="1655"/>
      <c r="CG451" s="1655"/>
      <c r="CH451" s="1655"/>
      <c r="CI451" s="1655"/>
      <c r="CJ451" s="1655"/>
      <c r="CK451" s="1655"/>
      <c r="CL451" s="1655"/>
      <c r="CM451" s="1655"/>
      <c r="CN451" s="1655"/>
      <c r="CO451" s="1655"/>
      <c r="CP451" s="1655"/>
      <c r="CQ451" s="1655"/>
      <c r="CR451" s="1655"/>
      <c r="CS451" s="1655"/>
      <c r="CT451" s="1655"/>
      <c r="CU451" s="1655"/>
      <c r="CV451" s="1655"/>
      <c r="CW451" s="1655"/>
      <c r="CX451" s="1655"/>
      <c r="CY451" s="1655"/>
      <c r="CZ451" s="1655"/>
      <c r="DA451" s="1655"/>
      <c r="DB451" s="1655"/>
      <c r="DC451" s="1655"/>
      <c r="DD451" s="1655"/>
      <c r="DE451" s="1655"/>
      <c r="DF451" s="1655"/>
      <c r="DG451" s="1655"/>
      <c r="DH451" s="1655"/>
      <c r="DI451" s="1655"/>
      <c r="DJ451" s="1655"/>
      <c r="DK451" s="1655"/>
      <c r="DL451" s="1655"/>
      <c r="DM451" s="1655"/>
      <c r="DN451" s="1655"/>
      <c r="DO451" s="1655"/>
      <c r="DP451" s="1655"/>
      <c r="DQ451" s="1655"/>
      <c r="DR451" s="1655"/>
      <c r="DS451" s="1655"/>
      <c r="DT451" s="1655"/>
      <c r="DU451" s="1655"/>
      <c r="DV451" s="1655"/>
      <c r="DW451" s="1655"/>
      <c r="DX451" s="1655"/>
      <c r="DY451" s="1655"/>
      <c r="DZ451" s="1655"/>
      <c r="EA451" s="1655"/>
      <c r="EB451" s="1655"/>
      <c r="EC451" s="1655"/>
      <c r="ED451" s="1655"/>
      <c r="EE451" s="1655"/>
      <c r="EF451" s="1655"/>
      <c r="EG451" s="1655"/>
      <c r="EH451" s="1655"/>
      <c r="EI451" s="1655"/>
      <c r="EJ451" s="1655"/>
      <c r="EK451" s="1655"/>
      <c r="EL451" s="1655"/>
      <c r="EM451" s="1655"/>
      <c r="EN451" s="1655"/>
      <c r="EO451" s="1655"/>
      <c r="EP451" s="1655"/>
      <c r="EQ451" s="1655"/>
      <c r="ER451" s="1655"/>
      <c r="ES451" s="1655"/>
      <c r="ET451" s="1655"/>
      <c r="EU451" s="1655"/>
      <c r="EV451" s="1655"/>
      <c r="EW451" s="1655"/>
      <c r="EX451" s="1655"/>
      <c r="EY451" s="1655"/>
      <c r="EZ451" s="1655"/>
      <c r="FA451" s="1655"/>
      <c r="FB451" s="1655"/>
      <c r="FC451" s="1655"/>
      <c r="FD451" s="1655"/>
      <c r="FE451" s="1655"/>
      <c r="FF451" s="1655"/>
      <c r="FG451" s="1655"/>
      <c r="FH451" s="1655"/>
      <c r="FI451" s="1655"/>
    </row>
    <row r="452" spans="1:165">
      <c r="A452" s="1655"/>
      <c r="B452" s="1655"/>
      <c r="C452" s="1655"/>
      <c r="D452" s="1655"/>
      <c r="E452" s="1655"/>
      <c r="F452" s="1655"/>
      <c r="G452" s="1655"/>
      <c r="H452" s="1655"/>
      <c r="I452" s="1655"/>
      <c r="J452" s="1655"/>
      <c r="K452" s="1655"/>
      <c r="L452" s="1655"/>
      <c r="M452" s="1655"/>
      <c r="N452" s="1655"/>
      <c r="O452" s="1655"/>
      <c r="P452" s="1655"/>
      <c r="Q452" s="1655"/>
      <c r="R452" s="1655"/>
      <c r="S452" s="1655"/>
      <c r="T452" s="1655"/>
      <c r="U452" s="1655"/>
      <c r="V452" s="1655"/>
      <c r="W452" s="1655"/>
      <c r="X452" s="1655"/>
      <c r="Y452" s="1655"/>
      <c r="Z452" s="1655"/>
      <c r="AA452" s="1655"/>
      <c r="AB452" s="1655"/>
      <c r="AC452" s="1655"/>
      <c r="AD452" s="1655"/>
      <c r="AE452" s="1655"/>
      <c r="AF452" s="1655"/>
      <c r="AG452" s="1655"/>
      <c r="AH452" s="1655"/>
      <c r="AI452" s="1655"/>
      <c r="AJ452" s="1655"/>
      <c r="AK452" s="1655"/>
      <c r="AL452" s="1655"/>
      <c r="AM452" s="1655"/>
      <c r="AN452" s="1655"/>
      <c r="AO452" s="1655"/>
      <c r="AP452" s="1655"/>
      <c r="AQ452" s="1655"/>
      <c r="AR452" s="1655"/>
      <c r="AS452" s="1655"/>
      <c r="AT452" s="1655"/>
      <c r="AU452" s="1655"/>
      <c r="AV452" s="1655"/>
      <c r="AW452" s="1655"/>
      <c r="AX452" s="1655"/>
      <c r="AY452" s="1655"/>
      <c r="AZ452" s="1655"/>
      <c r="BA452" s="1655"/>
      <c r="BB452" s="1655"/>
      <c r="BC452" s="1655"/>
      <c r="BD452" s="1655"/>
      <c r="BE452" s="1655"/>
      <c r="BF452" s="1655"/>
      <c r="BG452" s="1655"/>
      <c r="BH452" s="1655"/>
      <c r="BI452" s="1655"/>
      <c r="BJ452" s="1655"/>
      <c r="BK452" s="1655"/>
      <c r="BL452" s="1655"/>
      <c r="BM452" s="1655"/>
      <c r="BN452" s="1655"/>
      <c r="BO452" s="1655"/>
      <c r="BP452" s="1655"/>
      <c r="BQ452" s="1655"/>
      <c r="BR452" s="1655"/>
      <c r="BS452" s="1655"/>
      <c r="BT452" s="1655"/>
      <c r="BU452" s="1655"/>
      <c r="BV452" s="1655"/>
      <c r="BW452" s="1655"/>
      <c r="BX452" s="1655"/>
      <c r="BY452" s="1655"/>
      <c r="BZ452" s="1655"/>
      <c r="CA452" s="1655"/>
      <c r="CB452" s="1655"/>
      <c r="CC452" s="1655"/>
      <c r="CD452" s="1655"/>
      <c r="CE452" s="1655"/>
      <c r="CF452" s="1655"/>
      <c r="CG452" s="1655"/>
      <c r="CH452" s="1655"/>
      <c r="CI452" s="1655"/>
      <c r="CJ452" s="1655"/>
      <c r="CK452" s="1655"/>
      <c r="CL452" s="1655"/>
      <c r="CM452" s="1655"/>
      <c r="CN452" s="1655"/>
      <c r="CO452" s="1655"/>
      <c r="CP452" s="1655"/>
      <c r="CQ452" s="1655"/>
      <c r="CR452" s="1655"/>
      <c r="CS452" s="1655"/>
      <c r="CT452" s="1655"/>
      <c r="CU452" s="1655"/>
      <c r="CV452" s="1655"/>
      <c r="CW452" s="1655"/>
      <c r="CX452" s="1655"/>
      <c r="CY452" s="1655"/>
      <c r="CZ452" s="1655"/>
      <c r="DA452" s="1655"/>
      <c r="DB452" s="1655"/>
      <c r="DC452" s="1655"/>
      <c r="DD452" s="1655"/>
      <c r="DE452" s="1655"/>
      <c r="DF452" s="1655"/>
      <c r="DG452" s="1655"/>
      <c r="DH452" s="1655"/>
      <c r="DI452" s="1655"/>
      <c r="DJ452" s="1655"/>
      <c r="DK452" s="1655"/>
      <c r="DL452" s="1655"/>
      <c r="DM452" s="1655"/>
      <c r="DN452" s="1655"/>
      <c r="DO452" s="1655"/>
      <c r="DP452" s="1655"/>
      <c r="DQ452" s="1655"/>
      <c r="DR452" s="1655"/>
      <c r="DS452" s="1655"/>
      <c r="DT452" s="1655"/>
      <c r="DU452" s="1655"/>
      <c r="DV452" s="1655"/>
      <c r="DW452" s="1655"/>
      <c r="DX452" s="1655"/>
      <c r="DY452" s="1655"/>
      <c r="DZ452" s="1655"/>
      <c r="EA452" s="1655"/>
      <c r="EB452" s="1655"/>
      <c r="EC452" s="1655"/>
      <c r="ED452" s="1655"/>
      <c r="EE452" s="1655"/>
      <c r="EF452" s="1655"/>
      <c r="EG452" s="1655"/>
      <c r="EH452" s="1655"/>
      <c r="EI452" s="1655"/>
      <c r="EJ452" s="1655"/>
      <c r="EK452" s="1655"/>
      <c r="EL452" s="1655"/>
      <c r="EM452" s="1655"/>
      <c r="EN452" s="1655"/>
      <c r="EO452" s="1655"/>
      <c r="EP452" s="1655"/>
      <c r="EQ452" s="1655"/>
      <c r="ER452" s="1655"/>
      <c r="ES452" s="1655"/>
      <c r="ET452" s="1655"/>
      <c r="EU452" s="1655"/>
      <c r="EV452" s="1655"/>
      <c r="EW452" s="1655"/>
      <c r="EX452" s="1655"/>
      <c r="EY452" s="1655"/>
      <c r="EZ452" s="1655"/>
      <c r="FA452" s="1655"/>
      <c r="FB452" s="1655"/>
      <c r="FC452" s="1655"/>
      <c r="FD452" s="1655"/>
      <c r="FE452" s="1655"/>
      <c r="FF452" s="1655"/>
      <c r="FG452" s="1655"/>
      <c r="FH452" s="1655"/>
      <c r="FI452" s="1655"/>
    </row>
    <row r="453" spans="1:165">
      <c r="A453" s="1655"/>
      <c r="B453" s="1655"/>
      <c r="C453" s="1655"/>
      <c r="D453" s="1655"/>
      <c r="E453" s="1655"/>
      <c r="F453" s="1655"/>
      <c r="G453" s="1655"/>
      <c r="H453" s="1655"/>
      <c r="I453" s="1655"/>
      <c r="J453" s="1655"/>
      <c r="K453" s="1655"/>
      <c r="L453" s="1655"/>
      <c r="M453" s="1655"/>
      <c r="N453" s="1655"/>
      <c r="O453" s="1655"/>
      <c r="P453" s="1655"/>
      <c r="Q453" s="1655"/>
      <c r="R453" s="1655"/>
      <c r="S453" s="1655"/>
      <c r="T453" s="1655"/>
      <c r="U453" s="1655"/>
      <c r="V453" s="1655"/>
      <c r="W453" s="1655"/>
      <c r="X453" s="1655"/>
      <c r="Y453" s="1655"/>
      <c r="Z453" s="1655"/>
      <c r="AA453" s="1655"/>
      <c r="AB453" s="1655"/>
      <c r="AC453" s="1655"/>
      <c r="AD453" s="1655"/>
      <c r="AE453" s="1655"/>
      <c r="AF453" s="1655"/>
      <c r="AG453" s="1655"/>
      <c r="AH453" s="1655"/>
      <c r="AI453" s="1655"/>
      <c r="AJ453" s="1655"/>
      <c r="AK453" s="1655"/>
      <c r="AL453" s="1655"/>
      <c r="AM453" s="1655"/>
      <c r="AN453" s="1655"/>
      <c r="AO453" s="1655"/>
      <c r="AP453" s="1655"/>
      <c r="AQ453" s="1655"/>
      <c r="AR453" s="1655"/>
      <c r="AS453" s="1655"/>
      <c r="AT453" s="1655"/>
      <c r="AU453" s="1655"/>
      <c r="AV453" s="1655"/>
      <c r="AW453" s="1655"/>
      <c r="AX453" s="1655"/>
      <c r="AY453" s="1655"/>
      <c r="AZ453" s="1655"/>
      <c r="BA453" s="1655"/>
      <c r="BB453" s="1655"/>
      <c r="BC453" s="1655"/>
      <c r="BD453" s="1655"/>
      <c r="BE453" s="1655"/>
      <c r="BF453" s="1655"/>
      <c r="BG453" s="1655"/>
      <c r="BH453" s="1655"/>
      <c r="BI453" s="1655"/>
      <c r="BJ453" s="1655"/>
      <c r="BK453" s="1655"/>
      <c r="BL453" s="1655"/>
      <c r="BM453" s="1655"/>
      <c r="BN453" s="1655"/>
      <c r="BO453" s="1655"/>
      <c r="BP453" s="1655"/>
      <c r="BQ453" s="1655"/>
      <c r="BR453" s="1655"/>
      <c r="BS453" s="1655"/>
      <c r="BT453" s="1655"/>
      <c r="BU453" s="1655"/>
      <c r="BV453" s="1655"/>
      <c r="BW453" s="1655"/>
      <c r="BX453" s="1655"/>
      <c r="BY453" s="1655"/>
      <c r="BZ453" s="1655"/>
      <c r="CA453" s="1655"/>
      <c r="CB453" s="1655"/>
      <c r="CC453" s="1655"/>
      <c r="CD453" s="1655"/>
      <c r="CE453" s="1655"/>
      <c r="CF453" s="1655"/>
      <c r="CG453" s="1655"/>
      <c r="CH453" s="1655"/>
      <c r="CI453" s="1655"/>
      <c r="CJ453" s="1655"/>
      <c r="CK453" s="1655"/>
      <c r="CL453" s="1655"/>
      <c r="CM453" s="1655"/>
      <c r="CN453" s="1655"/>
      <c r="CO453" s="1655"/>
      <c r="CP453" s="1655"/>
      <c r="CQ453" s="1655"/>
      <c r="CR453" s="1655"/>
      <c r="CS453" s="1655"/>
      <c r="CT453" s="1655"/>
      <c r="CU453" s="1655"/>
      <c r="CV453" s="1655"/>
      <c r="CW453" s="1655"/>
      <c r="CX453" s="1655"/>
      <c r="CY453" s="1655"/>
      <c r="CZ453" s="1655"/>
      <c r="DA453" s="1655"/>
      <c r="DB453" s="1655"/>
      <c r="DC453" s="1655"/>
      <c r="DD453" s="1655"/>
      <c r="DE453" s="1655"/>
      <c r="DF453" s="1655"/>
      <c r="DG453" s="1655"/>
      <c r="DH453" s="1655"/>
      <c r="DI453" s="1655"/>
      <c r="DJ453" s="1655"/>
      <c r="DK453" s="1655"/>
      <c r="DL453" s="1655"/>
      <c r="DM453" s="1655"/>
      <c r="DN453" s="1655"/>
      <c r="DO453" s="1655"/>
      <c r="DP453" s="1655"/>
      <c r="DQ453" s="1655"/>
      <c r="DR453" s="1655"/>
      <c r="DS453" s="1655"/>
      <c r="DT453" s="1655"/>
      <c r="DU453" s="1655"/>
      <c r="DV453" s="1655"/>
      <c r="DW453" s="1655"/>
      <c r="DX453" s="1655"/>
      <c r="DY453" s="1655"/>
      <c r="DZ453" s="1655"/>
      <c r="EA453" s="1655"/>
      <c r="EB453" s="1655"/>
      <c r="EC453" s="1655"/>
      <c r="ED453" s="1655"/>
      <c r="EE453" s="1655"/>
      <c r="EF453" s="1655"/>
      <c r="EG453" s="1655"/>
      <c r="EH453" s="1655"/>
      <c r="EI453" s="1655"/>
      <c r="EJ453" s="1655"/>
      <c r="EK453" s="1655"/>
      <c r="EL453" s="1655"/>
      <c r="EM453" s="1655"/>
      <c r="EN453" s="1655"/>
      <c r="EO453" s="1655"/>
      <c r="EP453" s="1655"/>
      <c r="EQ453" s="1655"/>
      <c r="ER453" s="1655"/>
      <c r="ES453" s="1655"/>
      <c r="ET453" s="1655"/>
      <c r="EU453" s="1655"/>
      <c r="EV453" s="1655"/>
      <c r="EW453" s="1655"/>
      <c r="EX453" s="1655"/>
      <c r="EY453" s="1655"/>
      <c r="EZ453" s="1655"/>
      <c r="FA453" s="1655"/>
      <c r="FB453" s="1655"/>
      <c r="FC453" s="1655"/>
      <c r="FD453" s="1655"/>
      <c r="FE453" s="1655"/>
      <c r="FF453" s="1655"/>
      <c r="FG453" s="1655"/>
      <c r="FH453" s="1655"/>
      <c r="FI453" s="1655"/>
    </row>
    <row r="454" spans="1:165">
      <c r="A454" s="1655"/>
      <c r="B454" s="1655"/>
      <c r="C454" s="1655"/>
      <c r="D454" s="1655"/>
      <c r="E454" s="1655"/>
      <c r="F454" s="1655"/>
      <c r="G454" s="1655"/>
      <c r="H454" s="1655"/>
      <c r="I454" s="1655"/>
      <c r="J454" s="1655"/>
      <c r="K454" s="1655"/>
      <c r="L454" s="1655"/>
      <c r="M454" s="1655"/>
      <c r="N454" s="1655"/>
      <c r="O454" s="1655"/>
      <c r="P454" s="1655"/>
      <c r="Q454" s="1655"/>
      <c r="R454" s="1655"/>
      <c r="S454" s="1655"/>
      <c r="T454" s="1655"/>
      <c r="U454" s="1655"/>
      <c r="V454" s="1655"/>
      <c r="W454" s="1655"/>
      <c r="X454" s="1655"/>
      <c r="Y454" s="1655"/>
      <c r="Z454" s="1655"/>
      <c r="AA454" s="1655"/>
      <c r="AB454" s="1655"/>
      <c r="AC454" s="1655"/>
      <c r="AD454" s="1655"/>
      <c r="AE454" s="1655"/>
      <c r="AF454" s="1655"/>
      <c r="AG454" s="1655"/>
      <c r="AH454" s="1655"/>
      <c r="AI454" s="1655"/>
      <c r="AJ454" s="1655"/>
      <c r="AK454" s="1655"/>
      <c r="AL454" s="1655"/>
      <c r="AM454" s="1655"/>
      <c r="AN454" s="1655"/>
      <c r="AO454" s="1655"/>
      <c r="AP454" s="1655"/>
      <c r="AQ454" s="1655"/>
      <c r="AR454" s="1655"/>
      <c r="AS454" s="1655"/>
      <c r="AT454" s="1655"/>
      <c r="AU454" s="1655"/>
      <c r="AV454" s="1655"/>
      <c r="AW454" s="1655"/>
      <c r="AX454" s="1655"/>
      <c r="AY454" s="1655"/>
      <c r="AZ454" s="1655"/>
      <c r="BA454" s="1655"/>
      <c r="BB454" s="1655"/>
      <c r="BC454" s="1655"/>
      <c r="BD454" s="1655"/>
      <c r="BE454" s="1655"/>
      <c r="BF454" s="1655"/>
      <c r="BG454" s="1655"/>
      <c r="BH454" s="1655"/>
      <c r="BI454" s="1655"/>
      <c r="BJ454" s="1655"/>
      <c r="BK454" s="1655"/>
      <c r="BL454" s="1655"/>
      <c r="BM454" s="1655"/>
      <c r="BN454" s="1655"/>
      <c r="BO454" s="1655"/>
      <c r="BP454" s="1655"/>
      <c r="BQ454" s="1655"/>
      <c r="BR454" s="1655"/>
      <c r="BS454" s="1655"/>
      <c r="BT454" s="1655"/>
      <c r="BU454" s="1655"/>
      <c r="BV454" s="1655"/>
      <c r="BW454" s="1655"/>
      <c r="BX454" s="1655"/>
      <c r="BY454" s="1655"/>
      <c r="BZ454" s="1655"/>
      <c r="CA454" s="1655"/>
      <c r="CB454" s="1655"/>
      <c r="CC454" s="1655"/>
      <c r="CD454" s="1655"/>
      <c r="CE454" s="1655"/>
      <c r="CF454" s="1655"/>
      <c r="CG454" s="1655"/>
      <c r="CH454" s="1655"/>
      <c r="CI454" s="1655"/>
      <c r="CJ454" s="1655"/>
      <c r="CK454" s="1655"/>
      <c r="CL454" s="1655"/>
      <c r="CM454" s="1655"/>
      <c r="CN454" s="1655"/>
      <c r="CO454" s="1655"/>
      <c r="CP454" s="1655"/>
      <c r="CQ454" s="1655"/>
      <c r="CR454" s="1655"/>
      <c r="CS454" s="1655"/>
      <c r="CT454" s="1655"/>
      <c r="CU454" s="1655"/>
      <c r="CV454" s="1655"/>
      <c r="CW454" s="1655"/>
      <c r="CX454" s="1655"/>
      <c r="CY454" s="1655"/>
      <c r="CZ454" s="1655"/>
      <c r="DA454" s="1655"/>
      <c r="DB454" s="1655"/>
      <c r="DC454" s="1655"/>
      <c r="DD454" s="1655"/>
      <c r="DE454" s="1655"/>
      <c r="DF454" s="1655"/>
      <c r="DG454" s="1655"/>
      <c r="DH454" s="1655"/>
      <c r="DI454" s="1655"/>
      <c r="DJ454" s="1655"/>
      <c r="DK454" s="1655"/>
      <c r="DL454" s="1655"/>
      <c r="DM454" s="1655"/>
      <c r="DN454" s="1655"/>
      <c r="DO454" s="1655"/>
      <c r="DP454" s="1655"/>
      <c r="DQ454" s="1655"/>
      <c r="DR454" s="1655"/>
      <c r="DS454" s="1655"/>
      <c r="DT454" s="1655"/>
      <c r="DU454" s="1655"/>
      <c r="DV454" s="1655"/>
      <c r="DW454" s="1655"/>
      <c r="DX454" s="1655"/>
      <c r="DY454" s="1655"/>
      <c r="DZ454" s="1655"/>
      <c r="EA454" s="1655"/>
      <c r="EB454" s="1655"/>
      <c r="EC454" s="1655"/>
      <c r="ED454" s="1655"/>
      <c r="EE454" s="1655"/>
      <c r="EF454" s="1655"/>
      <c r="EG454" s="1655"/>
      <c r="EH454" s="1655"/>
      <c r="EI454" s="1655"/>
      <c r="EJ454" s="1655"/>
      <c r="EK454" s="1655"/>
      <c r="EL454" s="1655"/>
      <c r="EM454" s="1655"/>
      <c r="EN454" s="1655"/>
      <c r="EO454" s="1655"/>
      <c r="EP454" s="1655"/>
      <c r="EQ454" s="1655"/>
      <c r="ER454" s="1655"/>
      <c r="ES454" s="1655"/>
      <c r="ET454" s="1655"/>
      <c r="EU454" s="1655"/>
      <c r="EV454" s="1655"/>
      <c r="EW454" s="1655"/>
      <c r="EX454" s="1655"/>
      <c r="EY454" s="1655"/>
      <c r="EZ454" s="1655"/>
      <c r="FA454" s="1655"/>
      <c r="FB454" s="1655"/>
      <c r="FC454" s="1655"/>
      <c r="FD454" s="1655"/>
      <c r="FE454" s="1655"/>
      <c r="FF454" s="1655"/>
      <c r="FG454" s="1655"/>
      <c r="FH454" s="1655"/>
      <c r="FI454" s="1655"/>
    </row>
    <row r="455" spans="1:165">
      <c r="A455" s="1655"/>
      <c r="B455" s="1655"/>
      <c r="C455" s="1655"/>
      <c r="D455" s="1655"/>
      <c r="E455" s="1655"/>
      <c r="F455" s="1655"/>
      <c r="G455" s="1655"/>
      <c r="H455" s="1655"/>
      <c r="I455" s="1655"/>
      <c r="J455" s="1655"/>
      <c r="K455" s="1655"/>
      <c r="L455" s="1655"/>
      <c r="M455" s="1655"/>
      <c r="N455" s="1655"/>
      <c r="O455" s="1655"/>
      <c r="P455" s="1655"/>
      <c r="Q455" s="1655"/>
      <c r="R455" s="1655"/>
      <c r="S455" s="1655"/>
      <c r="T455" s="1655"/>
      <c r="U455" s="1655"/>
      <c r="V455" s="1655"/>
      <c r="W455" s="1655"/>
      <c r="X455" s="1655"/>
      <c r="Y455" s="1655"/>
      <c r="Z455" s="1655"/>
      <c r="AA455" s="1655"/>
      <c r="AB455" s="1655"/>
      <c r="AC455" s="1655"/>
      <c r="AD455" s="1655"/>
      <c r="AE455" s="1655"/>
      <c r="AF455" s="1655"/>
      <c r="AG455" s="1655"/>
      <c r="AH455" s="1655"/>
      <c r="AI455" s="1655"/>
      <c r="AJ455" s="1655"/>
      <c r="AK455" s="1655"/>
      <c r="AL455" s="1655"/>
      <c r="AM455" s="1655"/>
      <c r="AN455" s="1655"/>
      <c r="AO455" s="1655"/>
      <c r="AP455" s="1655"/>
      <c r="AQ455" s="1655"/>
      <c r="AR455" s="1655"/>
      <c r="AS455" s="1655"/>
      <c r="AT455" s="1655"/>
      <c r="AU455" s="1655"/>
      <c r="AV455" s="1655"/>
      <c r="AW455" s="1655"/>
      <c r="AX455" s="1655"/>
      <c r="AY455" s="1655"/>
      <c r="AZ455" s="1655"/>
      <c r="BA455" s="1655"/>
      <c r="BB455" s="1655"/>
      <c r="BC455" s="1655"/>
      <c r="BD455" s="1655"/>
      <c r="BE455" s="1655"/>
      <c r="BF455" s="1655"/>
      <c r="BG455" s="1655"/>
      <c r="BH455" s="1655"/>
      <c r="BI455" s="1655"/>
      <c r="BJ455" s="1655"/>
      <c r="BK455" s="1655"/>
      <c r="BL455" s="1655"/>
      <c r="BM455" s="1655"/>
      <c r="BN455" s="1655"/>
      <c r="BO455" s="1655"/>
      <c r="BP455" s="1655"/>
      <c r="BQ455" s="1655"/>
      <c r="BR455" s="1655"/>
      <c r="BS455" s="1655"/>
      <c r="BT455" s="1655"/>
      <c r="BU455" s="1655"/>
      <c r="BV455" s="1655"/>
      <c r="BW455" s="1655"/>
      <c r="BX455" s="1655"/>
      <c r="BY455" s="1655"/>
      <c r="BZ455" s="1655"/>
      <c r="CA455" s="1655"/>
      <c r="CB455" s="1655"/>
      <c r="CC455" s="1655"/>
      <c r="CD455" s="1655"/>
      <c r="CE455" s="1655"/>
      <c r="CF455" s="1655"/>
      <c r="CG455" s="1655"/>
      <c r="CH455" s="1655"/>
      <c r="CI455" s="1655"/>
      <c r="CJ455" s="1655"/>
      <c r="CK455" s="1655"/>
      <c r="CL455" s="1655"/>
      <c r="CM455" s="1655"/>
      <c r="CN455" s="1655"/>
      <c r="CO455" s="1655"/>
      <c r="CP455" s="1655"/>
      <c r="CQ455" s="1655"/>
      <c r="CR455" s="1655"/>
      <c r="CS455" s="1655"/>
      <c r="CT455" s="1655"/>
      <c r="CU455" s="1655"/>
      <c r="CV455" s="1655"/>
      <c r="CW455" s="1655"/>
      <c r="CX455" s="1655"/>
      <c r="CY455" s="1655"/>
      <c r="CZ455" s="1655"/>
      <c r="DA455" s="1655"/>
      <c r="DB455" s="1655"/>
      <c r="DC455" s="1655"/>
      <c r="DD455" s="1655"/>
      <c r="DE455" s="1655"/>
      <c r="DF455" s="1655"/>
      <c r="DG455" s="1655"/>
      <c r="DH455" s="1655"/>
      <c r="DI455" s="1655"/>
      <c r="DJ455" s="1655"/>
      <c r="DK455" s="1655"/>
      <c r="DL455" s="1655"/>
      <c r="DM455" s="1655"/>
      <c r="DN455" s="1655"/>
      <c r="DO455" s="1655"/>
      <c r="DP455" s="1655"/>
      <c r="DQ455" s="1655"/>
      <c r="DR455" s="1655"/>
      <c r="DS455" s="1655"/>
      <c r="DT455" s="1655"/>
      <c r="DU455" s="1655"/>
      <c r="DV455" s="1655"/>
      <c r="DW455" s="1655"/>
      <c r="DX455" s="1655"/>
      <c r="DY455" s="1655"/>
      <c r="DZ455" s="1655"/>
      <c r="EA455" s="1655"/>
      <c r="EB455" s="1655"/>
      <c r="EC455" s="1655"/>
      <c r="ED455" s="1655"/>
      <c r="EE455" s="1655"/>
      <c r="EF455" s="1655"/>
      <c r="EG455" s="1655"/>
      <c r="EH455" s="1655"/>
      <c r="EI455" s="1655"/>
      <c r="EJ455" s="1655"/>
      <c r="EK455" s="1655"/>
      <c r="EL455" s="1655"/>
      <c r="EM455" s="1655"/>
      <c r="EN455" s="1655"/>
      <c r="EO455" s="1655"/>
      <c r="EP455" s="1655"/>
      <c r="EQ455" s="1655"/>
      <c r="ER455" s="1655"/>
      <c r="ES455" s="1655"/>
      <c r="ET455" s="1655"/>
      <c r="EU455" s="1655"/>
      <c r="EV455" s="1655"/>
      <c r="EW455" s="1655"/>
      <c r="EX455" s="1655"/>
      <c r="EY455" s="1655"/>
      <c r="EZ455" s="1655"/>
      <c r="FA455" s="1655"/>
      <c r="FB455" s="1655"/>
      <c r="FC455" s="1655"/>
      <c r="FD455" s="1655"/>
      <c r="FE455" s="1655"/>
      <c r="FF455" s="1655"/>
      <c r="FG455" s="1655"/>
      <c r="FH455" s="1655"/>
      <c r="FI455" s="1655"/>
    </row>
    <row r="456" spans="1:165">
      <c r="A456" s="1655"/>
      <c r="B456" s="1655"/>
      <c r="C456" s="1655"/>
      <c r="D456" s="1655"/>
      <c r="E456" s="1655"/>
      <c r="F456" s="1655"/>
      <c r="G456" s="1655"/>
      <c r="H456" s="1655"/>
      <c r="I456" s="1655"/>
      <c r="J456" s="1655"/>
      <c r="K456" s="1655"/>
      <c r="L456" s="1655"/>
      <c r="M456" s="1655"/>
      <c r="N456" s="1655"/>
      <c r="O456" s="1655"/>
      <c r="P456" s="1655"/>
      <c r="Q456" s="1655"/>
      <c r="R456" s="1655"/>
      <c r="S456" s="1655"/>
      <c r="T456" s="1655"/>
      <c r="U456" s="1655"/>
      <c r="V456" s="1655"/>
      <c r="W456" s="1655"/>
      <c r="X456" s="1655"/>
      <c r="Y456" s="1655"/>
      <c r="Z456" s="1655"/>
      <c r="AA456" s="1655"/>
      <c r="AB456" s="1655"/>
      <c r="AC456" s="1655"/>
      <c r="AD456" s="1655"/>
      <c r="AE456" s="1655"/>
      <c r="AF456" s="1655"/>
      <c r="AG456" s="1655"/>
      <c r="AH456" s="1655"/>
      <c r="AI456" s="1655"/>
      <c r="AJ456" s="1655"/>
      <c r="AK456" s="1655"/>
      <c r="AL456" s="1655"/>
      <c r="AM456" s="1655"/>
      <c r="AN456" s="1655"/>
      <c r="AO456" s="1655"/>
      <c r="AP456" s="1655"/>
      <c r="AQ456" s="1655"/>
      <c r="AR456" s="1655"/>
      <c r="AS456" s="1655"/>
      <c r="AT456" s="1655"/>
      <c r="AU456" s="1655"/>
      <c r="AV456" s="1655"/>
      <c r="AW456" s="1655"/>
      <c r="AX456" s="1655"/>
      <c r="AY456" s="1655"/>
      <c r="AZ456" s="1655"/>
      <c r="BA456" s="1655"/>
      <c r="BB456" s="1655"/>
      <c r="BC456" s="1655"/>
      <c r="BD456" s="1655"/>
      <c r="BE456" s="1655"/>
      <c r="BF456" s="1655"/>
      <c r="BG456" s="1655"/>
      <c r="BH456" s="1655"/>
      <c r="BI456" s="1655"/>
      <c r="BJ456" s="1655"/>
      <c r="BK456" s="1655"/>
      <c r="BL456" s="1655"/>
      <c r="BM456" s="1655"/>
      <c r="BN456" s="1655"/>
      <c r="BO456" s="1655"/>
      <c r="BP456" s="1655"/>
      <c r="BQ456" s="1655"/>
      <c r="BR456" s="1655"/>
      <c r="BS456" s="1655"/>
      <c r="BT456" s="1655"/>
      <c r="BU456" s="1655"/>
      <c r="BV456" s="1655"/>
      <c r="BW456" s="1655"/>
      <c r="BX456" s="1655"/>
      <c r="BY456" s="1655"/>
      <c r="BZ456" s="1655"/>
      <c r="CA456" s="1655"/>
      <c r="CB456" s="1655"/>
      <c r="CC456" s="1655"/>
      <c r="CD456" s="1655"/>
      <c r="CE456" s="1655"/>
      <c r="CF456" s="1655"/>
      <c r="CG456" s="1655"/>
      <c r="CH456" s="1655"/>
      <c r="CI456" s="1655"/>
      <c r="CJ456" s="1655"/>
      <c r="CK456" s="1655"/>
      <c r="CL456" s="1655"/>
      <c r="CM456" s="1655"/>
      <c r="CN456" s="1655"/>
      <c r="CO456" s="1655"/>
      <c r="CP456" s="1655"/>
      <c r="CQ456" s="1655"/>
      <c r="CR456" s="1655"/>
      <c r="CS456" s="1655"/>
      <c r="CT456" s="1655"/>
      <c r="CU456" s="1655"/>
      <c r="CV456" s="1655"/>
      <c r="CW456" s="1655"/>
      <c r="CX456" s="1655"/>
      <c r="CY456" s="1655"/>
      <c r="CZ456" s="1655"/>
      <c r="DA456" s="1655"/>
      <c r="DB456" s="1655"/>
      <c r="DC456" s="1655"/>
      <c r="DD456" s="1655"/>
      <c r="DE456" s="1655"/>
      <c r="DF456" s="1655"/>
      <c r="DG456" s="1655"/>
      <c r="DH456" s="1655"/>
      <c r="DI456" s="1655"/>
      <c r="DJ456" s="1655"/>
      <c r="DK456" s="1655"/>
      <c r="DL456" s="1655"/>
      <c r="DM456" s="1655"/>
      <c r="DN456" s="1655"/>
      <c r="DO456" s="1655"/>
      <c r="DP456" s="1655"/>
      <c r="DQ456" s="1655"/>
      <c r="DR456" s="1655"/>
      <c r="DS456" s="1655"/>
      <c r="DT456" s="1655"/>
      <c r="DU456" s="1655"/>
      <c r="DV456" s="1655"/>
      <c r="DW456" s="1655"/>
      <c r="DX456" s="1655"/>
      <c r="DY456" s="1655"/>
      <c r="DZ456" s="1655"/>
      <c r="EA456" s="1655"/>
      <c r="EB456" s="1655"/>
      <c r="EC456" s="1655"/>
      <c r="ED456" s="1655"/>
      <c r="EE456" s="1655"/>
      <c r="EF456" s="1655"/>
      <c r="EG456" s="1655"/>
      <c r="EH456" s="1655"/>
      <c r="EI456" s="1655"/>
      <c r="EJ456" s="1655"/>
      <c r="EK456" s="1655"/>
      <c r="EL456" s="1655"/>
      <c r="EM456" s="1655"/>
      <c r="EN456" s="1655"/>
      <c r="EO456" s="1655"/>
      <c r="EP456" s="1655"/>
      <c r="EQ456" s="1655"/>
      <c r="ER456" s="1655"/>
      <c r="ES456" s="1655"/>
      <c r="ET456" s="1655"/>
      <c r="EU456" s="1655"/>
      <c r="EV456" s="1655"/>
      <c r="EW456" s="1655"/>
      <c r="EX456" s="1655"/>
      <c r="EY456" s="1655"/>
      <c r="EZ456" s="1655"/>
      <c r="FA456" s="1655"/>
      <c r="FB456" s="1655"/>
      <c r="FC456" s="1655"/>
      <c r="FD456" s="1655"/>
      <c r="FE456" s="1655"/>
      <c r="FF456" s="1655"/>
      <c r="FG456" s="1655"/>
      <c r="FH456" s="1655"/>
      <c r="FI456" s="1655"/>
    </row>
    <row r="457" spans="1:165">
      <c r="A457" s="1655"/>
      <c r="B457" s="1655"/>
      <c r="C457" s="1655"/>
      <c r="D457" s="1655"/>
      <c r="E457" s="1655"/>
      <c r="F457" s="1655"/>
      <c r="G457" s="1655"/>
      <c r="H457" s="1655"/>
      <c r="I457" s="1655"/>
      <c r="J457" s="1655"/>
      <c r="K457" s="1655"/>
      <c r="L457" s="1655"/>
      <c r="M457" s="1655"/>
      <c r="N457" s="1655"/>
      <c r="O457" s="1655"/>
      <c r="P457" s="1655"/>
      <c r="Q457" s="1655"/>
      <c r="R457" s="1655"/>
      <c r="S457" s="1655"/>
      <c r="T457" s="1655"/>
      <c r="U457" s="1655"/>
      <c r="V457" s="1655"/>
      <c r="W457" s="1655"/>
      <c r="X457" s="1655"/>
      <c r="Y457" s="1655"/>
      <c r="Z457" s="1655"/>
      <c r="AA457" s="1655"/>
      <c r="AB457" s="1655"/>
      <c r="AC457" s="1655"/>
      <c r="AD457" s="1655"/>
      <c r="AE457" s="1655"/>
      <c r="AF457" s="1655"/>
      <c r="AG457" s="1655"/>
      <c r="AH457" s="1655"/>
      <c r="AI457" s="1655"/>
      <c r="AJ457" s="1655"/>
      <c r="AK457" s="1655"/>
      <c r="AL457" s="1655"/>
      <c r="AM457" s="1655"/>
      <c r="AN457" s="1655"/>
      <c r="AO457" s="1655"/>
      <c r="AP457" s="1655"/>
      <c r="AQ457" s="1655"/>
      <c r="AR457" s="1655"/>
      <c r="AS457" s="1655"/>
      <c r="AT457" s="1655"/>
      <c r="AU457" s="1655"/>
      <c r="AV457" s="1655"/>
      <c r="AW457" s="1655"/>
      <c r="AX457" s="1655"/>
      <c r="AY457" s="1655"/>
      <c r="AZ457" s="1655"/>
      <c r="BA457" s="1655"/>
      <c r="BB457" s="1655"/>
      <c r="BC457" s="1655"/>
      <c r="BD457" s="1655"/>
      <c r="BE457" s="1655"/>
      <c r="BF457" s="1655"/>
      <c r="BG457" s="1655"/>
      <c r="BH457" s="1655"/>
      <c r="BI457" s="1655"/>
      <c r="BJ457" s="1655"/>
      <c r="BK457" s="1655"/>
      <c r="BL457" s="1655"/>
      <c r="BM457" s="1655"/>
      <c r="BN457" s="1655"/>
      <c r="BO457" s="1655"/>
      <c r="BP457" s="1655"/>
      <c r="BQ457" s="1655"/>
      <c r="BR457" s="1655"/>
      <c r="BS457" s="1655"/>
      <c r="BT457" s="1655"/>
      <c r="BU457" s="1655"/>
      <c r="BV457" s="1655"/>
      <c r="BW457" s="1655"/>
      <c r="BX457" s="1655"/>
      <c r="BY457" s="1655"/>
      <c r="BZ457" s="1655"/>
      <c r="CA457" s="1655"/>
      <c r="CB457" s="1655"/>
      <c r="CC457" s="1655"/>
      <c r="CD457" s="1655"/>
      <c r="CE457" s="1655"/>
      <c r="CF457" s="1655"/>
      <c r="CG457" s="1655"/>
      <c r="CH457" s="1655"/>
      <c r="CI457" s="1655"/>
      <c r="CJ457" s="1655"/>
      <c r="CK457" s="1655"/>
      <c r="CL457" s="1655"/>
      <c r="CM457" s="1655"/>
      <c r="CN457" s="1655"/>
      <c r="CO457" s="1655"/>
      <c r="CP457" s="1655"/>
      <c r="CQ457" s="1655"/>
      <c r="CR457" s="1655"/>
      <c r="CS457" s="1655"/>
      <c r="CT457" s="1655"/>
      <c r="CU457" s="1655"/>
      <c r="CV457" s="1655"/>
      <c r="CW457" s="1655"/>
      <c r="CX457" s="1655"/>
      <c r="CY457" s="1655"/>
      <c r="CZ457" s="1655"/>
      <c r="DA457" s="1655"/>
      <c r="DB457" s="1655"/>
      <c r="DC457" s="1655"/>
      <c r="DD457" s="1655"/>
      <c r="DE457" s="1655"/>
      <c r="DF457" s="1655"/>
      <c r="DG457" s="1655"/>
      <c r="DH457" s="1655"/>
      <c r="DI457" s="1655"/>
      <c r="DJ457" s="1655"/>
      <c r="DK457" s="1655"/>
      <c r="DL457" s="1655"/>
      <c r="DM457" s="1655"/>
      <c r="DN457" s="1655"/>
      <c r="DO457" s="1655"/>
      <c r="DP457" s="1655"/>
      <c r="DQ457" s="1655"/>
      <c r="DR457" s="1655"/>
      <c r="DS457" s="1655"/>
      <c r="DT457" s="1655"/>
      <c r="DU457" s="1655"/>
      <c r="DV457" s="1655"/>
      <c r="DW457" s="1655"/>
      <c r="DX457" s="1655"/>
      <c r="DY457" s="1655"/>
      <c r="DZ457" s="1655"/>
      <c r="EA457" s="1655"/>
      <c r="EB457" s="1655"/>
      <c r="EC457" s="1655"/>
      <c r="ED457" s="1655"/>
      <c r="EE457" s="1655"/>
      <c r="EF457" s="1655"/>
      <c r="EG457" s="1655"/>
      <c r="EH457" s="1655"/>
      <c r="EI457" s="1655"/>
      <c r="EJ457" s="1655"/>
      <c r="EK457" s="1655"/>
      <c r="EL457" s="1655"/>
      <c r="EM457" s="1655"/>
      <c r="EN457" s="1655"/>
      <c r="EO457" s="1655"/>
      <c r="EP457" s="1655"/>
      <c r="EQ457" s="1655"/>
      <c r="ER457" s="1655"/>
      <c r="ES457" s="1655"/>
      <c r="ET457" s="1655"/>
      <c r="EU457" s="1655"/>
      <c r="EV457" s="1655"/>
      <c r="EW457" s="1655"/>
      <c r="EX457" s="1655"/>
      <c r="EY457" s="1655"/>
      <c r="EZ457" s="1655"/>
      <c r="FA457" s="1655"/>
      <c r="FB457" s="1655"/>
      <c r="FC457" s="1655"/>
      <c r="FD457" s="1655"/>
      <c r="FE457" s="1655"/>
      <c r="FF457" s="1655"/>
      <c r="FG457" s="1655"/>
      <c r="FH457" s="1655"/>
      <c r="FI457" s="1655"/>
    </row>
    <row r="458" spans="1:165">
      <c r="A458" s="1655"/>
      <c r="B458" s="1655"/>
      <c r="C458" s="1655"/>
      <c r="D458" s="1655"/>
      <c r="E458" s="1655"/>
      <c r="F458" s="1655"/>
      <c r="G458" s="1655"/>
      <c r="H458" s="1655"/>
      <c r="I458" s="1655"/>
      <c r="J458" s="1655"/>
      <c r="K458" s="1655"/>
      <c r="L458" s="1655"/>
      <c r="M458" s="1655"/>
      <c r="N458" s="1655"/>
      <c r="O458" s="1655"/>
      <c r="P458" s="1655"/>
      <c r="Q458" s="1655"/>
      <c r="R458" s="1655"/>
      <c r="S458" s="1655"/>
      <c r="T458" s="1655"/>
      <c r="U458" s="1655"/>
      <c r="V458" s="1655"/>
      <c r="W458" s="1655"/>
      <c r="X458" s="1655"/>
      <c r="Y458" s="1655"/>
      <c r="Z458" s="1655"/>
      <c r="AA458" s="1655"/>
      <c r="AB458" s="1655"/>
      <c r="AC458" s="1655"/>
      <c r="AD458" s="1655"/>
      <c r="AE458" s="1655"/>
      <c r="AF458" s="1655"/>
      <c r="AG458" s="1655"/>
      <c r="AH458" s="1655"/>
      <c r="AI458" s="1655"/>
      <c r="AJ458" s="1655"/>
      <c r="AK458" s="1655"/>
      <c r="AL458" s="1655"/>
      <c r="AM458" s="1655"/>
      <c r="AN458" s="1655"/>
      <c r="AO458" s="1655"/>
      <c r="AP458" s="1655"/>
      <c r="AQ458" s="1655"/>
      <c r="AR458" s="1655"/>
      <c r="AS458" s="1655"/>
      <c r="AT458" s="1655"/>
      <c r="AU458" s="1655"/>
      <c r="AV458" s="1655"/>
      <c r="AW458" s="1655"/>
      <c r="AX458" s="1655"/>
      <c r="AY458" s="1655"/>
      <c r="AZ458" s="1655"/>
      <c r="BA458" s="1655"/>
      <c r="BB458" s="1655"/>
      <c r="BC458" s="1655"/>
      <c r="BD458" s="1655"/>
      <c r="BE458" s="1655"/>
      <c r="BF458" s="1655"/>
      <c r="BG458" s="1655"/>
      <c r="BH458" s="1655"/>
      <c r="BI458" s="1655"/>
      <c r="BJ458" s="1655"/>
      <c r="BK458" s="1655"/>
      <c r="BL458" s="1655"/>
      <c r="BM458" s="1655"/>
      <c r="BN458" s="1655"/>
      <c r="BO458" s="1655"/>
      <c r="BP458" s="1655"/>
      <c r="BQ458" s="1655"/>
      <c r="BR458" s="1655"/>
      <c r="BS458" s="1655"/>
      <c r="BT458" s="1655"/>
      <c r="BU458" s="1655"/>
      <c r="BV458" s="1655"/>
      <c r="BW458" s="1655"/>
      <c r="BX458" s="1655"/>
      <c r="BY458" s="1655"/>
      <c r="BZ458" s="1655"/>
      <c r="CA458" s="1655"/>
      <c r="CB458" s="1655"/>
      <c r="CC458" s="1655"/>
      <c r="CD458" s="1655"/>
      <c r="CE458" s="1655"/>
      <c r="CF458" s="1655"/>
      <c r="CG458" s="1655"/>
      <c r="CH458" s="1655"/>
      <c r="CI458" s="1655"/>
      <c r="CJ458" s="1655"/>
      <c r="CK458" s="1655"/>
      <c r="CL458" s="1655"/>
      <c r="CM458" s="1655"/>
      <c r="CN458" s="1655"/>
      <c r="CO458" s="1655"/>
      <c r="CP458" s="1655"/>
      <c r="CQ458" s="1655"/>
      <c r="CR458" s="1655"/>
      <c r="CS458" s="1655"/>
      <c r="CT458" s="1655"/>
      <c r="CU458" s="1655"/>
      <c r="CV458" s="1655"/>
      <c r="CW458" s="1655"/>
      <c r="CX458" s="1655"/>
      <c r="CY458" s="1655"/>
      <c r="CZ458" s="1655"/>
      <c r="DA458" s="1655"/>
      <c r="DB458" s="1655"/>
      <c r="DC458" s="1655"/>
      <c r="DD458" s="1655"/>
      <c r="DE458" s="1655"/>
      <c r="DF458" s="1655"/>
      <c r="DG458" s="1655"/>
      <c r="DH458" s="1655"/>
      <c r="DI458" s="1655"/>
      <c r="DJ458" s="1655"/>
      <c r="DK458" s="1655"/>
      <c r="DL458" s="1655"/>
      <c r="DM458" s="1655"/>
      <c r="DN458" s="1655"/>
      <c r="DO458" s="1655"/>
      <c r="DP458" s="1655"/>
      <c r="DQ458" s="1655"/>
      <c r="DR458" s="1655"/>
      <c r="DS458" s="1655"/>
      <c r="DT458" s="1655"/>
      <c r="DU458" s="1655"/>
      <c r="DV458" s="1655"/>
      <c r="DW458" s="1655"/>
      <c r="DX458" s="1655"/>
      <c r="DY458" s="1655"/>
      <c r="DZ458" s="1655"/>
      <c r="EA458" s="1655"/>
      <c r="EB458" s="1655"/>
      <c r="EC458" s="1655"/>
      <c r="ED458" s="1655"/>
      <c r="EE458" s="1655"/>
      <c r="EF458" s="1655"/>
      <c r="EG458" s="1655"/>
      <c r="EH458" s="1655"/>
      <c r="EI458" s="1655"/>
      <c r="EJ458" s="1655"/>
      <c r="EK458" s="1655"/>
      <c r="EL458" s="1655"/>
      <c r="EM458" s="1655"/>
      <c r="EN458" s="1655"/>
      <c r="EO458" s="1655"/>
      <c r="EP458" s="1655"/>
      <c r="EQ458" s="1655"/>
      <c r="ER458" s="1655"/>
      <c r="ES458" s="1655"/>
      <c r="ET458" s="1655"/>
      <c r="EU458" s="1655"/>
      <c r="EV458" s="1655"/>
      <c r="EW458" s="1655"/>
      <c r="EX458" s="1655"/>
      <c r="EY458" s="1655"/>
      <c r="EZ458" s="1655"/>
      <c r="FA458" s="1655"/>
      <c r="FB458" s="1655"/>
      <c r="FC458" s="1655"/>
      <c r="FD458" s="1655"/>
      <c r="FE458" s="1655"/>
      <c r="FF458" s="1655"/>
      <c r="FG458" s="1655"/>
      <c r="FH458" s="1655"/>
      <c r="FI458" s="1655"/>
    </row>
    <row r="459" spans="1:165">
      <c r="A459" s="1655"/>
      <c r="B459" s="1655"/>
      <c r="C459" s="1655"/>
      <c r="D459" s="1655"/>
      <c r="E459" s="1655"/>
      <c r="F459" s="1655"/>
      <c r="G459" s="1655"/>
      <c r="H459" s="1655"/>
      <c r="I459" s="1655"/>
      <c r="J459" s="1655"/>
      <c r="K459" s="1655"/>
      <c r="L459" s="1655"/>
      <c r="M459" s="1655"/>
      <c r="N459" s="1655"/>
      <c r="O459" s="1655"/>
      <c r="P459" s="1655"/>
      <c r="Q459" s="1655"/>
      <c r="R459" s="1655"/>
      <c r="S459" s="1655"/>
      <c r="T459" s="1655"/>
      <c r="U459" s="1655"/>
      <c r="V459" s="1655"/>
      <c r="W459" s="1655"/>
      <c r="X459" s="1655"/>
      <c r="Y459" s="1655"/>
      <c r="Z459" s="1655"/>
      <c r="AA459" s="1655"/>
      <c r="AB459" s="1655"/>
      <c r="AC459" s="1655"/>
      <c r="AD459" s="1655"/>
      <c r="AE459" s="1655"/>
      <c r="AF459" s="1655"/>
      <c r="AG459" s="1655"/>
      <c r="AH459" s="1655"/>
      <c r="AI459" s="1655"/>
      <c r="AJ459" s="1655"/>
      <c r="AK459" s="1655"/>
      <c r="AL459" s="1655"/>
      <c r="AM459" s="1655"/>
      <c r="AN459" s="1655"/>
      <c r="AO459" s="1655"/>
      <c r="AP459" s="1655"/>
      <c r="AQ459" s="1655"/>
      <c r="AR459" s="1655"/>
      <c r="AS459" s="1655"/>
      <c r="AT459" s="1655"/>
      <c r="AU459" s="1655"/>
      <c r="AV459" s="1655"/>
      <c r="AW459" s="1655"/>
      <c r="AX459" s="1655"/>
      <c r="AY459" s="1655"/>
      <c r="AZ459" s="1655"/>
      <c r="BA459" s="1655"/>
      <c r="BB459" s="1655"/>
      <c r="BC459" s="1655"/>
      <c r="BD459" s="1655"/>
      <c r="BE459" s="1655"/>
      <c r="BF459" s="1655"/>
      <c r="BG459" s="1655"/>
      <c r="BH459" s="1655"/>
      <c r="BI459" s="1655"/>
      <c r="BJ459" s="1655"/>
      <c r="BK459" s="1655"/>
      <c r="BL459" s="1655"/>
      <c r="BM459" s="1655"/>
      <c r="BN459" s="1655"/>
      <c r="BO459" s="1655"/>
      <c r="BP459" s="1655"/>
      <c r="BQ459" s="1655"/>
      <c r="BR459" s="1655"/>
      <c r="BS459" s="1655"/>
      <c r="BT459" s="1655"/>
      <c r="BU459" s="1655"/>
      <c r="BV459" s="1655"/>
      <c r="BW459" s="1655"/>
      <c r="BX459" s="1655"/>
      <c r="BY459" s="1655"/>
      <c r="BZ459" s="1655"/>
      <c r="CA459" s="1655"/>
      <c r="CB459" s="1655"/>
      <c r="CC459" s="1655"/>
      <c r="CD459" s="1655"/>
      <c r="CE459" s="1655"/>
      <c r="CF459" s="1655"/>
      <c r="CG459" s="1655"/>
      <c r="CH459" s="1655"/>
      <c r="CI459" s="1655"/>
      <c r="CJ459" s="1655"/>
      <c r="CK459" s="1655"/>
      <c r="CL459" s="1655"/>
      <c r="CM459" s="1655"/>
      <c r="CN459" s="1655"/>
      <c r="CO459" s="1655"/>
      <c r="CP459" s="1655"/>
      <c r="CQ459" s="1655"/>
      <c r="CR459" s="1655"/>
      <c r="CS459" s="1655"/>
      <c r="CT459" s="1655"/>
      <c r="CU459" s="1655"/>
      <c r="CV459" s="1655"/>
      <c r="CW459" s="1655"/>
      <c r="CX459" s="1655"/>
      <c r="CY459" s="1655"/>
      <c r="CZ459" s="1655"/>
      <c r="DA459" s="1655"/>
      <c r="DB459" s="1655"/>
      <c r="DC459" s="1655"/>
      <c r="DD459" s="1655"/>
      <c r="DE459" s="1655"/>
      <c r="DF459" s="1655"/>
      <c r="DG459" s="1655"/>
      <c r="DH459" s="1655"/>
      <c r="DI459" s="1655"/>
      <c r="DJ459" s="1655"/>
      <c r="DK459" s="1655"/>
      <c r="DL459" s="1655"/>
      <c r="DM459" s="1655"/>
      <c r="DN459" s="1655"/>
      <c r="DO459" s="1655"/>
      <c r="DP459" s="1655"/>
      <c r="DQ459" s="1655"/>
      <c r="DR459" s="1655"/>
      <c r="DS459" s="1655"/>
      <c r="DT459" s="1655"/>
      <c r="DU459" s="1655"/>
      <c r="DV459" s="1655"/>
      <c r="DW459" s="1655"/>
      <c r="DX459" s="1655"/>
      <c r="DY459" s="1655"/>
      <c r="DZ459" s="1655"/>
      <c r="EA459" s="1655"/>
      <c r="EB459" s="1655"/>
      <c r="EC459" s="1655"/>
      <c r="ED459" s="1655"/>
      <c r="EE459" s="1655"/>
      <c r="EF459" s="1655"/>
      <c r="EG459" s="1655"/>
      <c r="EH459" s="1655"/>
      <c r="EI459" s="1655"/>
      <c r="EJ459" s="1655"/>
      <c r="EK459" s="1655"/>
      <c r="EL459" s="1655"/>
      <c r="EM459" s="1655"/>
      <c r="EN459" s="1655"/>
      <c r="EO459" s="1655"/>
      <c r="EP459" s="1655"/>
      <c r="EQ459" s="1655"/>
      <c r="ER459" s="1655"/>
      <c r="ES459" s="1655"/>
      <c r="ET459" s="1655"/>
      <c r="EU459" s="1655"/>
      <c r="EV459" s="1655"/>
      <c r="EW459" s="1655"/>
      <c r="EX459" s="1655"/>
      <c r="EY459" s="1655"/>
      <c r="EZ459" s="1655"/>
      <c r="FA459" s="1655"/>
      <c r="FB459" s="1655"/>
      <c r="FC459" s="1655"/>
      <c r="FD459" s="1655"/>
      <c r="FE459" s="1655"/>
      <c r="FF459" s="1655"/>
      <c r="FG459" s="1655"/>
      <c r="FH459" s="1655"/>
      <c r="FI459" s="1655"/>
    </row>
    <row r="460" spans="1:165">
      <c r="A460" s="1655"/>
      <c r="B460" s="1655"/>
      <c r="C460" s="1655"/>
      <c r="D460" s="1655"/>
      <c r="E460" s="1655"/>
      <c r="F460" s="1655"/>
      <c r="G460" s="1655"/>
      <c r="H460" s="1655"/>
      <c r="I460" s="1655"/>
      <c r="J460" s="1655"/>
      <c r="K460" s="1655"/>
      <c r="L460" s="1655"/>
      <c r="M460" s="1655"/>
      <c r="N460" s="1655"/>
      <c r="O460" s="1655"/>
      <c r="P460" s="1655"/>
      <c r="Q460" s="1655"/>
      <c r="R460" s="1655"/>
      <c r="S460" s="1655"/>
      <c r="T460" s="1655"/>
      <c r="U460" s="1655"/>
      <c r="V460" s="1655"/>
      <c r="W460" s="1655"/>
      <c r="X460" s="1655"/>
      <c r="Y460" s="1655"/>
      <c r="Z460" s="1655"/>
      <c r="AA460" s="1655"/>
      <c r="AB460" s="1655"/>
      <c r="AC460" s="1655"/>
      <c r="AD460" s="1655"/>
      <c r="AE460" s="1655"/>
      <c r="AF460" s="1655"/>
      <c r="AG460" s="1655"/>
      <c r="AH460" s="1655"/>
      <c r="AI460" s="1655"/>
      <c r="AJ460" s="1655"/>
      <c r="AK460" s="1655"/>
      <c r="AL460" s="1655"/>
      <c r="AM460" s="1655"/>
      <c r="AN460" s="1655"/>
      <c r="AO460" s="1655"/>
      <c r="AP460" s="1655"/>
      <c r="AQ460" s="1655"/>
      <c r="AR460" s="1655"/>
      <c r="AS460" s="1655"/>
      <c r="AT460" s="1655"/>
      <c r="AU460" s="1655"/>
      <c r="AV460" s="1655"/>
      <c r="AW460" s="1655"/>
      <c r="AX460" s="1655"/>
      <c r="AY460" s="1655"/>
      <c r="AZ460" s="1655"/>
      <c r="BA460" s="1655"/>
      <c r="BB460" s="1655"/>
      <c r="BC460" s="1655"/>
      <c r="BD460" s="1655"/>
      <c r="BE460" s="1655"/>
      <c r="BF460" s="1655"/>
      <c r="BG460" s="1655"/>
      <c r="BH460" s="1655"/>
      <c r="BI460" s="1655"/>
      <c r="BJ460" s="1655"/>
      <c r="BK460" s="1655"/>
      <c r="BL460" s="1655"/>
      <c r="BM460" s="1655"/>
      <c r="BN460" s="1655"/>
      <c r="BO460" s="1655"/>
      <c r="BP460" s="1655"/>
      <c r="BQ460" s="1655"/>
      <c r="BR460" s="1655"/>
      <c r="BS460" s="1655"/>
      <c r="BT460" s="1655"/>
      <c r="BU460" s="1655"/>
      <c r="BV460" s="1655"/>
      <c r="BW460" s="1655"/>
      <c r="BX460" s="1655"/>
      <c r="BY460" s="1655"/>
      <c r="BZ460" s="1655"/>
      <c r="CA460" s="1655"/>
      <c r="CB460" s="1655"/>
      <c r="CC460" s="1655"/>
      <c r="CD460" s="1655"/>
      <c r="CE460" s="1655"/>
      <c r="CF460" s="1655"/>
      <c r="CG460" s="1655"/>
      <c r="CH460" s="1655"/>
      <c r="CI460" s="1655"/>
      <c r="CJ460" s="1655"/>
      <c r="CK460" s="1655"/>
      <c r="CL460" s="1655"/>
      <c r="CM460" s="1655"/>
      <c r="CN460" s="1655"/>
      <c r="CO460" s="1655"/>
      <c r="CP460" s="1655"/>
      <c r="CQ460" s="1655"/>
      <c r="CR460" s="1655"/>
      <c r="CS460" s="1655"/>
      <c r="CT460" s="1655"/>
      <c r="CU460" s="1655"/>
      <c r="CV460" s="1655"/>
      <c r="CW460" s="1655"/>
      <c r="CX460" s="1655"/>
      <c r="CY460" s="1655"/>
      <c r="CZ460" s="1655"/>
      <c r="DA460" s="1655"/>
      <c r="DB460" s="1655"/>
      <c r="DC460" s="1655"/>
      <c r="DD460" s="1655"/>
      <c r="DE460" s="1655"/>
      <c r="DF460" s="1655"/>
      <c r="DG460" s="1655"/>
      <c r="DH460" s="1655"/>
      <c r="DI460" s="1655"/>
      <c r="DJ460" s="1655"/>
      <c r="DK460" s="1655"/>
      <c r="DL460" s="1655"/>
      <c r="DM460" s="1655"/>
      <c r="DN460" s="1655"/>
      <c r="DO460" s="1655"/>
      <c r="DP460" s="1655"/>
      <c r="DQ460" s="1655"/>
      <c r="DR460" s="1655"/>
      <c r="DS460" s="1655"/>
      <c r="DT460" s="1655"/>
      <c r="DU460" s="1655"/>
      <c r="DV460" s="1655"/>
      <c r="DW460" s="1655"/>
      <c r="DX460" s="1655"/>
      <c r="DY460" s="1655"/>
      <c r="DZ460" s="1655"/>
      <c r="EA460" s="1655"/>
      <c r="EB460" s="1655"/>
      <c r="EC460" s="1655"/>
      <c r="ED460" s="1655"/>
      <c r="EE460" s="1655"/>
      <c r="EF460" s="1655"/>
      <c r="EG460" s="1655"/>
      <c r="EH460" s="1655"/>
      <c r="EI460" s="1655"/>
      <c r="EJ460" s="1655"/>
      <c r="EK460" s="1655"/>
      <c r="EL460" s="1655"/>
      <c r="EM460" s="1655"/>
      <c r="EN460" s="1655"/>
      <c r="EO460" s="1655"/>
      <c r="EP460" s="1655"/>
      <c r="EQ460" s="1655"/>
      <c r="ER460" s="1655"/>
      <c r="ES460" s="1655"/>
      <c r="ET460" s="1655"/>
      <c r="EU460" s="1655"/>
      <c r="EV460" s="1655"/>
      <c r="EW460" s="1655"/>
      <c r="EX460" s="1655"/>
      <c r="EY460" s="1655"/>
      <c r="EZ460" s="1655"/>
      <c r="FA460" s="1655"/>
      <c r="FB460" s="1655"/>
      <c r="FC460" s="1655"/>
      <c r="FD460" s="1655"/>
      <c r="FE460" s="1655"/>
      <c r="FF460" s="1655"/>
      <c r="FG460" s="1655"/>
      <c r="FH460" s="1655"/>
      <c r="FI460" s="1655"/>
    </row>
    <row r="461" spans="1:165">
      <c r="A461" s="1655"/>
      <c r="B461" s="1655"/>
      <c r="C461" s="1655"/>
      <c r="D461" s="1655"/>
      <c r="E461" s="1655"/>
      <c r="F461" s="1655"/>
      <c r="G461" s="1655"/>
      <c r="H461" s="1655"/>
      <c r="I461" s="1655"/>
      <c r="J461" s="1655"/>
      <c r="K461" s="1655"/>
      <c r="L461" s="1655"/>
      <c r="M461" s="1655"/>
      <c r="N461" s="1655"/>
      <c r="O461" s="1655"/>
      <c r="P461" s="1655"/>
      <c r="Q461" s="1655"/>
      <c r="R461" s="1655"/>
      <c r="S461" s="1655"/>
      <c r="T461" s="1655"/>
      <c r="U461" s="1655"/>
      <c r="V461" s="1655"/>
      <c r="W461" s="1655"/>
      <c r="X461" s="1655"/>
      <c r="Y461" s="1655"/>
      <c r="Z461" s="1655"/>
      <c r="AA461" s="1655"/>
      <c r="AB461" s="1655"/>
      <c r="AC461" s="1655"/>
      <c r="AD461" s="1655"/>
      <c r="AE461" s="1655"/>
      <c r="AF461" s="1655"/>
      <c r="AG461" s="1655"/>
      <c r="AH461" s="1655"/>
      <c r="AI461" s="1655"/>
      <c r="AJ461" s="1655"/>
      <c r="AK461" s="1655"/>
      <c r="AL461" s="1655"/>
      <c r="AM461" s="1655"/>
      <c r="AN461" s="1655"/>
      <c r="AO461" s="1655"/>
      <c r="AP461" s="1655"/>
      <c r="AQ461" s="1655"/>
      <c r="AR461" s="1655"/>
      <c r="AS461" s="1655"/>
      <c r="AT461" s="1655"/>
      <c r="AU461" s="1655"/>
      <c r="AV461" s="1655"/>
      <c r="AW461" s="1655"/>
      <c r="AX461" s="1655"/>
      <c r="AY461" s="1655"/>
      <c r="AZ461" s="1655"/>
      <c r="BA461" s="1655"/>
      <c r="BB461" s="1655"/>
      <c r="BC461" s="1655"/>
      <c r="BD461" s="1655"/>
      <c r="BE461" s="1655"/>
      <c r="BF461" s="1655"/>
      <c r="BG461" s="1655"/>
      <c r="BH461" s="1655"/>
      <c r="BI461" s="1655"/>
      <c r="BJ461" s="1655"/>
      <c r="BK461" s="1655"/>
      <c r="BL461" s="1655"/>
      <c r="BM461" s="1655"/>
      <c r="BN461" s="1655"/>
      <c r="BO461" s="1655"/>
      <c r="BP461" s="1655"/>
      <c r="BQ461" s="1655"/>
      <c r="BR461" s="1655"/>
      <c r="BS461" s="1655"/>
      <c r="BT461" s="1655"/>
      <c r="BU461" s="1655"/>
      <c r="BV461" s="1655"/>
      <c r="BW461" s="1655"/>
      <c r="BX461" s="1655"/>
      <c r="BY461" s="1655"/>
      <c r="BZ461" s="1655"/>
      <c r="CA461" s="1655"/>
      <c r="CB461" s="1655"/>
      <c r="CC461" s="1655"/>
      <c r="CD461" s="1655"/>
      <c r="CE461" s="1655"/>
      <c r="CF461" s="1655"/>
      <c r="CG461" s="1655"/>
      <c r="CH461" s="1655"/>
      <c r="CI461" s="1655"/>
      <c r="CJ461" s="1655"/>
      <c r="CK461" s="1655"/>
      <c r="CL461" s="1655"/>
      <c r="CM461" s="1655"/>
      <c r="CN461" s="1655"/>
      <c r="CO461" s="1655"/>
      <c r="CP461" s="1655"/>
      <c r="CQ461" s="1655"/>
      <c r="CR461" s="1655"/>
      <c r="CS461" s="1655"/>
      <c r="CT461" s="1655"/>
      <c r="CU461" s="1655"/>
      <c r="CV461" s="1655"/>
      <c r="CW461" s="1655"/>
      <c r="CX461" s="1655"/>
      <c r="CY461" s="1655"/>
      <c r="CZ461" s="1655"/>
      <c r="DA461" s="1655"/>
      <c r="DB461" s="1655"/>
      <c r="DC461" s="1655"/>
      <c r="DD461" s="1655"/>
      <c r="DE461" s="1655"/>
      <c r="DF461" s="1655"/>
      <c r="DG461" s="1655"/>
      <c r="DH461" s="1655"/>
      <c r="DI461" s="1655"/>
      <c r="DJ461" s="1655"/>
      <c r="DK461" s="1655"/>
      <c r="DL461" s="1655"/>
      <c r="DM461" s="1655"/>
      <c r="DN461" s="1655"/>
      <c r="DO461" s="1655"/>
      <c r="DP461" s="1655"/>
      <c r="DQ461" s="1655"/>
      <c r="DR461" s="1655"/>
      <c r="DS461" s="1655"/>
      <c r="DT461" s="1655"/>
      <c r="DU461" s="1655"/>
      <c r="DV461" s="1655"/>
      <c r="DW461" s="1655"/>
      <c r="DX461" s="1655"/>
      <c r="DY461" s="1655"/>
      <c r="DZ461" s="1655"/>
      <c r="EA461" s="1655"/>
      <c r="EB461" s="1655"/>
      <c r="EC461" s="1655"/>
      <c r="ED461" s="1655"/>
      <c r="EE461" s="1655"/>
      <c r="EF461" s="1655"/>
      <c r="EG461" s="1655"/>
      <c r="EH461" s="1655"/>
      <c r="EI461" s="1655"/>
      <c r="EJ461" s="1655"/>
      <c r="EK461" s="1655"/>
      <c r="EL461" s="1655"/>
      <c r="EM461" s="1655"/>
      <c r="EN461" s="1655"/>
      <c r="EO461" s="1655"/>
      <c r="EP461" s="1655"/>
      <c r="EQ461" s="1655"/>
      <c r="ER461" s="1655"/>
      <c r="ES461" s="1655"/>
      <c r="ET461" s="1655"/>
      <c r="EU461" s="1655"/>
      <c r="EV461" s="1655"/>
      <c r="EW461" s="1655"/>
      <c r="EX461" s="1655"/>
      <c r="EY461" s="1655"/>
      <c r="EZ461" s="1655"/>
      <c r="FA461" s="1655"/>
      <c r="FB461" s="1655"/>
      <c r="FC461" s="1655"/>
      <c r="FD461" s="1655"/>
      <c r="FE461" s="1655"/>
      <c r="FF461" s="1655"/>
      <c r="FG461" s="1655"/>
      <c r="FH461" s="1655"/>
      <c r="FI461" s="1655"/>
    </row>
    <row r="462" spans="1:165">
      <c r="A462" s="1655"/>
      <c r="B462" s="1655"/>
      <c r="C462" s="1655"/>
      <c r="D462" s="1655"/>
      <c r="E462" s="1655"/>
      <c r="F462" s="1655"/>
      <c r="G462" s="1655"/>
      <c r="H462" s="1655"/>
      <c r="I462" s="1655"/>
      <c r="J462" s="1655"/>
      <c r="K462" s="1655"/>
      <c r="L462" s="1655"/>
      <c r="M462" s="1655"/>
      <c r="N462" s="1655"/>
      <c r="O462" s="1655"/>
      <c r="P462" s="1655"/>
      <c r="Q462" s="1655"/>
      <c r="R462" s="1655"/>
      <c r="S462" s="1655"/>
      <c r="T462" s="1655"/>
      <c r="U462" s="1655"/>
      <c r="V462" s="1655"/>
      <c r="W462" s="1655"/>
      <c r="X462" s="1655"/>
      <c r="Y462" s="1655"/>
      <c r="Z462" s="1655"/>
      <c r="AA462" s="1655"/>
      <c r="AB462" s="1655"/>
      <c r="AC462" s="1655"/>
      <c r="AD462" s="1655"/>
      <c r="AE462" s="1655"/>
      <c r="AF462" s="1655"/>
      <c r="AG462" s="1655"/>
      <c r="AH462" s="1655"/>
      <c r="AI462" s="1655"/>
      <c r="AJ462" s="1655"/>
      <c r="AK462" s="1655"/>
      <c r="AL462" s="1655"/>
      <c r="AM462" s="1655"/>
      <c r="AN462" s="1655"/>
      <c r="AO462" s="1655"/>
      <c r="AP462" s="1655"/>
      <c r="AQ462" s="1655"/>
      <c r="AR462" s="1655"/>
      <c r="AS462" s="1655"/>
      <c r="AT462" s="1655"/>
      <c r="AU462" s="1655"/>
      <c r="AV462" s="1655"/>
      <c r="AW462" s="1655"/>
      <c r="AX462" s="1655"/>
      <c r="AY462" s="1655"/>
      <c r="AZ462" s="1655"/>
      <c r="BA462" s="1655"/>
      <c r="BB462" s="1655"/>
      <c r="BC462" s="1655"/>
      <c r="BD462" s="1655"/>
      <c r="BE462" s="1655"/>
      <c r="BF462" s="1655"/>
      <c r="BG462" s="1655"/>
      <c r="BH462" s="1655"/>
      <c r="BI462" s="1655"/>
      <c r="BJ462" s="1655"/>
      <c r="BK462" s="1655"/>
      <c r="BL462" s="1655"/>
      <c r="BM462" s="1655"/>
      <c r="BN462" s="1655"/>
      <c r="BO462" s="1655"/>
      <c r="BP462" s="1655"/>
      <c r="BQ462" s="1655"/>
      <c r="BR462" s="1655"/>
      <c r="BS462" s="1655"/>
      <c r="BT462" s="1655"/>
      <c r="BU462" s="1655"/>
      <c r="BV462" s="1655"/>
      <c r="BW462" s="1655"/>
      <c r="BX462" s="1655"/>
      <c r="BY462" s="1655"/>
      <c r="BZ462" s="1655"/>
      <c r="CA462" s="1655"/>
      <c r="CB462" s="1655"/>
      <c r="CC462" s="1655"/>
      <c r="CD462" s="1655"/>
      <c r="CE462" s="1655"/>
      <c r="CF462" s="1655"/>
      <c r="CG462" s="1655"/>
      <c r="CH462" s="1655"/>
      <c r="CI462" s="1655"/>
      <c r="CJ462" s="1655"/>
      <c r="CK462" s="1655"/>
      <c r="CL462" s="1655"/>
      <c r="CM462" s="1655"/>
      <c r="CN462" s="1655"/>
      <c r="CO462" s="1655"/>
      <c r="CP462" s="1655"/>
      <c r="CQ462" s="1655"/>
      <c r="CR462" s="1655"/>
      <c r="CS462" s="1655"/>
      <c r="CT462" s="1655"/>
      <c r="CU462" s="1655"/>
      <c r="CV462" s="1655"/>
      <c r="CW462" s="1655"/>
      <c r="CX462" s="1655"/>
      <c r="CY462" s="1655"/>
      <c r="CZ462" s="1655"/>
      <c r="DA462" s="1655"/>
      <c r="DB462" s="1655"/>
      <c r="DC462" s="1655"/>
      <c r="DD462" s="1655"/>
      <c r="DE462" s="1655"/>
      <c r="DF462" s="1655"/>
      <c r="DG462" s="1655"/>
      <c r="DH462" s="1655"/>
      <c r="DI462" s="1655"/>
      <c r="DJ462" s="1655"/>
      <c r="DK462" s="1655"/>
      <c r="DL462" s="1655"/>
      <c r="DM462" s="1655"/>
      <c r="DN462" s="1655"/>
      <c r="DO462" s="1655"/>
      <c r="DP462" s="1655"/>
      <c r="DQ462" s="1655"/>
      <c r="DR462" s="1655"/>
      <c r="DS462" s="1655"/>
      <c r="DT462" s="1655"/>
      <c r="DU462" s="1655"/>
      <c r="DV462" s="1655"/>
      <c r="DW462" s="1655"/>
      <c r="DX462" s="1655"/>
      <c r="DY462" s="1655"/>
      <c r="DZ462" s="1655"/>
      <c r="EA462" s="1655"/>
      <c r="EB462" s="1655"/>
      <c r="EC462" s="1655"/>
      <c r="ED462" s="1655"/>
      <c r="EE462" s="1655"/>
      <c r="EF462" s="1655"/>
      <c r="EG462" s="1655"/>
      <c r="EH462" s="1655"/>
      <c r="EI462" s="1655"/>
      <c r="EJ462" s="1655"/>
      <c r="EK462" s="1655"/>
      <c r="EL462" s="1655"/>
      <c r="EM462" s="1655"/>
      <c r="EN462" s="1655"/>
      <c r="EO462" s="1655"/>
      <c r="EP462" s="1655"/>
      <c r="EQ462" s="1655"/>
      <c r="ER462" s="1655"/>
      <c r="ES462" s="1655"/>
      <c r="ET462" s="1655"/>
      <c r="EU462" s="1655"/>
      <c r="EV462" s="1655"/>
      <c r="EW462" s="1655"/>
      <c r="EX462" s="1655"/>
      <c r="EY462" s="1655"/>
      <c r="EZ462" s="1655"/>
      <c r="FA462" s="1655"/>
      <c r="FB462" s="1655"/>
      <c r="FC462" s="1655"/>
      <c r="FD462" s="1655"/>
      <c r="FE462" s="1655"/>
      <c r="FF462" s="1655"/>
      <c r="FG462" s="1655"/>
      <c r="FH462" s="1655"/>
      <c r="FI462" s="1655"/>
    </row>
    <row r="463" spans="1:165">
      <c r="A463" s="1655"/>
      <c r="B463" s="1655"/>
      <c r="C463" s="1655"/>
      <c r="D463" s="1655"/>
      <c r="E463" s="1655"/>
      <c r="F463" s="1655"/>
      <c r="G463" s="1655"/>
      <c r="H463" s="1655"/>
      <c r="I463" s="1655"/>
      <c r="J463" s="1655"/>
      <c r="K463" s="1655"/>
      <c r="L463" s="1655"/>
      <c r="M463" s="1655"/>
      <c r="N463" s="1655"/>
      <c r="O463" s="1655"/>
      <c r="P463" s="1655"/>
      <c r="Q463" s="1655"/>
      <c r="R463" s="1655"/>
      <c r="S463" s="1655"/>
      <c r="T463" s="1655"/>
      <c r="U463" s="1655"/>
      <c r="V463" s="1655"/>
      <c r="W463" s="1655"/>
      <c r="X463" s="1655"/>
      <c r="Y463" s="1655"/>
      <c r="Z463" s="1655"/>
      <c r="AA463" s="1655"/>
      <c r="AB463" s="1655"/>
      <c r="AC463" s="1655"/>
      <c r="AD463" s="1655"/>
      <c r="AE463" s="1655"/>
      <c r="AF463" s="1655"/>
      <c r="AG463" s="1655"/>
      <c r="AH463" s="1655"/>
      <c r="AI463" s="1655"/>
      <c r="AJ463" s="1655"/>
      <c r="AK463" s="1655"/>
      <c r="AL463" s="1655"/>
      <c r="AM463" s="1655"/>
      <c r="AN463" s="1655"/>
      <c r="AO463" s="1655"/>
      <c r="AP463" s="1655"/>
      <c r="AQ463" s="1655"/>
      <c r="AR463" s="1655"/>
      <c r="AS463" s="1655"/>
      <c r="AT463" s="1655"/>
      <c r="AU463" s="1655"/>
      <c r="AV463" s="1655"/>
      <c r="AW463" s="1655"/>
      <c r="AX463" s="1655"/>
      <c r="AY463" s="1655"/>
      <c r="AZ463" s="1655"/>
      <c r="BA463" s="1655"/>
      <c r="BB463" s="1655"/>
      <c r="BC463" s="1655"/>
      <c r="BD463" s="1655"/>
      <c r="BE463" s="1655"/>
      <c r="BF463" s="1655"/>
      <c r="BG463" s="1655"/>
      <c r="BH463" s="1655"/>
      <c r="BI463" s="1655"/>
      <c r="BJ463" s="1655"/>
      <c r="BK463" s="1655"/>
      <c r="BL463" s="1655"/>
      <c r="BM463" s="1655"/>
      <c r="BN463" s="1655"/>
      <c r="BO463" s="1655"/>
      <c r="BP463" s="1655"/>
      <c r="BQ463" s="1655"/>
      <c r="BR463" s="1655"/>
      <c r="BS463" s="1655"/>
      <c r="BT463" s="1655"/>
      <c r="BU463" s="1655"/>
      <c r="BV463" s="1655"/>
      <c r="BW463" s="1655"/>
      <c r="BX463" s="1655"/>
      <c r="BY463" s="1655"/>
      <c r="BZ463" s="1655"/>
      <c r="CA463" s="1655"/>
      <c r="CB463" s="1655"/>
      <c r="CC463" s="1655"/>
      <c r="CD463" s="1655"/>
      <c r="CE463" s="1655"/>
      <c r="CF463" s="1655"/>
      <c r="CG463" s="1655"/>
      <c r="CH463" s="1655"/>
      <c r="CI463" s="1655"/>
      <c r="CJ463" s="1655"/>
      <c r="CK463" s="1655"/>
      <c r="CL463" s="1655"/>
      <c r="CM463" s="1655"/>
      <c r="CN463" s="1655"/>
      <c r="CO463" s="1655"/>
      <c r="CP463" s="1655"/>
      <c r="CQ463" s="1655"/>
      <c r="CR463" s="1655"/>
      <c r="CS463" s="1655"/>
      <c r="CT463" s="1655"/>
      <c r="CU463" s="1655"/>
      <c r="CV463" s="1655"/>
      <c r="CW463" s="1655"/>
      <c r="CX463" s="1655"/>
      <c r="CY463" s="1655"/>
      <c r="CZ463" s="1655"/>
      <c r="DA463" s="1655"/>
      <c r="DB463" s="1655"/>
      <c r="DC463" s="1655"/>
      <c r="DD463" s="1655"/>
      <c r="DE463" s="1655"/>
      <c r="DF463" s="1655"/>
      <c r="DG463" s="1655"/>
      <c r="DH463" s="1655"/>
      <c r="DI463" s="1655"/>
      <c r="DJ463" s="1655"/>
      <c r="DK463" s="1655"/>
      <c r="DL463" s="1655"/>
      <c r="DM463" s="1655"/>
      <c r="DN463" s="1655"/>
      <c r="DO463" s="1655"/>
      <c r="DP463" s="1655"/>
      <c r="DQ463" s="1655"/>
      <c r="DR463" s="1655"/>
      <c r="DS463" s="1655"/>
      <c r="DT463" s="1655"/>
      <c r="DU463" s="1655"/>
      <c r="DV463" s="1655"/>
      <c r="DW463" s="1655"/>
      <c r="DX463" s="1655"/>
      <c r="DY463" s="1655"/>
      <c r="DZ463" s="1655"/>
      <c r="EA463" s="1655"/>
      <c r="EB463" s="1655"/>
      <c r="EC463" s="1655"/>
      <c r="ED463" s="1655"/>
      <c r="EE463" s="1655"/>
      <c r="EF463" s="1655"/>
      <c r="EG463" s="1655"/>
      <c r="EH463" s="1655"/>
      <c r="EI463" s="1655"/>
      <c r="EJ463" s="1655"/>
      <c r="EK463" s="1655"/>
      <c r="EL463" s="1655"/>
      <c r="EM463" s="1655"/>
      <c r="EN463" s="1655"/>
      <c r="EO463" s="1655"/>
      <c r="EP463" s="1655"/>
      <c r="EQ463" s="1655"/>
      <c r="ER463" s="1655"/>
      <c r="ES463" s="1655"/>
      <c r="ET463" s="1655"/>
      <c r="EU463" s="1655"/>
      <c r="EV463" s="1655"/>
      <c r="EW463" s="1655"/>
      <c r="EX463" s="1655"/>
      <c r="EY463" s="1655"/>
      <c r="EZ463" s="1655"/>
      <c r="FA463" s="1655"/>
      <c r="FB463" s="1655"/>
      <c r="FC463" s="1655"/>
      <c r="FD463" s="1655"/>
      <c r="FE463" s="1655"/>
      <c r="FF463" s="1655"/>
      <c r="FG463" s="1655"/>
      <c r="FH463" s="1655"/>
      <c r="FI463" s="1655"/>
    </row>
    <row r="464" spans="1:165">
      <c r="A464" s="1655"/>
      <c r="B464" s="1655"/>
      <c r="C464" s="1655"/>
      <c r="D464" s="1655"/>
      <c r="E464" s="1655"/>
      <c r="F464" s="1655"/>
      <c r="G464" s="1655"/>
      <c r="H464" s="1655"/>
      <c r="I464" s="1655"/>
      <c r="J464" s="1655"/>
      <c r="K464" s="1655"/>
      <c r="L464" s="1655"/>
      <c r="M464" s="1655"/>
      <c r="N464" s="1655"/>
      <c r="O464" s="1655"/>
      <c r="P464" s="1655"/>
      <c r="Q464" s="1655"/>
      <c r="R464" s="1655"/>
      <c r="S464" s="1655"/>
      <c r="T464" s="1655"/>
      <c r="U464" s="1655"/>
      <c r="V464" s="1655"/>
      <c r="W464" s="1655"/>
      <c r="X464" s="1655"/>
      <c r="Y464" s="1655"/>
      <c r="Z464" s="1655"/>
      <c r="AA464" s="1655"/>
      <c r="AB464" s="1655"/>
      <c r="AC464" s="1655"/>
      <c r="AD464" s="1655"/>
      <c r="AE464" s="1655"/>
      <c r="AF464" s="1655"/>
      <c r="AG464" s="1655"/>
      <c r="AH464" s="1655"/>
      <c r="AI464" s="1655"/>
      <c r="AJ464" s="1655"/>
      <c r="AK464" s="1655"/>
      <c r="AL464" s="1655"/>
      <c r="AM464" s="1655"/>
      <c r="AN464" s="1655"/>
      <c r="AO464" s="1655"/>
      <c r="AP464" s="1655"/>
      <c r="AQ464" s="1655"/>
      <c r="AR464" s="1655"/>
      <c r="AS464" s="1655"/>
      <c r="AT464" s="1655"/>
      <c r="AU464" s="1655"/>
      <c r="AV464" s="1655"/>
      <c r="AW464" s="1655"/>
      <c r="AX464" s="1655"/>
      <c r="AY464" s="1655"/>
      <c r="AZ464" s="1655"/>
      <c r="BA464" s="1655"/>
      <c r="BB464" s="1655"/>
      <c r="BC464" s="1655"/>
      <c r="BD464" s="1655"/>
      <c r="BE464" s="1655"/>
      <c r="BF464" s="1655"/>
      <c r="BG464" s="1655"/>
      <c r="BH464" s="1655"/>
      <c r="BI464" s="1655"/>
      <c r="BJ464" s="1655"/>
      <c r="BK464" s="1655"/>
      <c r="BL464" s="1655"/>
      <c r="BM464" s="1655"/>
      <c r="BN464" s="1655"/>
      <c r="BO464" s="1655"/>
      <c r="BP464" s="1655"/>
      <c r="BQ464" s="1655"/>
      <c r="BR464" s="1655"/>
      <c r="BS464" s="1655"/>
      <c r="BT464" s="1655"/>
      <c r="BU464" s="1655"/>
      <c r="BV464" s="1655"/>
      <c r="BW464" s="1655"/>
      <c r="BX464" s="1655"/>
      <c r="BY464" s="1655"/>
      <c r="BZ464" s="1655"/>
      <c r="CA464" s="1655"/>
      <c r="CB464" s="1655"/>
      <c r="CC464" s="1655"/>
      <c r="CD464" s="1655"/>
      <c r="CE464" s="1655"/>
      <c r="CF464" s="1655"/>
      <c r="CG464" s="1655"/>
      <c r="CH464" s="1655"/>
      <c r="CI464" s="1655"/>
      <c r="CJ464" s="1655"/>
      <c r="CK464" s="1655"/>
      <c r="CL464" s="1655"/>
      <c r="CM464" s="1655"/>
      <c r="CN464" s="1655"/>
      <c r="CO464" s="1655"/>
      <c r="CP464" s="1655"/>
      <c r="CQ464" s="1655"/>
      <c r="CR464" s="1655"/>
      <c r="CS464" s="1655"/>
      <c r="CT464" s="1655"/>
      <c r="CU464" s="1655"/>
      <c r="CV464" s="1655"/>
      <c r="CW464" s="1655"/>
      <c r="CX464" s="1655"/>
      <c r="CY464" s="1655"/>
      <c r="CZ464" s="1655"/>
      <c r="DA464" s="1655"/>
      <c r="DB464" s="1655"/>
      <c r="DC464" s="1655"/>
      <c r="DD464" s="1655"/>
      <c r="DE464" s="1655"/>
      <c r="DF464" s="1655"/>
      <c r="DG464" s="1655"/>
      <c r="DH464" s="1655"/>
      <c r="DI464" s="1655"/>
      <c r="DJ464" s="1655"/>
      <c r="DK464" s="1655"/>
      <c r="DL464" s="1655"/>
      <c r="DM464" s="1655"/>
      <c r="DN464" s="1655"/>
      <c r="DO464" s="1655"/>
      <c r="DP464" s="1655"/>
      <c r="DQ464" s="1655"/>
      <c r="DR464" s="1655"/>
      <c r="DS464" s="1655"/>
      <c r="DT464" s="1655"/>
      <c r="DU464" s="1655"/>
      <c r="DV464" s="1655"/>
      <c r="DW464" s="1655"/>
      <c r="DX464" s="1655"/>
      <c r="DY464" s="1655"/>
      <c r="DZ464" s="1655"/>
      <c r="EA464" s="1655"/>
      <c r="EB464" s="1655"/>
      <c r="EC464" s="1655"/>
      <c r="ED464" s="1655"/>
      <c r="EE464" s="1655"/>
      <c r="EF464" s="1655"/>
      <c r="EG464" s="1655"/>
      <c r="EH464" s="1655"/>
      <c r="EI464" s="1655"/>
      <c r="EJ464" s="1655"/>
      <c r="EK464" s="1655"/>
      <c r="EL464" s="1655"/>
      <c r="EM464" s="1655"/>
      <c r="EN464" s="1655"/>
      <c r="EO464" s="1655"/>
      <c r="EP464" s="1655"/>
      <c r="EQ464" s="1655"/>
      <c r="ER464" s="1655"/>
      <c r="ES464" s="1655"/>
      <c r="ET464" s="1655"/>
      <c r="EU464" s="1655"/>
      <c r="EV464" s="1655"/>
      <c r="EW464" s="1655"/>
      <c r="EX464" s="1655"/>
      <c r="EY464" s="1655"/>
      <c r="EZ464" s="1655"/>
      <c r="FA464" s="1655"/>
      <c r="FB464" s="1655"/>
      <c r="FC464" s="1655"/>
      <c r="FD464" s="1655"/>
      <c r="FE464" s="1655"/>
      <c r="FF464" s="1655"/>
      <c r="FG464" s="1655"/>
      <c r="FH464" s="1655"/>
      <c r="FI464" s="1655"/>
    </row>
    <row r="465" spans="1:165">
      <c r="A465" s="1655"/>
      <c r="B465" s="1655"/>
      <c r="C465" s="1655"/>
      <c r="D465" s="1655"/>
      <c r="E465" s="1655"/>
      <c r="F465" s="1655"/>
      <c r="G465" s="1655"/>
      <c r="H465" s="1655"/>
      <c r="I465" s="1655"/>
      <c r="J465" s="1655"/>
      <c r="K465" s="1655"/>
      <c r="L465" s="1655"/>
      <c r="M465" s="1655"/>
      <c r="N465" s="1655"/>
      <c r="O465" s="1655"/>
      <c r="P465" s="1655"/>
      <c r="Q465" s="1655"/>
      <c r="R465" s="1655"/>
      <c r="S465" s="1655"/>
      <c r="T465" s="1655"/>
      <c r="U465" s="1655"/>
      <c r="V465" s="1655"/>
      <c r="W465" s="1655"/>
      <c r="X465" s="1655"/>
      <c r="Y465" s="1655"/>
      <c r="Z465" s="1655"/>
      <c r="AA465" s="1655"/>
      <c r="AB465" s="1655"/>
      <c r="AC465" s="1655"/>
      <c r="AD465" s="1655"/>
      <c r="AE465" s="1655"/>
      <c r="AF465" s="1655"/>
      <c r="AG465" s="1655"/>
      <c r="AH465" s="1655"/>
      <c r="AI465" s="1655"/>
      <c r="AJ465" s="1655"/>
      <c r="AK465" s="1655"/>
      <c r="AL465" s="1655"/>
      <c r="AM465" s="1655"/>
      <c r="AN465" s="1655"/>
      <c r="AO465" s="1655"/>
      <c r="AP465" s="1655"/>
      <c r="AQ465" s="1655"/>
      <c r="AR465" s="1655"/>
      <c r="AS465" s="1655"/>
      <c r="AT465" s="1655"/>
      <c r="AU465" s="1655"/>
      <c r="AV465" s="1655"/>
      <c r="AW465" s="1655"/>
      <c r="AX465" s="1655"/>
      <c r="AY465" s="1655"/>
      <c r="AZ465" s="1655"/>
      <c r="BA465" s="1655"/>
      <c r="BB465" s="1655"/>
      <c r="BC465" s="1655"/>
      <c r="BD465" s="1655"/>
      <c r="BE465" s="1655"/>
      <c r="BF465" s="1655"/>
      <c r="BG465" s="1655"/>
      <c r="BH465" s="1655"/>
      <c r="BI465" s="1655"/>
      <c r="BJ465" s="1655"/>
      <c r="BK465" s="1655"/>
      <c r="BL465" s="1655"/>
      <c r="BM465" s="1655"/>
      <c r="BN465" s="1655"/>
      <c r="BO465" s="1655"/>
      <c r="BP465" s="1655"/>
      <c r="BQ465" s="1655"/>
      <c r="BR465" s="1655"/>
      <c r="BS465" s="1655"/>
      <c r="BT465" s="1655"/>
      <c r="BU465" s="1655"/>
      <c r="BV465" s="1655"/>
      <c r="BW465" s="1655"/>
      <c r="BX465" s="1655"/>
      <c r="BY465" s="1655"/>
      <c r="BZ465" s="1655"/>
      <c r="CA465" s="1655"/>
      <c r="CB465" s="1655"/>
      <c r="CC465" s="1655"/>
      <c r="CD465" s="1655"/>
      <c r="CE465" s="1655"/>
      <c r="CF465" s="1655"/>
      <c r="CG465" s="1655"/>
      <c r="CH465" s="1655"/>
      <c r="CI465" s="1655"/>
      <c r="CJ465" s="1655"/>
      <c r="CK465" s="1655"/>
      <c r="CL465" s="1655"/>
      <c r="CM465" s="1655"/>
      <c r="CN465" s="1655"/>
      <c r="CO465" s="1655"/>
      <c r="CP465" s="1655"/>
      <c r="CQ465" s="1655"/>
      <c r="CR465" s="1655"/>
      <c r="CS465" s="1655"/>
      <c r="CT465" s="1655"/>
      <c r="CU465" s="1655"/>
      <c r="CV465" s="1655"/>
      <c r="CW465" s="1655"/>
      <c r="CX465" s="1655"/>
      <c r="CY465" s="1655"/>
      <c r="CZ465" s="1655"/>
      <c r="DA465" s="1655"/>
      <c r="DB465" s="1655"/>
      <c r="DC465" s="1655"/>
      <c r="DD465" s="1655"/>
      <c r="DE465" s="1655"/>
      <c r="DF465" s="1655"/>
      <c r="DG465" s="1655"/>
      <c r="DH465" s="1655"/>
      <c r="DI465" s="1655"/>
      <c r="DJ465" s="1655"/>
      <c r="DK465" s="1655"/>
      <c r="DL465" s="1655"/>
      <c r="DM465" s="1655"/>
      <c r="DN465" s="1655"/>
      <c r="DO465" s="1655"/>
      <c r="DP465" s="1655"/>
      <c r="DQ465" s="1655"/>
      <c r="DR465" s="1655"/>
      <c r="DS465" s="1655"/>
      <c r="DT465" s="1655"/>
      <c r="DU465" s="1655"/>
      <c r="DV465" s="1655"/>
      <c r="DW465" s="1655"/>
      <c r="DX465" s="1655"/>
      <c r="DY465" s="1655"/>
      <c r="DZ465" s="1655"/>
      <c r="EA465" s="1655"/>
      <c r="EB465" s="1655"/>
      <c r="EC465" s="1655"/>
      <c r="ED465" s="1655"/>
      <c r="EE465" s="1655"/>
      <c r="EF465" s="1655"/>
      <c r="EG465" s="1655"/>
      <c r="EH465" s="1655"/>
      <c r="EI465" s="1655"/>
      <c r="EJ465" s="1655"/>
      <c r="EK465" s="1655"/>
      <c r="EL465" s="1655"/>
      <c r="EM465" s="1655"/>
      <c r="EN465" s="1655"/>
      <c r="EO465" s="1655"/>
      <c r="EP465" s="1655"/>
      <c r="EQ465" s="1655"/>
      <c r="ER465" s="1655"/>
      <c r="ES465" s="1655"/>
      <c r="ET465" s="1655"/>
      <c r="EU465" s="1655"/>
      <c r="EV465" s="1655"/>
      <c r="EW465" s="1655"/>
      <c r="EX465" s="1655"/>
      <c r="EY465" s="1655"/>
      <c r="EZ465" s="1655"/>
      <c r="FA465" s="1655"/>
      <c r="FB465" s="1655"/>
      <c r="FC465" s="1655"/>
      <c r="FD465" s="1655"/>
      <c r="FE465" s="1655"/>
      <c r="FF465" s="1655"/>
      <c r="FG465" s="1655"/>
      <c r="FH465" s="1655"/>
      <c r="FI465" s="1655"/>
    </row>
    <row r="466" spans="1:165">
      <c r="A466" s="1655"/>
      <c r="B466" s="1655"/>
      <c r="C466" s="1655"/>
      <c r="D466" s="1655"/>
      <c r="E466" s="1655"/>
      <c r="F466" s="1655"/>
      <c r="G466" s="1655"/>
      <c r="H466" s="1655"/>
      <c r="I466" s="1655"/>
      <c r="J466" s="1655"/>
      <c r="K466" s="1655"/>
      <c r="L466" s="1655"/>
      <c r="M466" s="1655"/>
      <c r="N466" s="1655"/>
      <c r="O466" s="1655"/>
      <c r="P466" s="1655"/>
      <c r="Q466" s="1655"/>
      <c r="R466" s="1655"/>
      <c r="S466" s="1655"/>
      <c r="T466" s="1655"/>
      <c r="U466" s="1655"/>
      <c r="V466" s="1655"/>
      <c r="W466" s="1655"/>
      <c r="X466" s="1655"/>
      <c r="Y466" s="1655"/>
      <c r="Z466" s="1655"/>
      <c r="AA466" s="1655"/>
      <c r="AB466" s="1655"/>
      <c r="AC466" s="1655"/>
      <c r="AD466" s="1655"/>
      <c r="AE466" s="1655"/>
      <c r="AF466" s="1655"/>
      <c r="AG466" s="1655"/>
      <c r="AH466" s="1655"/>
      <c r="AI466" s="1655"/>
      <c r="AJ466" s="1655"/>
      <c r="AK466" s="1655"/>
      <c r="AL466" s="1655"/>
      <c r="AM466" s="1655"/>
      <c r="AN466" s="1655"/>
      <c r="AO466" s="1655"/>
      <c r="AP466" s="1655"/>
      <c r="AQ466" s="1655"/>
      <c r="AR466" s="1655"/>
      <c r="AS466" s="1655"/>
      <c r="AT466" s="1655"/>
      <c r="AU466" s="1655"/>
      <c r="AV466" s="1655"/>
      <c r="AW466" s="1655"/>
      <c r="AX466" s="1655"/>
      <c r="AY466" s="1655"/>
      <c r="AZ466" s="1655"/>
      <c r="BA466" s="1655"/>
      <c r="BB466" s="1655"/>
      <c r="BC466" s="1655"/>
      <c r="BD466" s="1655"/>
      <c r="BE466" s="1655"/>
      <c r="BF466" s="1655"/>
      <c r="BG466" s="1655"/>
      <c r="BH466" s="1655"/>
      <c r="BI466" s="1655"/>
      <c r="BJ466" s="1655"/>
      <c r="BK466" s="1655"/>
      <c r="BL466" s="1655"/>
      <c r="BM466" s="1655"/>
      <c r="BN466" s="1655"/>
      <c r="BO466" s="1655"/>
      <c r="BP466" s="1655"/>
      <c r="BQ466" s="1655"/>
      <c r="BR466" s="1655"/>
      <c r="BS466" s="1655"/>
      <c r="BT466" s="1655"/>
      <c r="BU466" s="1655"/>
      <c r="BV466" s="1655"/>
      <c r="BW466" s="1655"/>
      <c r="BX466" s="1655"/>
      <c r="BY466" s="1655"/>
      <c r="BZ466" s="1655"/>
      <c r="CA466" s="1655"/>
      <c r="CB466" s="1655"/>
      <c r="CC466" s="1655"/>
      <c r="CD466" s="1655"/>
      <c r="CE466" s="1655"/>
      <c r="CF466" s="1655"/>
      <c r="CG466" s="1655"/>
      <c r="CH466" s="1655"/>
      <c r="CI466" s="1655"/>
      <c r="CJ466" s="1655"/>
      <c r="CK466" s="1655"/>
      <c r="CL466" s="1655"/>
      <c r="CM466" s="1655"/>
      <c r="CN466" s="1655"/>
      <c r="CO466" s="1655"/>
      <c r="CP466" s="1655"/>
      <c r="CQ466" s="1655"/>
      <c r="CR466" s="1655"/>
      <c r="CS466" s="1655"/>
      <c r="CT466" s="1655"/>
      <c r="CU466" s="1655"/>
      <c r="CV466" s="1655"/>
      <c r="CW466" s="1655"/>
      <c r="CX466" s="1655"/>
      <c r="CY466" s="1655"/>
      <c r="CZ466" s="1655"/>
      <c r="DA466" s="1655"/>
      <c r="DB466" s="1655"/>
      <c r="DC466" s="1655"/>
      <c r="DD466" s="1655"/>
      <c r="DE466" s="1655"/>
      <c r="DF466" s="1655"/>
      <c r="DG466" s="1655"/>
      <c r="DH466" s="1655"/>
      <c r="DI466" s="1655"/>
      <c r="DJ466" s="1655"/>
      <c r="DK466" s="1655"/>
      <c r="DL466" s="1655"/>
      <c r="DM466" s="1655"/>
      <c r="DN466" s="1655"/>
      <c r="DO466" s="1655"/>
      <c r="DP466" s="1655"/>
      <c r="DQ466" s="1655"/>
      <c r="DR466" s="1655"/>
      <c r="DS466" s="1655"/>
      <c r="DT466" s="1655"/>
      <c r="DU466" s="1655"/>
      <c r="DV466" s="1655"/>
      <c r="DW466" s="1655"/>
      <c r="DX466" s="1655"/>
      <c r="DY466" s="1655"/>
      <c r="DZ466" s="1655"/>
      <c r="EA466" s="1655"/>
      <c r="EB466" s="1655"/>
      <c r="EC466" s="1655"/>
      <c r="ED466" s="1655"/>
      <c r="EE466" s="1655"/>
      <c r="EF466" s="1655"/>
      <c r="EG466" s="1655"/>
      <c r="EH466" s="1655"/>
      <c r="EI466" s="1655"/>
      <c r="EJ466" s="1655"/>
      <c r="EK466" s="1655"/>
      <c r="EL466" s="1655"/>
      <c r="EM466" s="1655"/>
      <c r="EN466" s="1655"/>
      <c r="EO466" s="1655"/>
      <c r="EP466" s="1655"/>
      <c r="EQ466" s="1655"/>
      <c r="ER466" s="1655"/>
      <c r="ES466" s="1655"/>
      <c r="ET466" s="1655"/>
      <c r="EU466" s="1655"/>
      <c r="EV466" s="1655"/>
      <c r="EW466" s="1655"/>
      <c r="EX466" s="1655"/>
      <c r="EY466" s="1655"/>
      <c r="EZ466" s="1655"/>
      <c r="FA466" s="1655"/>
      <c r="FB466" s="1655"/>
      <c r="FC466" s="1655"/>
      <c r="FD466" s="1655"/>
      <c r="FE466" s="1655"/>
      <c r="FF466" s="1655"/>
      <c r="FG466" s="1655"/>
      <c r="FH466" s="1655"/>
      <c r="FI466" s="1655"/>
    </row>
    <row r="467" spans="1:165">
      <c r="A467" s="1655"/>
      <c r="B467" s="1655"/>
      <c r="C467" s="1655"/>
      <c r="D467" s="1655"/>
      <c r="E467" s="1655"/>
      <c r="F467" s="1655"/>
      <c r="G467" s="1655"/>
      <c r="H467" s="1655"/>
      <c r="I467" s="1655"/>
      <c r="J467" s="1655"/>
      <c r="K467" s="1655"/>
      <c r="L467" s="1655"/>
      <c r="M467" s="1655"/>
      <c r="N467" s="1655"/>
      <c r="O467" s="1655"/>
      <c r="P467" s="1655"/>
      <c r="Q467" s="1655"/>
      <c r="R467" s="1655"/>
      <c r="S467" s="1655"/>
      <c r="T467" s="1655"/>
      <c r="U467" s="1655"/>
      <c r="V467" s="1655"/>
      <c r="W467" s="1655"/>
      <c r="X467" s="1655"/>
      <c r="Y467" s="1655"/>
      <c r="Z467" s="1655"/>
      <c r="AA467" s="1655"/>
      <c r="AB467" s="1655"/>
      <c r="AC467" s="1655"/>
      <c r="AD467" s="1655"/>
      <c r="AE467" s="1655"/>
      <c r="AF467" s="1655"/>
      <c r="AG467" s="1655"/>
      <c r="AH467" s="1655"/>
      <c r="AI467" s="1655"/>
      <c r="AJ467" s="1655"/>
      <c r="AK467" s="1655"/>
      <c r="AL467" s="1655"/>
      <c r="AM467" s="1655"/>
      <c r="AN467" s="1655"/>
      <c r="AO467" s="1655"/>
      <c r="AP467" s="1655"/>
      <c r="AQ467" s="1655"/>
      <c r="AR467" s="1655"/>
      <c r="AS467" s="1655"/>
      <c r="AT467" s="1655"/>
      <c r="AU467" s="1655"/>
      <c r="AV467" s="1655"/>
      <c r="AW467" s="1655"/>
      <c r="AX467" s="1655"/>
      <c r="AY467" s="1655"/>
      <c r="AZ467" s="1655"/>
      <c r="BA467" s="1655"/>
      <c r="BB467" s="1655"/>
      <c r="BC467" s="1655"/>
      <c r="BD467" s="1655"/>
      <c r="BE467" s="1655"/>
      <c r="BF467" s="1655"/>
      <c r="BG467" s="1655"/>
      <c r="BH467" s="1655"/>
      <c r="BI467" s="1655"/>
      <c r="BJ467" s="1655"/>
      <c r="BK467" s="1655"/>
      <c r="BL467" s="1655"/>
      <c r="BM467" s="1655"/>
      <c r="BN467" s="1655"/>
      <c r="BO467" s="1655"/>
      <c r="BP467" s="1655"/>
      <c r="BQ467" s="1655"/>
      <c r="BR467" s="1655"/>
      <c r="BS467" s="1655"/>
      <c r="BT467" s="1655"/>
      <c r="BU467" s="1655"/>
      <c r="BV467" s="1655"/>
      <c r="BW467" s="1655"/>
      <c r="BX467" s="1655"/>
      <c r="BY467" s="1655"/>
      <c r="BZ467" s="1655"/>
      <c r="CA467" s="1655"/>
      <c r="CB467" s="1655"/>
      <c r="CC467" s="1655"/>
      <c r="CD467" s="1655"/>
      <c r="CE467" s="1655"/>
      <c r="CF467" s="1655"/>
      <c r="CG467" s="1655"/>
      <c r="CH467" s="1655"/>
      <c r="CI467" s="1655"/>
      <c r="CJ467" s="1655"/>
      <c r="CK467" s="1655"/>
      <c r="CL467" s="1655"/>
      <c r="CM467" s="1655"/>
      <c r="CN467" s="1655"/>
      <c r="CO467" s="1655"/>
      <c r="CP467" s="1655"/>
      <c r="CQ467" s="1655"/>
      <c r="CR467" s="1655"/>
      <c r="CS467" s="1655"/>
      <c r="CT467" s="1655"/>
      <c r="CU467" s="1655"/>
      <c r="CV467" s="1655"/>
      <c r="CW467" s="1655"/>
      <c r="CX467" s="1655"/>
      <c r="CY467" s="1655"/>
      <c r="CZ467" s="1655"/>
      <c r="DA467" s="1655"/>
      <c r="DB467" s="1655"/>
      <c r="DC467" s="1655"/>
      <c r="DD467" s="1655"/>
      <c r="DE467" s="1655"/>
      <c r="DF467" s="1655"/>
      <c r="DG467" s="1655"/>
      <c r="DH467" s="1655"/>
      <c r="DI467" s="1655"/>
      <c r="DJ467" s="1655"/>
      <c r="DK467" s="1655"/>
      <c r="DL467" s="1655"/>
      <c r="DM467" s="1655"/>
      <c r="DN467" s="1655"/>
      <c r="DO467" s="1655"/>
      <c r="DP467" s="1655"/>
      <c r="DQ467" s="1655"/>
      <c r="DR467" s="1655"/>
      <c r="DS467" s="1655"/>
      <c r="DT467" s="1655"/>
      <c r="DU467" s="1655"/>
      <c r="DV467" s="1655"/>
      <c r="DW467" s="1655"/>
      <c r="DX467" s="1655"/>
      <c r="DY467" s="1655"/>
      <c r="DZ467" s="1655"/>
      <c r="EA467" s="1655"/>
      <c r="EB467" s="1655"/>
      <c r="EC467" s="1655"/>
      <c r="ED467" s="1655"/>
      <c r="EE467" s="1655"/>
      <c r="EF467" s="1655"/>
      <c r="EG467" s="1655"/>
      <c r="EH467" s="1655"/>
      <c r="EI467" s="1655"/>
      <c r="EJ467" s="1655"/>
      <c r="EK467" s="1655"/>
      <c r="EL467" s="1655"/>
      <c r="EM467" s="1655"/>
      <c r="EN467" s="1655"/>
      <c r="EO467" s="1655"/>
      <c r="EP467" s="1655"/>
      <c r="EQ467" s="1655"/>
      <c r="ER467" s="1655"/>
      <c r="ES467" s="1655"/>
      <c r="ET467" s="1655"/>
      <c r="EU467" s="1655"/>
      <c r="EV467" s="1655"/>
      <c r="EW467" s="1655"/>
      <c r="EX467" s="1655"/>
      <c r="EY467" s="1655"/>
      <c r="EZ467" s="1655"/>
      <c r="FA467" s="1655"/>
      <c r="FB467" s="1655"/>
      <c r="FC467" s="1655"/>
      <c r="FD467" s="1655"/>
      <c r="FE467" s="1655"/>
      <c r="FF467" s="1655"/>
      <c r="FG467" s="1655"/>
      <c r="FH467" s="1655"/>
      <c r="FI467" s="1655"/>
    </row>
    <row r="468" spans="1:165">
      <c r="A468" s="1655"/>
      <c r="B468" s="1655"/>
      <c r="C468" s="1655"/>
      <c r="D468" s="1655"/>
      <c r="E468" s="1655"/>
      <c r="F468" s="1655"/>
      <c r="G468" s="1655"/>
      <c r="H468" s="1655"/>
      <c r="I468" s="1655"/>
      <c r="J468" s="1655"/>
      <c r="K468" s="1655"/>
      <c r="L468" s="1655"/>
      <c r="M468" s="1655"/>
      <c r="N468" s="1655"/>
      <c r="O468" s="1655"/>
      <c r="P468" s="1655"/>
      <c r="Q468" s="1655"/>
      <c r="R468" s="1655"/>
      <c r="S468" s="1655"/>
      <c r="T468" s="1655"/>
      <c r="U468" s="1655"/>
      <c r="V468" s="1655"/>
      <c r="W468" s="1655"/>
      <c r="X468" s="1655"/>
      <c r="Y468" s="1655"/>
      <c r="Z468" s="1655"/>
      <c r="AA468" s="1655"/>
      <c r="AB468" s="1655"/>
      <c r="AC468" s="1655"/>
      <c r="AD468" s="1655"/>
      <c r="AE468" s="1655"/>
      <c r="AF468" s="1655"/>
      <c r="AG468" s="1655"/>
      <c r="AH468" s="1655"/>
      <c r="AI468" s="1655"/>
      <c r="AJ468" s="1655"/>
      <c r="AK468" s="1655"/>
      <c r="AL468" s="1655"/>
      <c r="AM468" s="1655"/>
      <c r="AN468" s="1655"/>
      <c r="AO468" s="1655"/>
      <c r="AP468" s="1655"/>
      <c r="AQ468" s="1655"/>
      <c r="AR468" s="1655"/>
      <c r="AS468" s="1655"/>
      <c r="AT468" s="1655"/>
      <c r="AU468" s="1655"/>
      <c r="AV468" s="1655"/>
      <c r="AW468" s="1655"/>
      <c r="AX468" s="1655"/>
      <c r="AY468" s="1655"/>
      <c r="AZ468" s="1655"/>
      <c r="BA468" s="1655"/>
      <c r="BB468" s="1655"/>
      <c r="BC468" s="1655"/>
      <c r="BD468" s="1655"/>
      <c r="BE468" s="1655"/>
      <c r="BF468" s="1655"/>
      <c r="BG468" s="1655"/>
      <c r="BH468" s="1655"/>
      <c r="BI468" s="1655"/>
      <c r="BJ468" s="1655"/>
      <c r="BK468" s="1655"/>
      <c r="BL468" s="1655"/>
      <c r="BM468" s="1655"/>
      <c r="BN468" s="1655"/>
      <c r="BO468" s="1655"/>
      <c r="BP468" s="1655"/>
      <c r="BQ468" s="1655"/>
      <c r="BR468" s="1655"/>
      <c r="BS468" s="1655"/>
      <c r="BT468" s="1655"/>
      <c r="BU468" s="1655"/>
      <c r="BV468" s="1655"/>
      <c r="BW468" s="1655"/>
      <c r="BX468" s="1655"/>
      <c r="BY468" s="1655"/>
      <c r="BZ468" s="1655"/>
      <c r="CA468" s="1655"/>
      <c r="CB468" s="1655"/>
      <c r="CC468" s="1655"/>
      <c r="CD468" s="1655"/>
      <c r="CE468" s="1655"/>
      <c r="CF468" s="1655"/>
      <c r="CG468" s="1655"/>
      <c r="CH468" s="1655"/>
      <c r="CI468" s="1655"/>
      <c r="CJ468" s="1655"/>
      <c r="CK468" s="1655"/>
      <c r="CL468" s="1655"/>
      <c r="CM468" s="1655"/>
      <c r="CN468" s="1655"/>
      <c r="CO468" s="1655"/>
      <c r="CP468" s="1655"/>
      <c r="CQ468" s="1655"/>
      <c r="CR468" s="1655"/>
      <c r="CS468" s="1655"/>
      <c r="CT468" s="1655"/>
      <c r="CU468" s="1655"/>
      <c r="CV468" s="1655"/>
      <c r="CW468" s="1655"/>
      <c r="CX468" s="1655"/>
      <c r="CY468" s="1655"/>
      <c r="CZ468" s="1655"/>
      <c r="DA468" s="1655"/>
      <c r="DB468" s="1655"/>
      <c r="DC468" s="1655"/>
      <c r="DD468" s="1655"/>
      <c r="DE468" s="1655"/>
      <c r="DF468" s="1655"/>
      <c r="DG468" s="1655"/>
      <c r="DH468" s="1655"/>
      <c r="DI468" s="1655"/>
      <c r="DJ468" s="1655"/>
      <c r="DK468" s="1655"/>
      <c r="DL468" s="1655"/>
      <c r="DM468" s="1655"/>
      <c r="DN468" s="1655"/>
      <c r="DO468" s="1655"/>
      <c r="DP468" s="1655"/>
      <c r="DQ468" s="1655"/>
      <c r="DR468" s="1655"/>
      <c r="DS468" s="1655"/>
      <c r="DT468" s="1655"/>
      <c r="DU468" s="1655"/>
      <c r="DV468" s="1655"/>
      <c r="DW468" s="1655"/>
      <c r="DX468" s="1655"/>
      <c r="DY468" s="1655"/>
      <c r="DZ468" s="1655"/>
      <c r="EA468" s="1655"/>
      <c r="EB468" s="1655"/>
      <c r="EC468" s="1655"/>
      <c r="ED468" s="1655"/>
      <c r="EE468" s="1655"/>
      <c r="EF468" s="1655"/>
      <c r="EG468" s="1655"/>
      <c r="EH468" s="1655"/>
      <c r="EI468" s="1655"/>
      <c r="EJ468" s="1655"/>
      <c r="EK468" s="1655"/>
      <c r="EL468" s="1655"/>
      <c r="EM468" s="1655"/>
      <c r="EN468" s="1655"/>
      <c r="EO468" s="1655"/>
      <c r="EP468" s="1655"/>
      <c r="EQ468" s="1655"/>
      <c r="ER468" s="1655"/>
      <c r="ES468" s="1655"/>
      <c r="ET468" s="1655"/>
      <c r="EU468" s="1655"/>
      <c r="EV468" s="1655"/>
      <c r="EW468" s="1655"/>
      <c r="EX468" s="1655"/>
      <c r="EY468" s="1655"/>
      <c r="EZ468" s="1655"/>
      <c r="FA468" s="1655"/>
      <c r="FB468" s="1655"/>
      <c r="FC468" s="1655"/>
      <c r="FD468" s="1655"/>
      <c r="FE468" s="1655"/>
      <c r="FF468" s="1655"/>
      <c r="FG468" s="1655"/>
      <c r="FH468" s="1655"/>
      <c r="FI468" s="1655"/>
    </row>
    <row r="469" spans="1:165">
      <c r="A469" s="1655"/>
      <c r="B469" s="1655"/>
      <c r="C469" s="1655"/>
      <c r="D469" s="1655"/>
      <c r="E469" s="1655"/>
      <c r="F469" s="1655"/>
      <c r="G469" s="1655"/>
      <c r="H469" s="1655"/>
      <c r="I469" s="1655"/>
      <c r="J469" s="1655"/>
      <c r="K469" s="1655"/>
      <c r="L469" s="1655"/>
      <c r="M469" s="1655"/>
      <c r="N469" s="1655"/>
      <c r="O469" s="1655"/>
      <c r="P469" s="1655"/>
      <c r="Q469" s="1655"/>
      <c r="R469" s="1655"/>
      <c r="S469" s="1655"/>
      <c r="T469" s="1655"/>
      <c r="U469" s="1655"/>
      <c r="V469" s="1655"/>
      <c r="W469" s="1655"/>
      <c r="X469" s="1655"/>
      <c r="Y469" s="1655"/>
      <c r="Z469" s="1655"/>
      <c r="AA469" s="1655"/>
      <c r="AB469" s="1655"/>
      <c r="AC469" s="1655"/>
      <c r="AD469" s="1655"/>
      <c r="AE469" s="1655"/>
      <c r="AF469" s="1655"/>
      <c r="AG469" s="1655"/>
      <c r="AH469" s="1655"/>
      <c r="AI469" s="1655"/>
      <c r="AJ469" s="1655"/>
      <c r="AK469" s="1655"/>
      <c r="AL469" s="1655"/>
      <c r="AM469" s="1655"/>
      <c r="AN469" s="1655"/>
      <c r="AO469" s="1655"/>
      <c r="AP469" s="1655"/>
      <c r="AQ469" s="1655"/>
      <c r="AR469" s="1655"/>
      <c r="AS469" s="1655"/>
      <c r="AT469" s="1655"/>
      <c r="AU469" s="1655"/>
      <c r="AV469" s="1655"/>
      <c r="AW469" s="1655"/>
      <c r="AX469" s="1655"/>
      <c r="AY469" s="1655"/>
      <c r="AZ469" s="1655"/>
      <c r="BA469" s="1655"/>
      <c r="BB469" s="1655"/>
      <c r="BC469" s="1655"/>
      <c r="BD469" s="1655"/>
      <c r="BE469" s="1655"/>
      <c r="BF469" s="1655"/>
      <c r="BG469" s="1655"/>
      <c r="BH469" s="1655"/>
      <c r="BI469" s="1655"/>
      <c r="BJ469" s="1655"/>
      <c r="BK469" s="1655"/>
      <c r="BL469" s="1655"/>
      <c r="BM469" s="1655"/>
      <c r="BN469" s="1655"/>
      <c r="BO469" s="1655"/>
      <c r="BP469" s="1655"/>
      <c r="BQ469" s="1655"/>
      <c r="BR469" s="1655"/>
      <c r="BS469" s="1655"/>
      <c r="BT469" s="1655"/>
      <c r="BU469" s="1655"/>
      <c r="BV469" s="1655"/>
      <c r="BW469" s="1655"/>
      <c r="BX469" s="1655"/>
      <c r="BY469" s="1655"/>
      <c r="BZ469" s="1655"/>
      <c r="CA469" s="1655"/>
      <c r="CB469" s="1655"/>
      <c r="CC469" s="1655"/>
      <c r="CD469" s="1655"/>
      <c r="CE469" s="1655"/>
      <c r="CF469" s="1655"/>
      <c r="CG469" s="1655"/>
      <c r="CH469" s="1655"/>
      <c r="CI469" s="1655"/>
      <c r="CJ469" s="1655"/>
      <c r="CK469" s="1655"/>
      <c r="CL469" s="1655"/>
      <c r="CM469" s="1655"/>
      <c r="CN469" s="1655"/>
      <c r="CO469" s="1655"/>
      <c r="CP469" s="1655"/>
      <c r="CQ469" s="1655"/>
      <c r="CR469" s="1655"/>
      <c r="CS469" s="1655"/>
      <c r="CT469" s="1655"/>
      <c r="CU469" s="1655"/>
      <c r="CV469" s="1655"/>
      <c r="CW469" s="1655"/>
      <c r="CX469" s="1655"/>
      <c r="CY469" s="1655"/>
      <c r="CZ469" s="1655"/>
      <c r="DA469" s="1655"/>
      <c r="DB469" s="1655"/>
      <c r="DC469" s="1655"/>
      <c r="DD469" s="1655"/>
      <c r="DE469" s="1655"/>
      <c r="DF469" s="1655"/>
      <c r="DG469" s="1655"/>
      <c r="DH469" s="1655"/>
      <c r="DI469" s="1655"/>
      <c r="DJ469" s="1655"/>
      <c r="DK469" s="1655"/>
      <c r="DL469" s="1655"/>
      <c r="DM469" s="1655"/>
      <c r="DN469" s="1655"/>
      <c r="DO469" s="1655"/>
      <c r="DP469" s="1655"/>
      <c r="DQ469" s="1655"/>
      <c r="DR469" s="1655"/>
      <c r="DS469" s="1655"/>
      <c r="DT469" s="1655"/>
      <c r="DU469" s="1655"/>
      <c r="DV469" s="1655"/>
      <c r="DW469" s="1655"/>
      <c r="DX469" s="1655"/>
      <c r="DY469" s="1655"/>
      <c r="DZ469" s="1655"/>
      <c r="EA469" s="1655"/>
      <c r="EB469" s="1655"/>
      <c r="EC469" s="1655"/>
      <c r="ED469" s="1655"/>
      <c r="EE469" s="1655"/>
      <c r="EF469" s="1655"/>
      <c r="EG469" s="1655"/>
      <c r="EH469" s="1655"/>
      <c r="EI469" s="1655"/>
      <c r="EJ469" s="1655"/>
      <c r="EK469" s="1655"/>
      <c r="EL469" s="1655"/>
      <c r="EM469" s="1655"/>
      <c r="EN469" s="1655"/>
      <c r="EO469" s="1655"/>
      <c r="EP469" s="1655"/>
      <c r="EQ469" s="1655"/>
      <c r="ER469" s="1655"/>
      <c r="ES469" s="1655"/>
      <c r="ET469" s="1655"/>
      <c r="EU469" s="1655"/>
      <c r="EV469" s="1655"/>
      <c r="EW469" s="1655"/>
      <c r="EX469" s="1655"/>
      <c r="EY469" s="1655"/>
      <c r="EZ469" s="1655"/>
      <c r="FA469" s="1655"/>
      <c r="FB469" s="1655"/>
      <c r="FC469" s="1655"/>
      <c r="FD469" s="1655"/>
      <c r="FE469" s="1655"/>
      <c r="FF469" s="1655"/>
      <c r="FG469" s="1655"/>
      <c r="FH469" s="1655"/>
      <c r="FI469" s="1655"/>
    </row>
    <row r="470" spans="1:165">
      <c r="A470" s="1655"/>
      <c r="B470" s="1655"/>
      <c r="C470" s="1655"/>
      <c r="D470" s="1655"/>
      <c r="E470" s="1655"/>
      <c r="F470" s="1655"/>
      <c r="G470" s="1655"/>
      <c r="H470" s="1655"/>
      <c r="I470" s="1655"/>
      <c r="J470" s="1655"/>
      <c r="K470" s="1655"/>
      <c r="L470" s="1655"/>
      <c r="M470" s="1655"/>
      <c r="N470" s="1655"/>
      <c r="O470" s="1655"/>
      <c r="P470" s="1655"/>
      <c r="Q470" s="1655"/>
      <c r="R470" s="1655"/>
      <c r="S470" s="1655"/>
      <c r="T470" s="1655"/>
      <c r="U470" s="1655"/>
      <c r="V470" s="1655"/>
      <c r="W470" s="1655"/>
      <c r="X470" s="1655"/>
      <c r="Y470" s="1655"/>
      <c r="Z470" s="1655"/>
      <c r="AA470" s="1655"/>
      <c r="AB470" s="1655"/>
      <c r="AC470" s="1655"/>
      <c r="AD470" s="1655"/>
      <c r="AE470" s="1655"/>
      <c r="AF470" s="1655"/>
      <c r="AG470" s="1655"/>
      <c r="AH470" s="1655"/>
      <c r="AI470" s="1655"/>
      <c r="AJ470" s="1655"/>
      <c r="AK470" s="1655"/>
      <c r="AL470" s="1655"/>
      <c r="AM470" s="1655"/>
      <c r="AN470" s="1655"/>
      <c r="AO470" s="1655"/>
      <c r="AP470" s="1655"/>
      <c r="AQ470" s="1655"/>
      <c r="AR470" s="1655"/>
      <c r="AS470" s="1655"/>
      <c r="AT470" s="1655"/>
      <c r="AU470" s="1655"/>
      <c r="AV470" s="1655"/>
      <c r="AW470" s="1655"/>
      <c r="AX470" s="1655"/>
      <c r="AY470" s="1655"/>
      <c r="AZ470" s="1655"/>
      <c r="BA470" s="1655"/>
      <c r="BB470" s="1655"/>
      <c r="BC470" s="1655"/>
      <c r="BD470" s="1655"/>
      <c r="BE470" s="1655"/>
      <c r="BF470" s="1655"/>
      <c r="BG470" s="1655"/>
      <c r="BH470" s="1655"/>
      <c r="BI470" s="1655"/>
      <c r="BJ470" s="1655"/>
      <c r="BK470" s="1655"/>
      <c r="BL470" s="1655"/>
      <c r="BM470" s="1655"/>
      <c r="BN470" s="1655"/>
      <c r="BO470" s="1655"/>
      <c r="BP470" s="1655"/>
      <c r="BQ470" s="1655"/>
      <c r="BR470" s="1655"/>
      <c r="BS470" s="1655"/>
      <c r="BT470" s="1655"/>
      <c r="BU470" s="1655"/>
      <c r="BV470" s="1655"/>
      <c r="BW470" s="1655"/>
      <c r="BX470" s="1655"/>
      <c r="BY470" s="1655"/>
      <c r="BZ470" s="1655"/>
      <c r="CA470" s="1655"/>
      <c r="CB470" s="1655"/>
      <c r="CC470" s="1655"/>
      <c r="CD470" s="1655"/>
      <c r="CE470" s="1655"/>
      <c r="CF470" s="1655"/>
      <c r="CG470" s="1655"/>
      <c r="CH470" s="1655"/>
      <c r="CI470" s="1655"/>
      <c r="CJ470" s="1655"/>
      <c r="CK470" s="1655"/>
      <c r="CL470" s="1655"/>
      <c r="CM470" s="1655"/>
      <c r="CN470" s="1655"/>
      <c r="CO470" s="1655"/>
      <c r="CP470" s="1655"/>
      <c r="CQ470" s="1655"/>
      <c r="CR470" s="1655"/>
      <c r="CS470" s="1655"/>
      <c r="CT470" s="1655"/>
      <c r="CU470" s="1655"/>
      <c r="CV470" s="1655"/>
      <c r="CW470" s="1655"/>
      <c r="CX470" s="1655"/>
      <c r="CY470" s="1655"/>
      <c r="CZ470" s="1655"/>
      <c r="DA470" s="1655"/>
      <c r="DB470" s="1655"/>
      <c r="DC470" s="1655"/>
      <c r="DD470" s="1655"/>
      <c r="DE470" s="1655"/>
      <c r="DF470" s="1655"/>
      <c r="DG470" s="1655"/>
      <c r="DH470" s="1655"/>
      <c r="DI470" s="1655"/>
      <c r="DJ470" s="1655"/>
      <c r="DK470" s="1655"/>
      <c r="DL470" s="1655"/>
      <c r="DM470" s="1655"/>
      <c r="DN470" s="1655"/>
      <c r="DO470" s="1655"/>
      <c r="DP470" s="1655"/>
      <c r="DQ470" s="1655"/>
      <c r="DR470" s="1655"/>
      <c r="DS470" s="1655"/>
      <c r="DT470" s="1655"/>
      <c r="DU470" s="1655"/>
      <c r="DV470" s="1655"/>
      <c r="DW470" s="1655"/>
      <c r="DX470" s="1655"/>
      <c r="DY470" s="1655"/>
      <c r="DZ470" s="1655"/>
      <c r="EA470" s="1655"/>
      <c r="EB470" s="1655"/>
      <c r="EC470" s="1655"/>
      <c r="ED470" s="1655"/>
      <c r="EE470" s="1655"/>
      <c r="EF470" s="1655"/>
      <c r="EG470" s="1655"/>
      <c r="EH470" s="1655"/>
      <c r="EI470" s="1655"/>
      <c r="EJ470" s="1655"/>
      <c r="EK470" s="1655"/>
      <c r="EL470" s="1655"/>
      <c r="EM470" s="1655"/>
      <c r="EN470" s="1655"/>
      <c r="EO470" s="1655"/>
      <c r="EP470" s="1655"/>
      <c r="EQ470" s="1655"/>
      <c r="ER470" s="1655"/>
      <c r="ES470" s="1655"/>
      <c r="ET470" s="1655"/>
      <c r="EU470" s="1655"/>
      <c r="EV470" s="1655"/>
      <c r="EW470" s="1655"/>
      <c r="EX470" s="1655"/>
      <c r="EY470" s="1655"/>
      <c r="EZ470" s="1655"/>
      <c r="FA470" s="1655"/>
      <c r="FB470" s="1655"/>
      <c r="FC470" s="1655"/>
      <c r="FD470" s="1655"/>
      <c r="FE470" s="1655"/>
      <c r="FF470" s="1655"/>
      <c r="FG470" s="1655"/>
      <c r="FH470" s="1655"/>
      <c r="FI470" s="1655"/>
    </row>
    <row r="471" spans="1:165">
      <c r="A471" s="1655"/>
      <c r="B471" s="1655"/>
      <c r="C471" s="1655"/>
      <c r="D471" s="1655"/>
      <c r="E471" s="1655"/>
      <c r="F471" s="1655"/>
      <c r="G471" s="1655"/>
      <c r="H471" s="1655"/>
      <c r="I471" s="1655"/>
      <c r="J471" s="1655"/>
      <c r="K471" s="1655"/>
      <c r="L471" s="1655"/>
      <c r="M471" s="1655"/>
      <c r="N471" s="1655"/>
      <c r="O471" s="1655"/>
      <c r="P471" s="1655"/>
      <c r="Q471" s="1655"/>
      <c r="R471" s="1655"/>
      <c r="S471" s="1655"/>
      <c r="T471" s="1655"/>
      <c r="U471" s="1655"/>
      <c r="V471" s="1655"/>
      <c r="W471" s="1655"/>
      <c r="X471" s="1655"/>
      <c r="Y471" s="1655"/>
      <c r="Z471" s="1655"/>
      <c r="AA471" s="1655"/>
      <c r="AB471" s="1655"/>
      <c r="AC471" s="1655"/>
      <c r="AD471" s="1655"/>
      <c r="AE471" s="1655"/>
      <c r="AF471" s="1655"/>
      <c r="AG471" s="1655"/>
      <c r="AH471" s="1655"/>
      <c r="AI471" s="1655"/>
      <c r="AJ471" s="1655"/>
      <c r="AK471" s="1655"/>
      <c r="AL471" s="1655"/>
      <c r="AM471" s="1655"/>
      <c r="AN471" s="1655"/>
      <c r="AO471" s="1655"/>
      <c r="AP471" s="1655"/>
      <c r="AQ471" s="1655"/>
      <c r="AR471" s="1655"/>
      <c r="AS471" s="1655"/>
      <c r="AT471" s="1655"/>
      <c r="AU471" s="1655"/>
      <c r="AV471" s="1655"/>
      <c r="AW471" s="1655"/>
      <c r="AX471" s="1655"/>
      <c r="AY471" s="1655"/>
      <c r="AZ471" s="1655"/>
      <c r="BA471" s="1655"/>
      <c r="BB471" s="1655"/>
      <c r="BC471" s="1655"/>
      <c r="BD471" s="1655"/>
      <c r="BE471" s="1655"/>
      <c r="BF471" s="1655"/>
      <c r="BG471" s="1655"/>
      <c r="BH471" s="1655"/>
      <c r="BI471" s="1655"/>
      <c r="BJ471" s="1655"/>
      <c r="BK471" s="1655"/>
      <c r="BL471" s="1655"/>
      <c r="BM471" s="1655"/>
      <c r="BN471" s="1655"/>
      <c r="BO471" s="1655"/>
      <c r="BP471" s="1655"/>
      <c r="BQ471" s="1655"/>
      <c r="BR471" s="1655"/>
      <c r="BS471" s="1655"/>
      <c r="BT471" s="1655"/>
      <c r="BU471" s="1655"/>
      <c r="BV471" s="1655"/>
      <c r="BW471" s="1655"/>
      <c r="BX471" s="1655"/>
      <c r="BY471" s="1655"/>
      <c r="BZ471" s="1655"/>
      <c r="CA471" s="1655"/>
      <c r="CB471" s="1655"/>
      <c r="CC471" s="1655"/>
      <c r="CD471" s="1655"/>
      <c r="CE471" s="1655"/>
      <c r="CF471" s="1655"/>
      <c r="CG471" s="1655"/>
      <c r="CH471" s="1655"/>
      <c r="CI471" s="1655"/>
      <c r="CJ471" s="1655"/>
      <c r="CK471" s="1655"/>
      <c r="CL471" s="1655"/>
      <c r="CM471" s="1655"/>
      <c r="CN471" s="1655"/>
      <c r="CO471" s="1655"/>
      <c r="CP471" s="1655"/>
      <c r="CQ471" s="1655"/>
      <c r="CR471" s="1655"/>
      <c r="CS471" s="1655"/>
      <c r="CT471" s="1655"/>
      <c r="CU471" s="1655"/>
      <c r="CV471" s="1655"/>
      <c r="CW471" s="1655"/>
      <c r="CX471" s="1655"/>
      <c r="CY471" s="1655"/>
      <c r="CZ471" s="1655"/>
      <c r="DA471" s="1655"/>
      <c r="DB471" s="1655"/>
      <c r="DC471" s="1655"/>
      <c r="DD471" s="1655"/>
      <c r="DE471" s="1655"/>
      <c r="DF471" s="1655"/>
      <c r="DG471" s="1655"/>
      <c r="DH471" s="1655"/>
      <c r="DI471" s="1655"/>
      <c r="DJ471" s="1655"/>
      <c r="DK471" s="1655"/>
      <c r="DL471" s="1655"/>
      <c r="DM471" s="1655"/>
      <c r="DN471" s="1655"/>
      <c r="DO471" s="1655"/>
      <c r="DP471" s="1655"/>
      <c r="DQ471" s="1655"/>
      <c r="DR471" s="1655"/>
      <c r="DS471" s="1655"/>
      <c r="DT471" s="1655"/>
      <c r="DU471" s="1655"/>
      <c r="DV471" s="1655"/>
      <c r="DW471" s="1655"/>
      <c r="DX471" s="1655"/>
      <c r="DY471" s="1655"/>
      <c r="DZ471" s="1655"/>
      <c r="EA471" s="1655"/>
      <c r="EB471" s="1655"/>
      <c r="EC471" s="1655"/>
      <c r="ED471" s="1655"/>
      <c r="EE471" s="1655"/>
      <c r="EF471" s="1655"/>
      <c r="EG471" s="1655"/>
      <c r="EH471" s="1655"/>
      <c r="EI471" s="1655"/>
      <c r="EJ471" s="1655"/>
      <c r="EK471" s="1655"/>
      <c r="EL471" s="1655"/>
      <c r="EM471" s="1655"/>
      <c r="EN471" s="1655"/>
      <c r="EO471" s="1655"/>
      <c r="EP471" s="1655"/>
      <c r="EQ471" s="1655"/>
      <c r="ER471" s="1655"/>
      <c r="ES471" s="1655"/>
      <c r="ET471" s="1655"/>
      <c r="EU471" s="1655"/>
      <c r="EV471" s="1655"/>
      <c r="EW471" s="1655"/>
      <c r="EX471" s="1655"/>
      <c r="EY471" s="1655"/>
      <c r="EZ471" s="1655"/>
      <c r="FA471" s="1655"/>
      <c r="FB471" s="1655"/>
      <c r="FC471" s="1655"/>
      <c r="FD471" s="1655"/>
      <c r="FE471" s="1655"/>
      <c r="FF471" s="1655"/>
      <c r="FG471" s="1655"/>
      <c r="FH471" s="1655"/>
      <c r="FI471" s="1655"/>
    </row>
    <row r="472" spans="1:165">
      <c r="A472" s="1655"/>
      <c r="B472" s="1655"/>
      <c r="C472" s="1655"/>
      <c r="D472" s="1655"/>
      <c r="E472" s="1655"/>
      <c r="F472" s="1655"/>
      <c r="G472" s="1655"/>
      <c r="H472" s="1655"/>
      <c r="I472" s="1655"/>
      <c r="J472" s="1655"/>
      <c r="K472" s="1655"/>
      <c r="L472" s="1655"/>
      <c r="M472" s="1655"/>
      <c r="N472" s="1655"/>
      <c r="O472" s="1655"/>
      <c r="P472" s="1655"/>
      <c r="Q472" s="1655"/>
      <c r="R472" s="1655"/>
      <c r="S472" s="1655"/>
      <c r="T472" s="1655"/>
      <c r="U472" s="1655"/>
      <c r="V472" s="1655"/>
      <c r="W472" s="1655"/>
      <c r="X472" s="1655"/>
      <c r="Y472" s="1655"/>
      <c r="Z472" s="1655"/>
      <c r="AA472" s="1655"/>
      <c r="AB472" s="1655"/>
      <c r="AC472" s="1655"/>
      <c r="AD472" s="1655"/>
      <c r="AE472" s="1655"/>
      <c r="AF472" s="1655"/>
      <c r="AG472" s="1655"/>
      <c r="AH472" s="1655"/>
      <c r="AI472" s="1655"/>
      <c r="AJ472" s="1655"/>
      <c r="AK472" s="1655"/>
      <c r="AL472" s="1655"/>
      <c r="AM472" s="1655"/>
      <c r="AN472" s="1655"/>
      <c r="AO472" s="1655"/>
      <c r="AP472" s="1655"/>
      <c r="AQ472" s="1655"/>
      <c r="AR472" s="1655"/>
      <c r="AS472" s="1655"/>
      <c r="AT472" s="1655"/>
      <c r="AU472" s="1655"/>
      <c r="AV472" s="1655"/>
      <c r="AW472" s="1655"/>
      <c r="AX472" s="1655"/>
      <c r="AY472" s="1655"/>
      <c r="AZ472" s="1655"/>
      <c r="BA472" s="1655"/>
      <c r="BB472" s="1655"/>
      <c r="BC472" s="1655"/>
      <c r="BD472" s="1655"/>
      <c r="BE472" s="1655"/>
      <c r="BF472" s="1655"/>
      <c r="BG472" s="1655"/>
      <c r="BH472" s="1655"/>
      <c r="BI472" s="1655"/>
      <c r="BJ472" s="1655"/>
      <c r="BK472" s="1655"/>
      <c r="BL472" s="1655"/>
      <c r="BM472" s="1655"/>
      <c r="BN472" s="1655"/>
      <c r="BO472" s="1655"/>
      <c r="BP472" s="1655"/>
      <c r="BQ472" s="1655"/>
      <c r="BR472" s="1655"/>
      <c r="BS472" s="1655"/>
      <c r="BT472" s="1655"/>
      <c r="BU472" s="1655"/>
      <c r="BV472" s="1655"/>
      <c r="BW472" s="1655"/>
      <c r="BX472" s="1655"/>
      <c r="BY472" s="1655"/>
      <c r="BZ472" s="1655"/>
      <c r="CA472" s="1655"/>
      <c r="CB472" s="1655"/>
      <c r="CC472" s="1655"/>
      <c r="CD472" s="1655"/>
      <c r="CE472" s="1655"/>
      <c r="CF472" s="1655"/>
      <c r="CG472" s="1655"/>
      <c r="CH472" s="1655"/>
      <c r="CI472" s="1655"/>
      <c r="CJ472" s="1655"/>
      <c r="CK472" s="1655"/>
      <c r="CL472" s="1655"/>
      <c r="CM472" s="1655"/>
      <c r="CN472" s="1655"/>
      <c r="CO472" s="1655"/>
      <c r="CP472" s="1655"/>
      <c r="CQ472" s="1655"/>
      <c r="CR472" s="1655"/>
      <c r="CS472" s="1655"/>
      <c r="CT472" s="1655"/>
      <c r="CU472" s="1655"/>
      <c r="CV472" s="1655"/>
      <c r="CW472" s="1655"/>
      <c r="CX472" s="1655"/>
      <c r="CY472" s="1655"/>
      <c r="CZ472" s="1655"/>
      <c r="DA472" s="1655"/>
      <c r="DB472" s="1655"/>
      <c r="DC472" s="1655"/>
      <c r="DD472" s="1655"/>
      <c r="DE472" s="1655"/>
      <c r="DF472" s="1655"/>
      <c r="DG472" s="1655"/>
      <c r="DH472" s="1655"/>
      <c r="DI472" s="1655"/>
      <c r="DJ472" s="1655"/>
      <c r="DK472" s="1655"/>
      <c r="DL472" s="1655"/>
      <c r="DM472" s="1655"/>
      <c r="DN472" s="1655"/>
      <c r="DO472" s="1655"/>
      <c r="DP472" s="1655"/>
      <c r="DQ472" s="1655"/>
      <c r="DR472" s="1655"/>
      <c r="DS472" s="1655"/>
      <c r="DT472" s="1655"/>
      <c r="DU472" s="1655"/>
      <c r="DV472" s="1655"/>
      <c r="DW472" s="1655"/>
      <c r="DX472" s="1655"/>
      <c r="DY472" s="1655"/>
      <c r="DZ472" s="1655"/>
      <c r="EA472" s="1655"/>
      <c r="EB472" s="1655"/>
      <c r="EC472" s="1655"/>
      <c r="ED472" s="1655"/>
      <c r="EE472" s="1655"/>
      <c r="EF472" s="1655"/>
      <c r="EG472" s="1655"/>
      <c r="EH472" s="1655"/>
      <c r="EI472" s="1655"/>
      <c r="EJ472" s="1655"/>
      <c r="EK472" s="1655"/>
      <c r="EL472" s="1655"/>
      <c r="EM472" s="1655"/>
      <c r="EN472" s="1655"/>
      <c r="EO472" s="1655"/>
      <c r="EP472" s="1655"/>
      <c r="EQ472" s="1655"/>
      <c r="ER472" s="1655"/>
      <c r="ES472" s="1655"/>
      <c r="ET472" s="1655"/>
      <c r="EU472" s="1655"/>
      <c r="EV472" s="1655"/>
      <c r="EW472" s="1655"/>
      <c r="EX472" s="1655"/>
      <c r="EY472" s="1655"/>
      <c r="EZ472" s="1655"/>
      <c r="FA472" s="1655"/>
      <c r="FB472" s="1655"/>
      <c r="FC472" s="1655"/>
      <c r="FD472" s="1655"/>
      <c r="FE472" s="1655"/>
      <c r="FF472" s="1655"/>
      <c r="FG472" s="1655"/>
      <c r="FH472" s="1655"/>
      <c r="FI472" s="1655"/>
    </row>
    <row r="473" spans="1:165">
      <c r="A473" s="1655"/>
      <c r="B473" s="1655"/>
      <c r="C473" s="1655"/>
      <c r="D473" s="1655"/>
      <c r="E473" s="1655"/>
      <c r="F473" s="1655"/>
      <c r="G473" s="1655"/>
      <c r="H473" s="1655"/>
      <c r="I473" s="1655"/>
      <c r="J473" s="1655"/>
      <c r="K473" s="1655"/>
      <c r="L473" s="1655"/>
      <c r="M473" s="1655"/>
      <c r="N473" s="1655"/>
      <c r="O473" s="1655"/>
      <c r="P473" s="1655"/>
      <c r="Q473" s="1655"/>
      <c r="R473" s="1655"/>
      <c r="S473" s="1655"/>
      <c r="T473" s="1655"/>
      <c r="U473" s="1655"/>
      <c r="V473" s="1655"/>
      <c r="W473" s="1655"/>
      <c r="X473" s="1655"/>
      <c r="Y473" s="1655"/>
      <c r="Z473" s="1655"/>
      <c r="AA473" s="1655"/>
      <c r="AB473" s="1655"/>
      <c r="AC473" s="1655"/>
      <c r="AD473" s="1655"/>
      <c r="AE473" s="1655"/>
      <c r="AF473" s="1655"/>
      <c r="AG473" s="1655"/>
      <c r="AH473" s="1655"/>
      <c r="AI473" s="1655"/>
      <c r="AJ473" s="1655"/>
      <c r="AK473" s="1655"/>
      <c r="AL473" s="1655"/>
      <c r="AM473" s="1655"/>
      <c r="AN473" s="1655"/>
      <c r="AO473" s="1655"/>
      <c r="AP473" s="1655"/>
      <c r="AQ473" s="1655"/>
      <c r="AR473" s="1655"/>
      <c r="AS473" s="1655"/>
      <c r="AT473" s="1655"/>
      <c r="AU473" s="1655"/>
      <c r="AV473" s="1655"/>
      <c r="AW473" s="1655"/>
      <c r="AX473" s="1655"/>
      <c r="AY473" s="1655"/>
      <c r="AZ473" s="1655"/>
      <c r="BA473" s="1655"/>
      <c r="BB473" s="1655"/>
      <c r="BC473" s="1655"/>
      <c r="BD473" s="1655"/>
      <c r="BE473" s="1655"/>
      <c r="BF473" s="1655"/>
      <c r="BG473" s="1655"/>
      <c r="BH473" s="1655"/>
      <c r="BI473" s="1655"/>
      <c r="BJ473" s="1655"/>
      <c r="BK473" s="1655"/>
      <c r="BL473" s="1655"/>
      <c r="BM473" s="1655"/>
      <c r="BN473" s="1655"/>
      <c r="BO473" s="1655"/>
      <c r="BP473" s="1655"/>
      <c r="BQ473" s="1655"/>
      <c r="BR473" s="1655"/>
      <c r="BS473" s="1655"/>
      <c r="BT473" s="1655"/>
      <c r="BU473" s="1655"/>
      <c r="BV473" s="1655"/>
      <c r="BW473" s="1655"/>
      <c r="BX473" s="1655"/>
      <c r="BY473" s="1655"/>
      <c r="BZ473" s="1655"/>
      <c r="CA473" s="1655"/>
      <c r="CB473" s="1655"/>
      <c r="CC473" s="1655"/>
      <c r="CD473" s="1655"/>
      <c r="CE473" s="1655"/>
      <c r="CF473" s="1655"/>
      <c r="CG473" s="1655"/>
      <c r="CH473" s="1655"/>
      <c r="CI473" s="1655"/>
      <c r="CJ473" s="1655"/>
      <c r="CK473" s="1655"/>
      <c r="CL473" s="1655"/>
      <c r="CM473" s="1655"/>
      <c r="CN473" s="1655"/>
      <c r="CO473" s="1655"/>
      <c r="CP473" s="1655"/>
      <c r="CQ473" s="1655"/>
      <c r="CR473" s="1655"/>
      <c r="CS473" s="1655"/>
      <c r="CT473" s="1655"/>
      <c r="CU473" s="1655"/>
      <c r="CV473" s="1655"/>
      <c r="CW473" s="1655"/>
      <c r="CX473" s="1655"/>
      <c r="CY473" s="1655"/>
      <c r="CZ473" s="1655"/>
      <c r="DA473" s="1655"/>
      <c r="DB473" s="1655"/>
      <c r="DC473" s="1655"/>
      <c r="DD473" s="1655"/>
      <c r="DE473" s="1655"/>
      <c r="DF473" s="1655"/>
      <c r="DG473" s="1655"/>
      <c r="DH473" s="1655"/>
      <c r="DI473" s="1655"/>
      <c r="DJ473" s="1655"/>
      <c r="DK473" s="1655"/>
      <c r="DL473" s="1655"/>
      <c r="DM473" s="1655"/>
      <c r="DN473" s="1655"/>
      <c r="DO473" s="1655"/>
      <c r="DP473" s="1655"/>
      <c r="DQ473" s="1655"/>
      <c r="DR473" s="1655"/>
      <c r="DS473" s="1655"/>
      <c r="DT473" s="1655"/>
      <c r="DU473" s="1655"/>
      <c r="DV473" s="1655"/>
      <c r="DW473" s="1655"/>
      <c r="DX473" s="1655"/>
      <c r="DY473" s="1655"/>
      <c r="DZ473" s="1655"/>
      <c r="EA473" s="1655"/>
      <c r="EB473" s="1655"/>
      <c r="EC473" s="1655"/>
      <c r="ED473" s="1655"/>
      <c r="EE473" s="1655"/>
      <c r="EF473" s="1655"/>
      <c r="EG473" s="1655"/>
      <c r="EH473" s="1655"/>
      <c r="EI473" s="1655"/>
      <c r="EJ473" s="1655"/>
      <c r="EK473" s="1655"/>
      <c r="EL473" s="1655"/>
      <c r="EM473" s="1655"/>
      <c r="EN473" s="1655"/>
      <c r="EO473" s="1655"/>
      <c r="EP473" s="1655"/>
      <c r="EQ473" s="1655"/>
      <c r="ER473" s="1655"/>
      <c r="ES473" s="1655"/>
      <c r="ET473" s="1655"/>
      <c r="EU473" s="1655"/>
      <c r="EV473" s="1655"/>
      <c r="EW473" s="1655"/>
      <c r="EX473" s="1655"/>
      <c r="EY473" s="1655"/>
      <c r="EZ473" s="1655"/>
      <c r="FA473" s="1655"/>
      <c r="FB473" s="1655"/>
      <c r="FC473" s="1655"/>
      <c r="FD473" s="1655"/>
      <c r="FE473" s="1655"/>
      <c r="FF473" s="1655"/>
      <c r="FG473" s="1655"/>
      <c r="FH473" s="1655"/>
      <c r="FI473" s="1655"/>
    </row>
    <row r="474" spans="1:165">
      <c r="A474" s="1655"/>
      <c r="B474" s="1655"/>
      <c r="C474" s="1655"/>
      <c r="D474" s="1655"/>
      <c r="E474" s="1655"/>
      <c r="F474" s="1655"/>
      <c r="G474" s="1655"/>
      <c r="H474" s="1655"/>
      <c r="I474" s="1655"/>
      <c r="J474" s="1655"/>
      <c r="K474" s="1655"/>
      <c r="L474" s="1655"/>
      <c r="M474" s="1655"/>
      <c r="N474" s="1655"/>
      <c r="O474" s="1655"/>
      <c r="P474" s="1655"/>
      <c r="Q474" s="1655"/>
      <c r="R474" s="1655"/>
      <c r="S474" s="1655"/>
      <c r="T474" s="1655"/>
      <c r="U474" s="1655"/>
      <c r="V474" s="1655"/>
      <c r="W474" s="1655"/>
      <c r="X474" s="1655"/>
      <c r="Y474" s="1655"/>
      <c r="Z474" s="1655"/>
      <c r="AA474" s="1655"/>
      <c r="AB474" s="1655"/>
      <c r="AC474" s="1655"/>
      <c r="AD474" s="1655"/>
      <c r="AE474" s="1655"/>
      <c r="AF474" s="1655"/>
      <c r="AG474" s="1655"/>
      <c r="AH474" s="1655"/>
      <c r="AI474" s="1655"/>
      <c r="AJ474" s="1655"/>
      <c r="AK474" s="1655"/>
      <c r="AL474" s="1655"/>
      <c r="AM474" s="1655"/>
      <c r="AN474" s="1655"/>
      <c r="AO474" s="1655"/>
      <c r="AP474" s="1655"/>
      <c r="AQ474" s="1655"/>
      <c r="AR474" s="1655"/>
      <c r="AS474" s="1655"/>
      <c r="AT474" s="1655"/>
      <c r="AU474" s="1655"/>
      <c r="AV474" s="1655"/>
      <c r="AW474" s="1655"/>
      <c r="AX474" s="1655"/>
      <c r="AY474" s="1655"/>
      <c r="AZ474" s="1655"/>
      <c r="BA474" s="1655"/>
      <c r="BB474" s="1655"/>
      <c r="BC474" s="1655"/>
      <c r="BD474" s="1655"/>
      <c r="BE474" s="1655"/>
      <c r="BF474" s="1655"/>
      <c r="BG474" s="1655"/>
      <c r="BH474" s="1655"/>
      <c r="BI474" s="1655"/>
      <c r="BJ474" s="1655"/>
      <c r="BK474" s="1655"/>
      <c r="BL474" s="1655"/>
      <c r="BM474" s="1655"/>
      <c r="BN474" s="1655"/>
      <c r="BO474" s="1655"/>
      <c r="BP474" s="1655"/>
      <c r="BQ474" s="1655"/>
      <c r="BR474" s="1655"/>
      <c r="BS474" s="1655"/>
      <c r="BT474" s="1655"/>
      <c r="BU474" s="1655"/>
      <c r="BV474" s="1655"/>
      <c r="BW474" s="1655"/>
      <c r="BX474" s="1655"/>
      <c r="BY474" s="1655"/>
      <c r="BZ474" s="1655"/>
      <c r="CA474" s="1655"/>
      <c r="CB474" s="1655"/>
      <c r="CC474" s="1655"/>
      <c r="CD474" s="1655"/>
      <c r="CE474" s="1655"/>
      <c r="CF474" s="1655"/>
      <c r="CG474" s="1655"/>
      <c r="CH474" s="1655"/>
      <c r="CI474" s="1655"/>
      <c r="CJ474" s="1655"/>
      <c r="CK474" s="1655"/>
      <c r="CL474" s="1655"/>
      <c r="CM474" s="1655"/>
      <c r="CN474" s="1655"/>
      <c r="CO474" s="1655"/>
      <c r="CP474" s="1655"/>
      <c r="CQ474" s="1655"/>
      <c r="CR474" s="1655"/>
      <c r="CS474" s="1655"/>
      <c r="CT474" s="1655"/>
      <c r="CU474" s="1655"/>
      <c r="CV474" s="1655"/>
      <c r="CW474" s="1655"/>
      <c r="CX474" s="1655"/>
      <c r="CY474" s="1655"/>
      <c r="CZ474" s="1655"/>
      <c r="DA474" s="1655"/>
      <c r="DB474" s="1655"/>
      <c r="DC474" s="1655"/>
      <c r="DD474" s="1655"/>
      <c r="DE474" s="1655"/>
      <c r="DF474" s="1655"/>
      <c r="DG474" s="1655"/>
      <c r="DH474" s="1655"/>
      <c r="DI474" s="1655"/>
      <c r="DJ474" s="1655"/>
      <c r="DK474" s="1655"/>
      <c r="DL474" s="1655"/>
      <c r="DM474" s="1655"/>
      <c r="DN474" s="1655"/>
      <c r="DO474" s="1655"/>
      <c r="DP474" s="1655"/>
      <c r="DQ474" s="1655"/>
      <c r="DR474" s="1655"/>
      <c r="DS474" s="1655"/>
      <c r="DT474" s="1655"/>
      <c r="DU474" s="1655"/>
      <c r="DV474" s="1655"/>
      <c r="DW474" s="1655"/>
      <c r="DX474" s="1655"/>
      <c r="DY474" s="1655"/>
      <c r="DZ474" s="1655"/>
      <c r="EA474" s="1655"/>
      <c r="EB474" s="1655"/>
      <c r="EC474" s="1655"/>
      <c r="ED474" s="1655"/>
      <c r="EE474" s="1655"/>
      <c r="EF474" s="1655"/>
      <c r="EG474" s="1655"/>
      <c r="EH474" s="1655"/>
      <c r="EI474" s="1655"/>
      <c r="EJ474" s="1655"/>
      <c r="EK474" s="1655"/>
      <c r="EL474" s="1655"/>
      <c r="EM474" s="1655"/>
      <c r="EN474" s="1655"/>
      <c r="EO474" s="1655"/>
      <c r="EP474" s="1655"/>
      <c r="EQ474" s="1655"/>
      <c r="ER474" s="1655"/>
      <c r="ES474" s="1655"/>
      <c r="ET474" s="1655"/>
      <c r="EU474" s="1655"/>
      <c r="EV474" s="1655"/>
      <c r="EW474" s="1655"/>
      <c r="EX474" s="1655"/>
      <c r="EY474" s="1655"/>
      <c r="EZ474" s="1655"/>
      <c r="FA474" s="1655"/>
      <c r="FB474" s="1655"/>
      <c r="FC474" s="1655"/>
      <c r="FD474" s="1655"/>
      <c r="FE474" s="1655"/>
      <c r="FF474" s="1655"/>
      <c r="FG474" s="1655"/>
      <c r="FH474" s="1655"/>
      <c r="FI474" s="1655"/>
    </row>
    <row r="475" spans="1:165">
      <c r="A475" s="1655"/>
      <c r="B475" s="1655"/>
      <c r="C475" s="1655"/>
      <c r="D475" s="1655"/>
      <c r="E475" s="1655"/>
      <c r="F475" s="1655"/>
      <c r="G475" s="1655"/>
      <c r="H475" s="1655"/>
      <c r="I475" s="1655"/>
      <c r="J475" s="1655"/>
      <c r="K475" s="1655"/>
      <c r="L475" s="1655"/>
      <c r="M475" s="1655"/>
      <c r="N475" s="1655"/>
      <c r="O475" s="1655"/>
      <c r="P475" s="1655"/>
      <c r="Q475" s="1655"/>
      <c r="R475" s="1655"/>
      <c r="S475" s="1655"/>
      <c r="T475" s="1655"/>
      <c r="U475" s="1655"/>
      <c r="V475" s="1655"/>
      <c r="W475" s="1655"/>
      <c r="X475" s="1655"/>
      <c r="Y475" s="1655"/>
      <c r="Z475" s="1655"/>
      <c r="AA475" s="1655"/>
      <c r="AB475" s="1655"/>
      <c r="AC475" s="1655"/>
      <c r="AD475" s="1655"/>
      <c r="AE475" s="1655"/>
      <c r="AF475" s="1655"/>
      <c r="AG475" s="1655"/>
      <c r="AH475" s="1655"/>
      <c r="AI475" s="1655"/>
      <c r="AJ475" s="1655"/>
      <c r="AK475" s="1655"/>
      <c r="AL475" s="1655"/>
      <c r="AM475" s="1655"/>
      <c r="AN475" s="1655"/>
      <c r="AO475" s="1655"/>
      <c r="AP475" s="1655"/>
      <c r="AQ475" s="1655"/>
      <c r="AR475" s="1655"/>
      <c r="AS475" s="1655"/>
      <c r="AT475" s="1655"/>
      <c r="AU475" s="1655"/>
      <c r="AV475" s="1655"/>
      <c r="AW475" s="1655"/>
      <c r="AX475" s="1655"/>
      <c r="AY475" s="1655"/>
      <c r="AZ475" s="1655"/>
      <c r="BA475" s="1655"/>
      <c r="BB475" s="1655"/>
      <c r="BC475" s="1655"/>
      <c r="BD475" s="1655"/>
      <c r="BE475" s="1655"/>
      <c r="BF475" s="1655"/>
      <c r="BG475" s="1655"/>
      <c r="BH475" s="1655"/>
      <c r="BI475" s="1655"/>
      <c r="BJ475" s="1655"/>
      <c r="BK475" s="1655"/>
      <c r="BL475" s="1655"/>
      <c r="BM475" s="1655"/>
      <c r="BN475" s="1655"/>
      <c r="BO475" s="1655"/>
      <c r="BP475" s="1655"/>
      <c r="BQ475" s="1655"/>
      <c r="BR475" s="1655"/>
      <c r="BS475" s="1655"/>
      <c r="BT475" s="1655"/>
      <c r="BU475" s="1655"/>
      <c r="BV475" s="1655"/>
      <c r="BW475" s="1655"/>
      <c r="BX475" s="1655"/>
      <c r="BY475" s="1655"/>
      <c r="BZ475" s="1655"/>
      <c r="CA475" s="1655"/>
      <c r="CB475" s="1655"/>
      <c r="CC475" s="1655"/>
      <c r="CD475" s="1655"/>
      <c r="CE475" s="1655"/>
      <c r="CF475" s="1655"/>
      <c r="CG475" s="1655"/>
      <c r="CH475" s="1655"/>
      <c r="CI475" s="1655"/>
      <c r="CJ475" s="1655"/>
      <c r="CK475" s="1655"/>
      <c r="CL475" s="1655"/>
      <c r="CM475" s="1655"/>
      <c r="CN475" s="1655"/>
      <c r="CO475" s="1655"/>
      <c r="CP475" s="1655"/>
      <c r="CQ475" s="1655"/>
      <c r="CR475" s="1655"/>
      <c r="CS475" s="1655"/>
      <c r="CT475" s="1655"/>
      <c r="CU475" s="1655"/>
      <c r="CV475" s="1655"/>
      <c r="CW475" s="1655"/>
      <c r="CX475" s="1655"/>
      <c r="CY475" s="1655"/>
      <c r="CZ475" s="1655"/>
      <c r="DA475" s="1655"/>
      <c r="DB475" s="1655"/>
      <c r="DC475" s="1655"/>
      <c r="DD475" s="1655"/>
      <c r="DE475" s="1655"/>
      <c r="DF475" s="1655"/>
      <c r="DG475" s="1655"/>
      <c r="DH475" s="1655"/>
      <c r="DI475" s="1655"/>
      <c r="DJ475" s="1655"/>
      <c r="DK475" s="1655"/>
      <c r="DL475" s="1655"/>
      <c r="DM475" s="1655"/>
      <c r="DN475" s="1655"/>
      <c r="DO475" s="1655"/>
      <c r="DP475" s="1655"/>
      <c r="DQ475" s="1655"/>
      <c r="DR475" s="1655"/>
      <c r="DS475" s="1655"/>
      <c r="DT475" s="1655"/>
      <c r="DU475" s="1655"/>
      <c r="DV475" s="1655"/>
      <c r="DW475" s="1655"/>
      <c r="DX475" s="1655"/>
      <c r="DY475" s="1655"/>
      <c r="DZ475" s="1655"/>
      <c r="EA475" s="1655"/>
      <c r="EB475" s="1655"/>
      <c r="EC475" s="1655"/>
      <c r="ED475" s="1655"/>
      <c r="EE475" s="1655"/>
      <c r="EF475" s="1655"/>
      <c r="EG475" s="1655"/>
      <c r="EH475" s="1655"/>
      <c r="EI475" s="1655"/>
      <c r="EJ475" s="1655"/>
      <c r="EK475" s="1655"/>
      <c r="EL475" s="1655"/>
      <c r="EM475" s="1655"/>
      <c r="EN475" s="1655"/>
      <c r="EO475" s="1655"/>
      <c r="EP475" s="1655"/>
      <c r="EQ475" s="1655"/>
      <c r="ER475" s="1655"/>
      <c r="ES475" s="1655"/>
      <c r="ET475" s="1655"/>
      <c r="EU475" s="1655"/>
      <c r="EV475" s="1655"/>
      <c r="EW475" s="1655"/>
      <c r="EX475" s="1655"/>
      <c r="EY475" s="1655"/>
      <c r="EZ475" s="1655"/>
      <c r="FA475" s="1655"/>
      <c r="FB475" s="1655"/>
      <c r="FC475" s="1655"/>
      <c r="FD475" s="1655"/>
      <c r="FE475" s="1655"/>
      <c r="FF475" s="1655"/>
      <c r="FG475" s="1655"/>
      <c r="FH475" s="1655"/>
      <c r="FI475" s="1655"/>
    </row>
    <row r="476" spans="1:165">
      <c r="A476" s="1655"/>
      <c r="B476" s="1655"/>
      <c r="C476" s="1655"/>
      <c r="D476" s="1655"/>
      <c r="E476" s="1655"/>
      <c r="F476" s="1655"/>
      <c r="G476" s="1655"/>
      <c r="H476" s="1655"/>
      <c r="I476" s="1655"/>
      <c r="J476" s="1655"/>
      <c r="K476" s="1655"/>
      <c r="L476" s="1655"/>
      <c r="M476" s="1655"/>
      <c r="N476" s="1655"/>
      <c r="O476" s="1655"/>
      <c r="P476" s="1655"/>
      <c r="Q476" s="1655"/>
      <c r="R476" s="1655"/>
      <c r="S476" s="1655"/>
      <c r="T476" s="1655"/>
      <c r="U476" s="1655"/>
      <c r="V476" s="1655"/>
      <c r="W476" s="1655"/>
      <c r="X476" s="1655"/>
      <c r="Y476" s="1655"/>
      <c r="Z476" s="1655"/>
      <c r="AA476" s="1655"/>
      <c r="AB476" s="1655"/>
      <c r="AC476" s="1655"/>
      <c r="AD476" s="1655"/>
      <c r="AE476" s="1655"/>
      <c r="AF476" s="1655"/>
      <c r="AG476" s="1655"/>
      <c r="AH476" s="1655"/>
      <c r="AI476" s="1655"/>
      <c r="AJ476" s="1655"/>
      <c r="AK476" s="1655"/>
      <c r="AL476" s="1655"/>
      <c r="AM476" s="1655"/>
      <c r="AN476" s="1655"/>
      <c r="AO476" s="1655"/>
      <c r="AP476" s="1655"/>
      <c r="AQ476" s="1655"/>
      <c r="AR476" s="1655"/>
      <c r="AS476" s="1655"/>
      <c r="AT476" s="1655"/>
      <c r="AU476" s="1655"/>
      <c r="AV476" s="1655"/>
      <c r="AW476" s="1655"/>
      <c r="AX476" s="1655"/>
      <c r="AY476" s="1655"/>
      <c r="AZ476" s="1655"/>
      <c r="BA476" s="1655"/>
      <c r="BB476" s="1655"/>
      <c r="BC476" s="1655"/>
      <c r="BD476" s="1655"/>
      <c r="BE476" s="1655"/>
      <c r="BF476" s="1655"/>
      <c r="BG476" s="1655"/>
      <c r="BH476" s="1655"/>
      <c r="BI476" s="1655"/>
      <c r="BJ476" s="1655"/>
      <c r="BK476" s="1655"/>
      <c r="BL476" s="1655"/>
      <c r="BM476" s="1655"/>
      <c r="BN476" s="1655"/>
      <c r="BO476" s="1655"/>
      <c r="BP476" s="1655"/>
      <c r="BQ476" s="1655"/>
      <c r="BR476" s="1655"/>
      <c r="BS476" s="1655"/>
      <c r="BT476" s="1655"/>
      <c r="BU476" s="1655"/>
      <c r="BV476" s="1655"/>
      <c r="BW476" s="1655"/>
      <c r="BX476" s="1655"/>
      <c r="BY476" s="1655"/>
      <c r="BZ476" s="1655"/>
      <c r="CA476" s="1655"/>
      <c r="CB476" s="1655"/>
      <c r="CC476" s="1655"/>
      <c r="CD476" s="1655"/>
      <c r="CE476" s="1655"/>
      <c r="CF476" s="1655"/>
      <c r="CG476" s="1655"/>
      <c r="CH476" s="1655"/>
      <c r="CI476" s="1655"/>
      <c r="CJ476" s="1655"/>
      <c r="CK476" s="1655"/>
      <c r="CL476" s="1655"/>
      <c r="CM476" s="1655"/>
      <c r="CN476" s="1655"/>
      <c r="CO476" s="1655"/>
      <c r="CP476" s="1655"/>
      <c r="CQ476" s="1655"/>
      <c r="CR476" s="1655"/>
      <c r="CS476" s="1655"/>
      <c r="CT476" s="1655"/>
      <c r="CU476" s="1655"/>
      <c r="CV476" s="1655"/>
      <c r="CW476" s="1655"/>
      <c r="CX476" s="1655"/>
      <c r="CY476" s="1655"/>
      <c r="CZ476" s="1655"/>
      <c r="DA476" s="1655"/>
      <c r="DB476" s="1655"/>
      <c r="DC476" s="1655"/>
      <c r="DD476" s="1655"/>
      <c r="DE476" s="1655"/>
      <c r="DF476" s="1655"/>
      <c r="DG476" s="1655"/>
      <c r="DH476" s="1655"/>
      <c r="DI476" s="1655"/>
      <c r="DJ476" s="1655"/>
      <c r="DK476" s="1655"/>
      <c r="DL476" s="1655"/>
      <c r="DM476" s="1655"/>
      <c r="DN476" s="1655"/>
      <c r="DO476" s="1655"/>
      <c r="DP476" s="1655"/>
      <c r="DQ476" s="1655"/>
      <c r="DR476" s="1655"/>
      <c r="DS476" s="1655"/>
      <c r="DT476" s="1655"/>
      <c r="DU476" s="1655"/>
      <c r="DV476" s="1655"/>
      <c r="DW476" s="1655"/>
      <c r="DX476" s="1655"/>
      <c r="DY476" s="1655"/>
      <c r="DZ476" s="1655"/>
      <c r="EA476" s="1655"/>
      <c r="EB476" s="1655"/>
      <c r="EC476" s="1655"/>
      <c r="ED476" s="1655"/>
      <c r="EE476" s="1655"/>
      <c r="EF476" s="1655"/>
      <c r="EG476" s="1655"/>
      <c r="EH476" s="1655"/>
      <c r="EI476" s="1655"/>
      <c r="EJ476" s="1655"/>
      <c r="EK476" s="1655"/>
      <c r="EL476" s="1655"/>
      <c r="EM476" s="1655"/>
      <c r="EN476" s="1655"/>
      <c r="EO476" s="1655"/>
      <c r="EP476" s="1655"/>
      <c r="EQ476" s="1655"/>
      <c r="ER476" s="1655"/>
      <c r="ES476" s="1655"/>
      <c r="ET476" s="1655"/>
      <c r="EU476" s="1655"/>
      <c r="EV476" s="1655"/>
      <c r="EW476" s="1655"/>
      <c r="EX476" s="1655"/>
      <c r="EY476" s="1655"/>
      <c r="EZ476" s="1655"/>
      <c r="FA476" s="1655"/>
      <c r="FB476" s="1655"/>
      <c r="FC476" s="1655"/>
      <c r="FD476" s="1655"/>
      <c r="FE476" s="1655"/>
      <c r="FF476" s="1655"/>
      <c r="FG476" s="1655"/>
      <c r="FH476" s="1655"/>
      <c r="FI476" s="1655"/>
    </row>
    <row r="477" spans="1:165">
      <c r="A477" s="1655"/>
      <c r="B477" s="1655"/>
      <c r="C477" s="1655"/>
      <c r="D477" s="1655"/>
      <c r="E477" s="1655"/>
      <c r="F477" s="1655"/>
      <c r="G477" s="1655"/>
      <c r="H477" s="1655"/>
      <c r="I477" s="1655"/>
      <c r="J477" s="1655"/>
      <c r="K477" s="1655"/>
      <c r="L477" s="1655"/>
      <c r="M477" s="1655"/>
      <c r="N477" s="1655"/>
      <c r="O477" s="1655"/>
      <c r="P477" s="1655"/>
      <c r="Q477" s="1655"/>
      <c r="R477" s="1655"/>
      <c r="S477" s="1655"/>
      <c r="T477" s="1655"/>
      <c r="U477" s="1655"/>
      <c r="V477" s="1655"/>
      <c r="W477" s="1655"/>
      <c r="X477" s="1655"/>
      <c r="Y477" s="1655"/>
      <c r="Z477" s="1655"/>
      <c r="AA477" s="1655"/>
      <c r="AB477" s="1655"/>
      <c r="AC477" s="1655"/>
      <c r="AD477" s="1655"/>
      <c r="AE477" s="1655"/>
      <c r="AF477" s="1655"/>
      <c r="AG477" s="1655"/>
      <c r="AH477" s="1655"/>
      <c r="AI477" s="1655"/>
      <c r="AJ477" s="1655"/>
      <c r="AK477" s="1655"/>
      <c r="AL477" s="1655"/>
      <c r="AM477" s="1655"/>
      <c r="AN477" s="1655"/>
      <c r="AO477" s="1655"/>
      <c r="AP477" s="1655"/>
      <c r="AQ477" s="1655"/>
      <c r="AR477" s="1655"/>
      <c r="AS477" s="1655"/>
      <c r="AT477" s="1655"/>
      <c r="AU477" s="1655"/>
      <c r="AV477" s="1655"/>
      <c r="AW477" s="1655"/>
      <c r="AX477" s="1655"/>
      <c r="AY477" s="1655"/>
      <c r="AZ477" s="1655"/>
      <c r="BA477" s="1655"/>
      <c r="BB477" s="1655"/>
      <c r="BC477" s="1655"/>
      <c r="BD477" s="1655"/>
      <c r="BE477" s="1655"/>
      <c r="BF477" s="1655"/>
      <c r="BG477" s="1655"/>
      <c r="BH477" s="1655"/>
      <c r="BI477" s="1655"/>
      <c r="BJ477" s="1655"/>
      <c r="BK477" s="1655"/>
      <c r="BL477" s="1655"/>
      <c r="BM477" s="1655"/>
      <c r="BN477" s="1655"/>
      <c r="BO477" s="1655"/>
      <c r="BP477" s="1655"/>
      <c r="BQ477" s="1655"/>
      <c r="BR477" s="1655"/>
      <c r="BS477" s="1655"/>
      <c r="BT477" s="1655"/>
      <c r="BU477" s="1655"/>
      <c r="BV477" s="1655"/>
      <c r="BW477" s="1655"/>
      <c r="BX477" s="1655"/>
      <c r="BY477" s="1655"/>
      <c r="BZ477" s="1655"/>
      <c r="CA477" s="1655"/>
      <c r="CB477" s="1655"/>
      <c r="CC477" s="1655"/>
      <c r="CD477" s="1655"/>
      <c r="CE477" s="1655"/>
      <c r="CF477" s="1655"/>
      <c r="CG477" s="1655"/>
      <c r="CH477" s="1655"/>
      <c r="CI477" s="1655"/>
      <c r="CJ477" s="1655"/>
      <c r="CK477" s="1655"/>
      <c r="CL477" s="1655"/>
      <c r="CM477" s="1655"/>
      <c r="CN477" s="1655"/>
      <c r="CO477" s="1655"/>
      <c r="CP477" s="1655"/>
      <c r="CQ477" s="1655"/>
      <c r="CR477" s="1655"/>
      <c r="CS477" s="1655"/>
      <c r="CT477" s="1655"/>
      <c r="CU477" s="1655"/>
      <c r="CV477" s="1655"/>
      <c r="CW477" s="1655"/>
      <c r="CX477" s="1655"/>
      <c r="CY477" s="1655"/>
      <c r="CZ477" s="1655"/>
      <c r="DA477" s="1655"/>
      <c r="DB477" s="1655"/>
      <c r="DC477" s="1655"/>
      <c r="DD477" s="1655"/>
      <c r="DE477" s="1655"/>
      <c r="DF477" s="1655"/>
      <c r="DG477" s="1655"/>
      <c r="DH477" s="1655"/>
      <c r="DI477" s="1655"/>
      <c r="DJ477" s="1655"/>
      <c r="DK477" s="1655"/>
      <c r="DL477" s="1655"/>
      <c r="DM477" s="1655"/>
      <c r="DN477" s="1655"/>
      <c r="DO477" s="1655"/>
      <c r="DP477" s="1655"/>
      <c r="DQ477" s="1655"/>
      <c r="DR477" s="1655"/>
      <c r="DS477" s="1655"/>
      <c r="DT477" s="1655"/>
      <c r="DU477" s="1655"/>
      <c r="DV477" s="1655"/>
      <c r="DW477" s="1655"/>
      <c r="DX477" s="1655"/>
      <c r="DY477" s="1655"/>
      <c r="DZ477" s="1655"/>
      <c r="EA477" s="1655"/>
      <c r="EB477" s="1655"/>
      <c r="EC477" s="1655"/>
      <c r="ED477" s="1655"/>
      <c r="EE477" s="1655"/>
      <c r="EF477" s="1655"/>
      <c r="EG477" s="1655"/>
      <c r="EH477" s="1655"/>
      <c r="EI477" s="1655"/>
      <c r="EJ477" s="1655"/>
      <c r="EK477" s="1655"/>
      <c r="EL477" s="1655"/>
      <c r="EM477" s="1655"/>
      <c r="EN477" s="1655"/>
      <c r="EO477" s="1655"/>
      <c r="EP477" s="1655"/>
      <c r="EQ477" s="1655"/>
      <c r="ER477" s="1655"/>
      <c r="ES477" s="1655"/>
      <c r="ET477" s="1655"/>
      <c r="EU477" s="1655"/>
      <c r="EV477" s="1655"/>
      <c r="EW477" s="1655"/>
      <c r="EX477" s="1655"/>
      <c r="EY477" s="1655"/>
      <c r="EZ477" s="1655"/>
      <c r="FA477" s="1655"/>
      <c r="FB477" s="1655"/>
      <c r="FC477" s="1655"/>
      <c r="FD477" s="1655"/>
      <c r="FE477" s="1655"/>
      <c r="FF477" s="1655"/>
      <c r="FG477" s="1655"/>
      <c r="FH477" s="1655"/>
      <c r="FI477" s="1655"/>
    </row>
    <row r="478" spans="1:165">
      <c r="A478" s="1655"/>
      <c r="B478" s="1655"/>
      <c r="C478" s="1655"/>
      <c r="D478" s="1655"/>
      <c r="E478" s="1655"/>
      <c r="F478" s="1655"/>
      <c r="G478" s="1655"/>
      <c r="H478" s="1655"/>
      <c r="I478" s="1655"/>
      <c r="J478" s="1655"/>
      <c r="K478" s="1655"/>
      <c r="L478" s="1655"/>
      <c r="M478" s="1655"/>
      <c r="N478" s="1655"/>
      <c r="O478" s="1655"/>
      <c r="P478" s="1655"/>
      <c r="Q478" s="1655"/>
      <c r="R478" s="1655"/>
      <c r="S478" s="1655"/>
      <c r="T478" s="1655"/>
      <c r="U478" s="1655"/>
      <c r="V478" s="1655"/>
      <c r="W478" s="1655"/>
      <c r="X478" s="1655"/>
      <c r="Y478" s="1655"/>
      <c r="Z478" s="1655"/>
      <c r="AA478" s="1655"/>
      <c r="AB478" s="1655"/>
      <c r="AC478" s="1655"/>
      <c r="AD478" s="1655"/>
      <c r="AE478" s="1655"/>
      <c r="AF478" s="1655"/>
      <c r="AG478" s="1655"/>
      <c r="AH478" s="1655"/>
      <c r="AI478" s="1655"/>
      <c r="AJ478" s="1655"/>
      <c r="AK478" s="1655"/>
      <c r="AL478" s="1655"/>
      <c r="AM478" s="1655"/>
      <c r="AN478" s="1655"/>
      <c r="AO478" s="1655"/>
      <c r="AP478" s="1655"/>
      <c r="AQ478" s="1655"/>
      <c r="AR478" s="1655"/>
      <c r="AS478" s="1655"/>
      <c r="AT478" s="1655"/>
      <c r="AU478" s="1655"/>
      <c r="AV478" s="1655"/>
      <c r="AW478" s="1655"/>
      <c r="AX478" s="1655"/>
      <c r="AY478" s="1655"/>
      <c r="AZ478" s="1655"/>
      <c r="BA478" s="1655"/>
      <c r="BB478" s="1655"/>
      <c r="BC478" s="1655"/>
      <c r="BD478" s="1655"/>
      <c r="BE478" s="1655"/>
      <c r="BF478" s="1655"/>
      <c r="BG478" s="1655"/>
      <c r="BH478" s="1655"/>
      <c r="BI478" s="1655"/>
      <c r="BJ478" s="1655"/>
      <c r="BK478" s="1655"/>
      <c r="BL478" s="1655"/>
      <c r="BM478" s="1655"/>
      <c r="BN478" s="1655"/>
      <c r="BO478" s="1655"/>
      <c r="BP478" s="1655"/>
      <c r="BQ478" s="1655"/>
      <c r="BR478" s="1655"/>
      <c r="BS478" s="1655"/>
      <c r="BT478" s="1655"/>
      <c r="BU478" s="1655"/>
      <c r="BV478" s="1655"/>
      <c r="BW478" s="1655"/>
      <c r="BX478" s="1655"/>
      <c r="BY478" s="1655"/>
      <c r="BZ478" s="1655"/>
      <c r="CA478" s="1655"/>
      <c r="CB478" s="1655"/>
      <c r="CC478" s="1655"/>
      <c r="CD478" s="1655"/>
      <c r="CE478" s="1655"/>
      <c r="CF478" s="1655"/>
      <c r="CG478" s="1655"/>
      <c r="CH478" s="1655"/>
      <c r="CI478" s="1655"/>
      <c r="CJ478" s="1655"/>
      <c r="CK478" s="1655"/>
      <c r="CL478" s="1655"/>
      <c r="CM478" s="1655"/>
      <c r="CN478" s="1655"/>
      <c r="CO478" s="1655"/>
      <c r="CP478" s="1655"/>
      <c r="CQ478" s="1655"/>
      <c r="CR478" s="1655"/>
      <c r="CS478" s="1655"/>
      <c r="CT478" s="1655"/>
      <c r="CU478" s="1655"/>
      <c r="CV478" s="1655"/>
      <c r="CW478" s="1655"/>
      <c r="CX478" s="1655"/>
      <c r="CY478" s="1655"/>
      <c r="CZ478" s="1655"/>
      <c r="DA478" s="1655"/>
      <c r="DB478" s="1655"/>
      <c r="DC478" s="1655"/>
      <c r="DD478" s="1655"/>
      <c r="DE478" s="1655"/>
      <c r="DF478" s="1655"/>
      <c r="DG478" s="1655"/>
      <c r="DH478" s="1655"/>
      <c r="DI478" s="1655"/>
      <c r="DJ478" s="1655"/>
      <c r="DK478" s="1655"/>
      <c r="DL478" s="1655"/>
      <c r="DM478" s="1655"/>
      <c r="DN478" s="1655"/>
      <c r="DO478" s="1655"/>
      <c r="DP478" s="1655"/>
      <c r="DQ478" s="1655"/>
      <c r="DR478" s="1655"/>
      <c r="DS478" s="1655"/>
      <c r="DT478" s="1655"/>
      <c r="DU478" s="1655"/>
      <c r="DV478" s="1655"/>
      <c r="DW478" s="1655"/>
      <c r="DX478" s="1655"/>
      <c r="DY478" s="1655"/>
      <c r="DZ478" s="1655"/>
      <c r="EA478" s="1655"/>
      <c r="EB478" s="1655"/>
      <c r="EC478" s="1655"/>
      <c r="ED478" s="1655"/>
      <c r="EE478" s="1655"/>
      <c r="EF478" s="1655"/>
      <c r="EG478" s="1655"/>
      <c r="EH478" s="1655"/>
      <c r="EI478" s="1655"/>
      <c r="EJ478" s="1655"/>
      <c r="EK478" s="1655"/>
      <c r="EL478" s="1655"/>
      <c r="EM478" s="1655"/>
      <c r="EN478" s="1655"/>
      <c r="EO478" s="1655"/>
      <c r="EP478" s="1655"/>
      <c r="EQ478" s="1655"/>
      <c r="ER478" s="1655"/>
      <c r="ES478" s="1655"/>
      <c r="ET478" s="1655"/>
      <c r="EU478" s="1655"/>
      <c r="EV478" s="1655"/>
      <c r="EW478" s="1655"/>
      <c r="EX478" s="1655"/>
      <c r="EY478" s="1655"/>
      <c r="EZ478" s="1655"/>
      <c r="FA478" s="1655"/>
      <c r="FB478" s="1655"/>
      <c r="FC478" s="1655"/>
      <c r="FD478" s="1655"/>
      <c r="FE478" s="1655"/>
      <c r="FF478" s="1655"/>
      <c r="FG478" s="1655"/>
      <c r="FH478" s="1655"/>
      <c r="FI478" s="1655"/>
    </row>
    <row r="479" spans="1:165">
      <c r="A479" s="1655"/>
      <c r="B479" s="1655"/>
      <c r="C479" s="1655"/>
      <c r="D479" s="1655"/>
      <c r="E479" s="1655"/>
      <c r="F479" s="1655"/>
      <c r="G479" s="1655"/>
      <c r="H479" s="1655"/>
      <c r="I479" s="1655"/>
      <c r="J479" s="1655"/>
      <c r="K479" s="1655"/>
      <c r="L479" s="1655"/>
      <c r="M479" s="1655"/>
      <c r="N479" s="1655"/>
      <c r="O479" s="1655"/>
      <c r="P479" s="1655"/>
      <c r="Q479" s="1655"/>
      <c r="R479" s="1655"/>
      <c r="S479" s="1655"/>
      <c r="T479" s="1655"/>
      <c r="U479" s="1655"/>
      <c r="V479" s="1655"/>
      <c r="W479" s="1655"/>
      <c r="X479" s="1655"/>
      <c r="Y479" s="1655"/>
      <c r="Z479" s="1655"/>
      <c r="AA479" s="1655"/>
      <c r="AB479" s="1655"/>
      <c r="AC479" s="1655"/>
      <c r="AD479" s="1655"/>
      <c r="AE479" s="1655"/>
      <c r="AF479" s="1655"/>
      <c r="AG479" s="1655"/>
      <c r="AH479" s="1655"/>
      <c r="AI479" s="1655"/>
      <c r="AJ479" s="1655"/>
      <c r="AK479" s="1655"/>
      <c r="AL479" s="1655"/>
      <c r="AM479" s="1655"/>
      <c r="AN479" s="1655"/>
      <c r="AO479" s="1655"/>
      <c r="AP479" s="1655"/>
      <c r="AQ479" s="1655"/>
      <c r="AR479" s="1655"/>
      <c r="AS479" s="1655"/>
      <c r="AT479" s="1655"/>
      <c r="AU479" s="1655"/>
      <c r="AV479" s="1655"/>
      <c r="AW479" s="1655"/>
      <c r="AX479" s="1655"/>
      <c r="AY479" s="1655"/>
      <c r="AZ479" s="1655"/>
      <c r="BA479" s="1655"/>
      <c r="BB479" s="1655"/>
      <c r="BC479" s="1655"/>
      <c r="BD479" s="1655"/>
      <c r="BE479" s="1655"/>
      <c r="BF479" s="1655"/>
      <c r="BG479" s="1655"/>
      <c r="BH479" s="1655"/>
      <c r="BI479" s="1655"/>
      <c r="BJ479" s="1655"/>
      <c r="BK479" s="1655"/>
      <c r="BL479" s="1655"/>
      <c r="BM479" s="1655"/>
      <c r="BN479" s="1655"/>
      <c r="BO479" s="1655"/>
      <c r="BP479" s="1655"/>
      <c r="BQ479" s="1655"/>
      <c r="BR479" s="1655"/>
      <c r="BS479" s="1655"/>
      <c r="BT479" s="1655"/>
      <c r="BU479" s="1655"/>
      <c r="BV479" s="1655"/>
      <c r="BW479" s="1655"/>
      <c r="BX479" s="1655"/>
      <c r="BY479" s="1655"/>
      <c r="BZ479" s="1655"/>
      <c r="CA479" s="1655"/>
      <c r="CB479" s="1655"/>
      <c r="CC479" s="1655"/>
      <c r="CD479" s="1655"/>
      <c r="CE479" s="1655"/>
      <c r="CF479" s="1655"/>
      <c r="CG479" s="1655"/>
      <c r="CH479" s="1655"/>
      <c r="CI479" s="1655"/>
      <c r="CJ479" s="1655"/>
      <c r="CK479" s="1655"/>
      <c r="CL479" s="1655"/>
      <c r="CM479" s="1655"/>
      <c r="CN479" s="1655"/>
      <c r="CO479" s="1655"/>
      <c r="CP479" s="1655"/>
      <c r="CQ479" s="1655"/>
      <c r="CR479" s="1655"/>
      <c r="CS479" s="1655"/>
      <c r="CT479" s="1655"/>
      <c r="CU479" s="1655"/>
      <c r="CV479" s="1655"/>
      <c r="CW479" s="1655"/>
      <c r="CX479" s="1655"/>
      <c r="CY479" s="1655"/>
      <c r="CZ479" s="1655"/>
      <c r="DA479" s="1655"/>
      <c r="DB479" s="1655"/>
      <c r="DC479" s="1655"/>
      <c r="DD479" s="1655"/>
      <c r="DE479" s="1655"/>
      <c r="DF479" s="1655"/>
      <c r="DG479" s="1655"/>
      <c r="DH479" s="1655"/>
      <c r="DI479" s="1655"/>
      <c r="DJ479" s="1655"/>
      <c r="DK479" s="1655"/>
      <c r="DL479" s="1655"/>
      <c r="DM479" s="1655"/>
      <c r="DN479" s="1655"/>
      <c r="DO479" s="1655"/>
      <c r="DP479" s="1655"/>
      <c r="DQ479" s="1655"/>
      <c r="DR479" s="1655"/>
      <c r="DS479" s="1655"/>
      <c r="DT479" s="1655"/>
      <c r="DU479" s="1655"/>
      <c r="DV479" s="1655"/>
      <c r="DW479" s="1655"/>
      <c r="DX479" s="1655"/>
      <c r="DY479" s="1655"/>
      <c r="DZ479" s="1655"/>
      <c r="EA479" s="1655"/>
      <c r="EB479" s="1655"/>
      <c r="EC479" s="1655"/>
      <c r="ED479" s="1655"/>
      <c r="EE479" s="1655"/>
      <c r="EF479" s="1655"/>
      <c r="EG479" s="1655"/>
      <c r="EH479" s="1655"/>
      <c r="EI479" s="1655"/>
      <c r="EJ479" s="1655"/>
      <c r="EK479" s="1655"/>
      <c r="EL479" s="1655"/>
      <c r="EM479" s="1655"/>
      <c r="EN479" s="1655"/>
      <c r="EO479" s="1655"/>
      <c r="EP479" s="1655"/>
      <c r="EQ479" s="1655"/>
      <c r="ER479" s="1655"/>
      <c r="ES479" s="1655"/>
      <c r="ET479" s="1655"/>
      <c r="EU479" s="1655"/>
      <c r="EV479" s="1655"/>
      <c r="EW479" s="1655"/>
      <c r="EX479" s="1655"/>
      <c r="EY479" s="1655"/>
      <c r="EZ479" s="1655"/>
      <c r="FA479" s="1655"/>
      <c r="FB479" s="1655"/>
      <c r="FC479" s="1655"/>
      <c r="FD479" s="1655"/>
      <c r="FE479" s="1655"/>
      <c r="FF479" s="1655"/>
      <c r="FG479" s="1655"/>
      <c r="FH479" s="1655"/>
      <c r="FI479" s="1655"/>
    </row>
    <row r="480" spans="1:165">
      <c r="A480" s="1655"/>
      <c r="B480" s="1655"/>
      <c r="C480" s="1655"/>
      <c r="D480" s="1655"/>
      <c r="E480" s="1655"/>
      <c r="F480" s="1655"/>
      <c r="G480" s="1655"/>
      <c r="H480" s="1655"/>
      <c r="I480" s="1655"/>
      <c r="J480" s="1655"/>
      <c r="K480" s="1655"/>
      <c r="L480" s="1655"/>
      <c r="M480" s="1655"/>
      <c r="N480" s="1655"/>
      <c r="O480" s="1655"/>
      <c r="P480" s="1655"/>
      <c r="Q480" s="1655"/>
      <c r="R480" s="1655"/>
      <c r="S480" s="1655"/>
      <c r="T480" s="1655"/>
      <c r="U480" s="1655"/>
      <c r="V480" s="1655"/>
      <c r="W480" s="1655"/>
      <c r="X480" s="1655"/>
      <c r="Y480" s="1655"/>
      <c r="Z480" s="1655"/>
      <c r="AA480" s="1655"/>
      <c r="AB480" s="1655"/>
      <c r="AC480" s="1655"/>
      <c r="AD480" s="1655"/>
      <c r="AE480" s="1655"/>
      <c r="AF480" s="1655"/>
      <c r="AG480" s="1655"/>
      <c r="AH480" s="1655"/>
      <c r="AI480" s="1655"/>
      <c r="AJ480" s="1655"/>
      <c r="AK480" s="1655"/>
      <c r="AL480" s="1655"/>
      <c r="AM480" s="1655"/>
      <c r="AN480" s="1655"/>
      <c r="AO480" s="1655"/>
      <c r="AP480" s="1655"/>
      <c r="AQ480" s="1655"/>
      <c r="AR480" s="1655"/>
      <c r="AS480" s="1655"/>
      <c r="AT480" s="1655"/>
      <c r="AU480" s="1655"/>
      <c r="AV480" s="1655"/>
      <c r="AW480" s="1655"/>
      <c r="AX480" s="1655"/>
      <c r="AY480" s="1655"/>
      <c r="AZ480" s="1655"/>
      <c r="BA480" s="1655"/>
      <c r="BB480" s="1655"/>
      <c r="BC480" s="1655"/>
      <c r="BD480" s="1655"/>
      <c r="BE480" s="1655"/>
      <c r="BF480" s="1655"/>
      <c r="BG480" s="1655"/>
      <c r="BH480" s="1655"/>
      <c r="BI480" s="1655"/>
      <c r="BJ480" s="1655"/>
      <c r="BK480" s="1655"/>
      <c r="BL480" s="1655"/>
      <c r="BM480" s="1655"/>
      <c r="BN480" s="1655"/>
      <c r="BO480" s="1655"/>
      <c r="BP480" s="1655"/>
      <c r="BQ480" s="1655"/>
      <c r="BR480" s="1655"/>
      <c r="BS480" s="1655"/>
      <c r="BT480" s="1655"/>
      <c r="BU480" s="1655"/>
      <c r="BV480" s="1655"/>
      <c r="BW480" s="1655"/>
      <c r="BX480" s="1655"/>
      <c r="BY480" s="1655"/>
      <c r="BZ480" s="1655"/>
      <c r="CA480" s="1655"/>
      <c r="CB480" s="1655"/>
      <c r="CC480" s="1655"/>
      <c r="CD480" s="1655"/>
      <c r="CE480" s="1655"/>
      <c r="CF480" s="1655"/>
      <c r="CG480" s="1655"/>
      <c r="CH480" s="1655"/>
      <c r="CI480" s="1655"/>
      <c r="CJ480" s="1655"/>
      <c r="CK480" s="1655"/>
      <c r="CL480" s="1655"/>
      <c r="CM480" s="1655"/>
      <c r="CN480" s="1655"/>
      <c r="CO480" s="1655"/>
      <c r="CP480" s="1655"/>
      <c r="CQ480" s="1655"/>
      <c r="CR480" s="1655"/>
      <c r="CS480" s="1655"/>
      <c r="CT480" s="1655"/>
      <c r="CU480" s="1655"/>
      <c r="CV480" s="1655"/>
      <c r="CW480" s="1655"/>
      <c r="CX480" s="1655"/>
      <c r="CY480" s="1655"/>
      <c r="CZ480" s="1655"/>
      <c r="DA480" s="1655"/>
      <c r="DB480" s="1655"/>
      <c r="DC480" s="1655"/>
      <c r="DD480" s="1655"/>
      <c r="DE480" s="1655"/>
      <c r="DF480" s="1655"/>
      <c r="DG480" s="1655"/>
      <c r="DH480" s="1655"/>
      <c r="DI480" s="1655"/>
      <c r="DJ480" s="1655"/>
      <c r="DK480" s="1655"/>
      <c r="DL480" s="1655"/>
      <c r="DM480" s="1655"/>
      <c r="DN480" s="1655"/>
      <c r="DO480" s="1655"/>
      <c r="DP480" s="1655"/>
      <c r="DQ480" s="1655"/>
      <c r="DR480" s="1655"/>
      <c r="DS480" s="1655"/>
      <c r="DT480" s="1655"/>
      <c r="DU480" s="1655"/>
      <c r="DV480" s="1655"/>
      <c r="DW480" s="1655"/>
      <c r="DX480" s="1655"/>
      <c r="DY480" s="1655"/>
      <c r="DZ480" s="1655"/>
      <c r="EA480" s="1655"/>
      <c r="EB480" s="1655"/>
      <c r="EC480" s="1655"/>
      <c r="ED480" s="1655"/>
      <c r="EE480" s="1655"/>
      <c r="EF480" s="1655"/>
      <c r="EG480" s="1655"/>
      <c r="EH480" s="1655"/>
      <c r="EI480" s="1655"/>
      <c r="EJ480" s="1655"/>
      <c r="EK480" s="1655"/>
      <c r="EL480" s="1655"/>
      <c r="EM480" s="1655"/>
      <c r="EN480" s="1655"/>
      <c r="EO480" s="1655"/>
      <c r="EP480" s="1655"/>
      <c r="EQ480" s="1655"/>
      <c r="ER480" s="1655"/>
      <c r="ES480" s="1655"/>
      <c r="ET480" s="1655"/>
      <c r="EU480" s="1655"/>
      <c r="EV480" s="1655"/>
      <c r="EW480" s="1655"/>
      <c r="EX480" s="1655"/>
      <c r="EY480" s="1655"/>
      <c r="EZ480" s="1655"/>
      <c r="FA480" s="1655"/>
      <c r="FB480" s="1655"/>
      <c r="FC480" s="1655"/>
      <c r="FD480" s="1655"/>
      <c r="FE480" s="1655"/>
      <c r="FF480" s="1655"/>
      <c r="FG480" s="1655"/>
      <c r="FH480" s="1655"/>
      <c r="FI480" s="1655"/>
    </row>
    <row r="481" spans="1:165">
      <c r="A481" s="1655"/>
      <c r="B481" s="1655"/>
      <c r="C481" s="1655"/>
      <c r="D481" s="1655"/>
      <c r="E481" s="1655"/>
      <c r="F481" s="1655"/>
      <c r="G481" s="1655"/>
      <c r="H481" s="1655"/>
      <c r="I481" s="1655"/>
      <c r="J481" s="1655"/>
      <c r="K481" s="1655"/>
      <c r="L481" s="1655"/>
      <c r="M481" s="1655"/>
      <c r="N481" s="1655"/>
      <c r="O481" s="1655"/>
      <c r="P481" s="1655"/>
      <c r="Q481" s="1655"/>
      <c r="R481" s="1655"/>
      <c r="S481" s="1655"/>
      <c r="T481" s="1655"/>
      <c r="U481" s="1655"/>
      <c r="V481" s="1655"/>
      <c r="W481" s="1655"/>
      <c r="X481" s="1655"/>
      <c r="Y481" s="1655"/>
      <c r="Z481" s="1655"/>
      <c r="AA481" s="1655"/>
      <c r="AB481" s="1655"/>
      <c r="AC481" s="1655"/>
      <c r="AD481" s="1655"/>
      <c r="AE481" s="1655"/>
      <c r="AF481" s="1655"/>
      <c r="AG481" s="1655"/>
      <c r="AH481" s="1655"/>
      <c r="AI481" s="1655"/>
      <c r="AJ481" s="1655"/>
      <c r="AK481" s="1655"/>
      <c r="AL481" s="1655"/>
      <c r="AM481" s="1655"/>
      <c r="AN481" s="1655"/>
      <c r="AO481" s="1655"/>
      <c r="AP481" s="1655"/>
      <c r="AQ481" s="1655"/>
      <c r="AR481" s="1655"/>
      <c r="AS481" s="1655"/>
      <c r="AT481" s="1655"/>
      <c r="AU481" s="1655"/>
      <c r="AV481" s="1655"/>
      <c r="AW481" s="1655"/>
      <c r="AX481" s="1655"/>
      <c r="AY481" s="1655"/>
      <c r="AZ481" s="1655"/>
      <c r="BA481" s="1655"/>
      <c r="BB481" s="1655"/>
      <c r="BC481" s="1655"/>
      <c r="BD481" s="1655"/>
      <c r="BE481" s="1655"/>
      <c r="BF481" s="1655"/>
      <c r="BG481" s="1655"/>
      <c r="BH481" s="1655"/>
      <c r="BI481" s="1655"/>
      <c r="BJ481" s="1655"/>
      <c r="BK481" s="1655"/>
      <c r="BL481" s="1655"/>
      <c r="BM481" s="1655"/>
      <c r="BN481" s="1655"/>
      <c r="BO481" s="1655"/>
      <c r="BP481" s="1655"/>
      <c r="BQ481" s="1655"/>
      <c r="BR481" s="1655"/>
      <c r="BS481" s="1655"/>
      <c r="BT481" s="1655"/>
      <c r="BU481" s="1655"/>
      <c r="BV481" s="1655"/>
      <c r="BW481" s="1655"/>
      <c r="BX481" s="1655"/>
      <c r="BY481" s="1655"/>
      <c r="BZ481" s="1655"/>
      <c r="CA481" s="1655"/>
      <c r="CB481" s="1655"/>
      <c r="CC481" s="1655"/>
      <c r="CD481" s="1655"/>
      <c r="CE481" s="1655"/>
      <c r="CF481" s="1655"/>
      <c r="CG481" s="1655"/>
      <c r="CH481" s="1655"/>
      <c r="CI481" s="1655"/>
      <c r="CJ481" s="1655"/>
      <c r="CK481" s="1655"/>
      <c r="CL481" s="1655"/>
      <c r="CM481" s="1655"/>
      <c r="CN481" s="1655"/>
      <c r="CO481" s="1655"/>
      <c r="CP481" s="1655"/>
      <c r="CQ481" s="1655"/>
      <c r="CR481" s="1655"/>
      <c r="CS481" s="1655"/>
      <c r="CT481" s="1655"/>
      <c r="CU481" s="1655"/>
      <c r="CV481" s="1655"/>
      <c r="CW481" s="1655"/>
      <c r="CX481" s="1655"/>
      <c r="CY481" s="1655"/>
      <c r="CZ481" s="1655"/>
      <c r="DA481" s="1655"/>
      <c r="DB481" s="1655"/>
      <c r="DC481" s="1655"/>
      <c r="DD481" s="1655"/>
      <c r="DE481" s="1655"/>
      <c r="DF481" s="1655"/>
      <c r="DG481" s="1655"/>
      <c r="DH481" s="1655"/>
      <c r="DI481" s="1655"/>
      <c r="DJ481" s="1655"/>
      <c r="DK481" s="1655"/>
      <c r="DL481" s="1655"/>
      <c r="DM481" s="1655"/>
      <c r="DN481" s="1655"/>
      <c r="DO481" s="1655"/>
      <c r="DP481" s="1655"/>
      <c r="DQ481" s="1655"/>
      <c r="DR481" s="1655"/>
      <c r="DS481" s="1655"/>
      <c r="DT481" s="1655"/>
      <c r="DU481" s="1655"/>
      <c r="DV481" s="1655"/>
      <c r="DW481" s="1655"/>
      <c r="DX481" s="1655"/>
      <c r="DY481" s="1655"/>
      <c r="DZ481" s="1655"/>
      <c r="EA481" s="1655"/>
      <c r="EB481" s="1655"/>
      <c r="EC481" s="1655"/>
      <c r="ED481" s="1655"/>
      <c r="EE481" s="1655"/>
      <c r="EF481" s="1655"/>
      <c r="EG481" s="1655"/>
      <c r="EH481" s="1655"/>
      <c r="EI481" s="1655"/>
      <c r="EJ481" s="1655"/>
      <c r="EK481" s="1655"/>
      <c r="EL481" s="1655"/>
      <c r="EM481" s="1655"/>
      <c r="EN481" s="1655"/>
      <c r="EO481" s="1655"/>
      <c r="EP481" s="1655"/>
      <c r="EQ481" s="1655"/>
      <c r="ER481" s="1655"/>
      <c r="ES481" s="1655"/>
      <c r="ET481" s="1655"/>
      <c r="EU481" s="1655"/>
      <c r="EV481" s="1655"/>
      <c r="EW481" s="1655"/>
      <c r="EX481" s="1655"/>
      <c r="EY481" s="1655"/>
      <c r="EZ481" s="1655"/>
      <c r="FA481" s="1655"/>
      <c r="FB481" s="1655"/>
      <c r="FC481" s="1655"/>
      <c r="FD481" s="1655"/>
      <c r="FE481" s="1655"/>
      <c r="FF481" s="1655"/>
      <c r="FG481" s="1655"/>
      <c r="FH481" s="1655"/>
      <c r="FI481" s="1655"/>
    </row>
    <row r="482" spans="1:165">
      <c r="A482" s="1655"/>
      <c r="B482" s="1655"/>
      <c r="C482" s="1655"/>
      <c r="D482" s="1655"/>
      <c r="E482" s="1655"/>
      <c r="F482" s="1655"/>
      <c r="G482" s="1655"/>
      <c r="H482" s="1655"/>
      <c r="I482" s="1655"/>
      <c r="J482" s="1655"/>
      <c r="K482" s="1655"/>
      <c r="L482" s="1655"/>
      <c r="M482" s="1655"/>
      <c r="N482" s="1655"/>
      <c r="O482" s="1655"/>
      <c r="P482" s="1655"/>
      <c r="Q482" s="1655"/>
      <c r="R482" s="1655"/>
      <c r="S482" s="1655"/>
      <c r="T482" s="1655"/>
      <c r="U482" s="1655"/>
      <c r="V482" s="1655"/>
      <c r="W482" s="1655"/>
      <c r="X482" s="1655"/>
      <c r="Y482" s="1655"/>
      <c r="Z482" s="1655"/>
      <c r="AA482" s="1655"/>
      <c r="AB482" s="1655"/>
      <c r="AC482" s="1655"/>
      <c r="AD482" s="1655"/>
      <c r="AE482" s="1655"/>
      <c r="AF482" s="1655"/>
      <c r="AG482" s="1655"/>
      <c r="AH482" s="1655"/>
      <c r="AI482" s="1655"/>
      <c r="AJ482" s="1655"/>
      <c r="AK482" s="1655"/>
      <c r="AL482" s="1655"/>
      <c r="AM482" s="1655"/>
      <c r="AN482" s="1655"/>
      <c r="AO482" s="1655"/>
      <c r="AP482" s="1655"/>
      <c r="AQ482" s="1655"/>
      <c r="AR482" s="1655"/>
      <c r="AS482" s="1655"/>
      <c r="AT482" s="1655"/>
      <c r="AU482" s="1655"/>
      <c r="AV482" s="1655"/>
      <c r="AW482" s="1655"/>
      <c r="AX482" s="1655"/>
      <c r="AY482" s="1655"/>
      <c r="AZ482" s="1655"/>
      <c r="BA482" s="1655"/>
      <c r="BB482" s="1655"/>
      <c r="BC482" s="1655"/>
      <c r="BD482" s="1655"/>
      <c r="BE482" s="1655"/>
      <c r="BF482" s="1655"/>
      <c r="BG482" s="1655"/>
      <c r="BH482" s="1655"/>
      <c r="BI482" s="1655"/>
      <c r="BJ482" s="1655"/>
      <c r="BK482" s="1655"/>
      <c r="BL482" s="1655"/>
      <c r="BM482" s="1655"/>
      <c r="BN482" s="1655"/>
      <c r="BO482" s="1655"/>
      <c r="BP482" s="1655"/>
      <c r="BQ482" s="1655"/>
      <c r="BR482" s="1655"/>
      <c r="BS482" s="1655"/>
      <c r="BT482" s="1655"/>
      <c r="BU482" s="1655"/>
      <c r="BV482" s="1655"/>
      <c r="BW482" s="1655"/>
      <c r="BX482" s="1655"/>
      <c r="BY482" s="1655"/>
      <c r="BZ482" s="1655"/>
      <c r="CA482" s="1655"/>
      <c r="CB482" s="1655"/>
      <c r="CC482" s="1655"/>
      <c r="CD482" s="1655"/>
      <c r="CE482" s="1655"/>
      <c r="CF482" s="1655"/>
      <c r="CG482" s="1655"/>
      <c r="CH482" s="1655"/>
      <c r="CI482" s="1655"/>
      <c r="CJ482" s="1655"/>
      <c r="CK482" s="1655"/>
      <c r="CL482" s="1655"/>
      <c r="CM482" s="1655"/>
      <c r="CN482" s="1655"/>
      <c r="CO482" s="1655"/>
      <c r="CP482" s="1655"/>
      <c r="CQ482" s="1655"/>
      <c r="CR482" s="1655"/>
      <c r="CS482" s="1655"/>
      <c r="CT482" s="1655"/>
      <c r="CU482" s="1655"/>
      <c r="CV482" s="1655"/>
      <c r="CW482" s="1655"/>
      <c r="CX482" s="1655"/>
      <c r="CY482" s="1655"/>
      <c r="CZ482" s="1655"/>
      <c r="DA482" s="1655"/>
      <c r="DB482" s="1655"/>
      <c r="DC482" s="1655"/>
      <c r="DD482" s="1655"/>
      <c r="DE482" s="1655"/>
      <c r="DF482" s="1655"/>
      <c r="DG482" s="1655"/>
      <c r="DH482" s="1655"/>
      <c r="DI482" s="1655"/>
      <c r="DJ482" s="1655"/>
      <c r="DK482" s="1655"/>
      <c r="DL482" s="1655"/>
      <c r="DM482" s="1655"/>
      <c r="DN482" s="1655"/>
      <c r="DO482" s="1655"/>
      <c r="DP482" s="1655"/>
      <c r="DQ482" s="1655"/>
      <c r="DR482" s="1655"/>
      <c r="DS482" s="1655"/>
      <c r="DT482" s="1655"/>
      <c r="DU482" s="1655"/>
      <c r="DV482" s="1655"/>
      <c r="DW482" s="1655"/>
      <c r="DX482" s="1655"/>
      <c r="DY482" s="1655"/>
      <c r="DZ482" s="1655"/>
      <c r="EA482" s="1655"/>
      <c r="EB482" s="1655"/>
      <c r="EC482" s="1655"/>
      <c r="ED482" s="1655"/>
      <c r="EE482" s="1655"/>
      <c r="EF482" s="1655"/>
      <c r="EG482" s="1655"/>
      <c r="EH482" s="1655"/>
      <c r="EI482" s="1655"/>
      <c r="EJ482" s="1655"/>
      <c r="EK482" s="1655"/>
      <c r="EL482" s="1655"/>
      <c r="EM482" s="1655"/>
      <c r="EN482" s="1655"/>
      <c r="EO482" s="1655"/>
      <c r="EP482" s="1655"/>
      <c r="EQ482" s="1655"/>
      <c r="ER482" s="1655"/>
      <c r="ES482" s="1655"/>
      <c r="ET482" s="1655"/>
      <c r="EU482" s="1655"/>
      <c r="EV482" s="1655"/>
      <c r="EW482" s="1655"/>
      <c r="EX482" s="1655"/>
      <c r="EY482" s="1655"/>
      <c r="EZ482" s="1655"/>
      <c r="FA482" s="1655"/>
      <c r="FB482" s="1655"/>
      <c r="FC482" s="1655"/>
      <c r="FD482" s="1655"/>
      <c r="FE482" s="1655"/>
      <c r="FF482" s="1655"/>
      <c r="FG482" s="1655"/>
      <c r="FH482" s="1655"/>
      <c r="FI482" s="1655"/>
    </row>
    <row r="483" spans="1:165">
      <c r="A483" s="1655"/>
      <c r="B483" s="1655"/>
      <c r="C483" s="1655"/>
      <c r="D483" s="1655"/>
      <c r="E483" s="1655"/>
      <c r="F483" s="1655"/>
      <c r="G483" s="1655"/>
      <c r="H483" s="1655"/>
      <c r="I483" s="1655"/>
      <c r="J483" s="1655"/>
      <c r="K483" s="1655"/>
      <c r="L483" s="1655"/>
      <c r="M483" s="1655"/>
      <c r="N483" s="1655"/>
      <c r="O483" s="1655"/>
      <c r="P483" s="1655"/>
      <c r="Q483" s="1655"/>
      <c r="R483" s="1655"/>
      <c r="S483" s="1655"/>
      <c r="T483" s="1655"/>
      <c r="U483" s="1655"/>
      <c r="V483" s="1655"/>
      <c r="W483" s="1655"/>
      <c r="X483" s="1655"/>
      <c r="Y483" s="1655"/>
      <c r="Z483" s="1655"/>
      <c r="AA483" s="1655"/>
      <c r="AB483" s="1655"/>
      <c r="AC483" s="1655"/>
      <c r="AD483" s="1655"/>
      <c r="AE483" s="1655"/>
      <c r="AF483" s="1655"/>
      <c r="AG483" s="1655"/>
      <c r="AH483" s="1655"/>
      <c r="AI483" s="1655"/>
      <c r="AJ483" s="1655"/>
      <c r="AK483" s="1655"/>
      <c r="AL483" s="1655"/>
      <c r="AM483" s="1655"/>
      <c r="AN483" s="1655"/>
      <c r="AO483" s="1655"/>
      <c r="AP483" s="1655"/>
      <c r="AQ483" s="1655"/>
      <c r="AR483" s="1655"/>
      <c r="AS483" s="1655"/>
      <c r="AT483" s="1655"/>
      <c r="AU483" s="1655"/>
      <c r="AV483" s="1655"/>
      <c r="AW483" s="1655"/>
      <c r="AX483" s="1655"/>
      <c r="AY483" s="1655"/>
      <c r="AZ483" s="1655"/>
      <c r="BA483" s="1655"/>
      <c r="BB483" s="1655"/>
      <c r="BC483" s="1655"/>
      <c r="BD483" s="1655"/>
      <c r="BE483" s="1655"/>
      <c r="BF483" s="1655"/>
      <c r="BG483" s="1655"/>
      <c r="BH483" s="1655"/>
      <c r="BI483" s="1655"/>
      <c r="BJ483" s="1655"/>
      <c r="BK483" s="1655"/>
      <c r="BL483" s="1655"/>
      <c r="BM483" s="1655"/>
      <c r="BN483" s="1655"/>
      <c r="BO483" s="1655"/>
      <c r="BP483" s="1655"/>
      <c r="BQ483" s="1655"/>
      <c r="BR483" s="1655"/>
      <c r="BS483" s="1655"/>
      <c r="BT483" s="1655"/>
      <c r="BU483" s="1655"/>
      <c r="BV483" s="1655"/>
      <c r="BW483" s="1655"/>
      <c r="BX483" s="1655"/>
      <c r="BY483" s="1655"/>
      <c r="BZ483" s="1655"/>
      <c r="CA483" s="1655"/>
      <c r="CB483" s="1655"/>
      <c r="CC483" s="1655"/>
      <c r="CD483" s="1655"/>
      <c r="CE483" s="1655"/>
      <c r="CF483" s="1655"/>
      <c r="CG483" s="1655"/>
      <c r="CH483" s="1655"/>
      <c r="CI483" s="1655"/>
      <c r="CJ483" s="1655"/>
      <c r="CK483" s="1655"/>
      <c r="CL483" s="1655"/>
      <c r="CM483" s="1655"/>
      <c r="CN483" s="1655"/>
      <c r="CO483" s="1655"/>
      <c r="CP483" s="1655"/>
      <c r="CQ483" s="1655"/>
      <c r="CR483" s="1655"/>
      <c r="CS483" s="1655"/>
      <c r="CT483" s="1655"/>
      <c r="CU483" s="1655"/>
      <c r="CV483" s="1655"/>
      <c r="CW483" s="1655"/>
      <c r="CX483" s="1655"/>
      <c r="CY483" s="1655"/>
      <c r="CZ483" s="1655"/>
      <c r="DA483" s="1655"/>
      <c r="DB483" s="1655"/>
      <c r="DC483" s="1655"/>
      <c r="DD483" s="1655"/>
      <c r="DE483" s="1655"/>
      <c r="DF483" s="1655"/>
      <c r="DG483" s="1655"/>
      <c r="DH483" s="1655"/>
      <c r="DI483" s="1655"/>
      <c r="DJ483" s="1655"/>
      <c r="DK483" s="1655"/>
      <c r="DL483" s="1655"/>
      <c r="DM483" s="1655"/>
      <c r="DN483" s="1655"/>
      <c r="DO483" s="1655"/>
      <c r="DP483" s="1655"/>
      <c r="DQ483" s="1655"/>
      <c r="DR483" s="1655"/>
      <c r="DS483" s="1655"/>
      <c r="DT483" s="1655"/>
      <c r="DU483" s="1655"/>
      <c r="DV483" s="1655"/>
      <c r="DW483" s="1655"/>
      <c r="DX483" s="1655"/>
      <c r="DY483" s="1655"/>
      <c r="DZ483" s="1655"/>
      <c r="EA483" s="1655"/>
      <c r="EB483" s="1655"/>
      <c r="EC483" s="1655"/>
      <c r="ED483" s="1655"/>
      <c r="EE483" s="1655"/>
      <c r="EF483" s="1655"/>
      <c r="EG483" s="1655"/>
      <c r="EH483" s="1655"/>
      <c r="EI483" s="1655"/>
      <c r="EJ483" s="1655"/>
      <c r="EK483" s="1655"/>
      <c r="EL483" s="1655"/>
      <c r="EM483" s="1655"/>
      <c r="EN483" s="1655"/>
      <c r="EO483" s="1655"/>
      <c r="EP483" s="1655"/>
      <c r="EQ483" s="1655"/>
      <c r="ER483" s="1655"/>
      <c r="ES483" s="1655"/>
      <c r="ET483" s="1655"/>
      <c r="EU483" s="1655"/>
      <c r="EV483" s="1655"/>
      <c r="EW483" s="1655"/>
      <c r="EX483" s="1655"/>
      <c r="EY483" s="1655"/>
      <c r="EZ483" s="1655"/>
      <c r="FA483" s="1655"/>
      <c r="FB483" s="1655"/>
      <c r="FC483" s="1655"/>
      <c r="FD483" s="1655"/>
      <c r="FE483" s="1655"/>
      <c r="FF483" s="1655"/>
      <c r="FG483" s="1655"/>
      <c r="FH483" s="1655"/>
      <c r="FI483" s="1655"/>
    </row>
    <row r="484" spans="1:165">
      <c r="A484" s="1655"/>
      <c r="B484" s="1655"/>
      <c r="C484" s="1655"/>
      <c r="D484" s="1655"/>
      <c r="E484" s="1655"/>
      <c r="F484" s="1655"/>
      <c r="G484" s="1655"/>
      <c r="H484" s="1655"/>
      <c r="I484" s="1655"/>
      <c r="J484" s="1655"/>
      <c r="K484" s="1655"/>
      <c r="L484" s="1655"/>
      <c r="M484" s="1655"/>
      <c r="N484" s="1655"/>
      <c r="O484" s="1655"/>
      <c r="P484" s="1655"/>
      <c r="Q484" s="1655"/>
      <c r="R484" s="1655"/>
      <c r="S484" s="1655"/>
      <c r="T484" s="1655"/>
      <c r="U484" s="1655"/>
      <c r="V484" s="1655"/>
      <c r="W484" s="1655"/>
      <c r="X484" s="1655"/>
      <c r="Y484" s="1655"/>
      <c r="Z484" s="1655"/>
      <c r="AA484" s="1655"/>
      <c r="AB484" s="1655"/>
      <c r="AC484" s="1655"/>
      <c r="AD484" s="1655"/>
      <c r="AE484" s="1655"/>
      <c r="AF484" s="1655"/>
      <c r="AG484" s="1655"/>
      <c r="AH484" s="1655"/>
      <c r="AI484" s="1655"/>
      <c r="AJ484" s="1655"/>
      <c r="AK484" s="1655"/>
      <c r="AL484" s="1655"/>
      <c r="AM484" s="1655"/>
      <c r="AN484" s="1655"/>
      <c r="AO484" s="1655"/>
      <c r="AP484" s="1655"/>
      <c r="AQ484" s="1655"/>
      <c r="AR484" s="1655"/>
      <c r="AS484" s="1655"/>
      <c r="AT484" s="1655"/>
      <c r="AU484" s="1655"/>
      <c r="AV484" s="1655"/>
      <c r="AW484" s="1655"/>
      <c r="AX484" s="1655"/>
      <c r="AY484" s="1655"/>
      <c r="AZ484" s="1655"/>
      <c r="BA484" s="1655"/>
      <c r="BB484" s="1655"/>
      <c r="BC484" s="1655"/>
      <c r="BD484" s="1655"/>
      <c r="BE484" s="1655"/>
      <c r="BF484" s="1655"/>
      <c r="BG484" s="1655"/>
      <c r="BH484" s="1655"/>
      <c r="BI484" s="1655"/>
      <c r="BJ484" s="1655"/>
      <c r="BK484" s="1655"/>
      <c r="BL484" s="1655"/>
      <c r="BM484" s="1655"/>
      <c r="BN484" s="1655"/>
      <c r="BO484" s="1655"/>
      <c r="BP484" s="1655"/>
      <c r="BQ484" s="1655"/>
      <c r="BR484" s="1655"/>
      <c r="BS484" s="1655"/>
      <c r="BT484" s="1655"/>
      <c r="BU484" s="1655"/>
      <c r="BV484" s="1655"/>
      <c r="BW484" s="1655"/>
      <c r="BX484" s="1655"/>
      <c r="BY484" s="1655"/>
      <c r="BZ484" s="1655"/>
      <c r="CA484" s="1655"/>
      <c r="CB484" s="1655"/>
      <c r="CC484" s="1655"/>
      <c r="CD484" s="1655"/>
      <c r="CE484" s="1655"/>
      <c r="CF484" s="1655"/>
      <c r="CG484" s="1655"/>
      <c r="CH484" s="1655"/>
      <c r="CI484" s="1655"/>
      <c r="CJ484" s="1655"/>
      <c r="CK484" s="1655"/>
      <c r="CL484" s="1655"/>
      <c r="CM484" s="1655"/>
      <c r="CN484" s="1655"/>
      <c r="CO484" s="1655"/>
      <c r="CP484" s="1655"/>
      <c r="CQ484" s="1655"/>
      <c r="CR484" s="1655"/>
      <c r="CS484" s="1655"/>
      <c r="CT484" s="1655"/>
      <c r="CU484" s="1655"/>
      <c r="CV484" s="1655"/>
      <c r="CW484" s="1655"/>
      <c r="CX484" s="1655"/>
      <c r="CY484" s="1655"/>
      <c r="CZ484" s="1655"/>
      <c r="DA484" s="1655"/>
      <c r="DB484" s="1655"/>
      <c r="DC484" s="1655"/>
      <c r="DD484" s="1655"/>
      <c r="DE484" s="1655"/>
      <c r="DF484" s="1655"/>
      <c r="DG484" s="1655"/>
      <c r="DH484" s="1655"/>
      <c r="DI484" s="1655"/>
      <c r="DJ484" s="1655"/>
      <c r="DK484" s="1655"/>
      <c r="DL484" s="1655"/>
      <c r="DM484" s="1655"/>
      <c r="DN484" s="1655"/>
      <c r="DO484" s="1655"/>
      <c r="DP484" s="1655"/>
      <c r="DQ484" s="1655"/>
      <c r="DR484" s="1655"/>
      <c r="DS484" s="1655"/>
      <c r="DT484" s="1655"/>
      <c r="DU484" s="1655"/>
      <c r="DV484" s="1655"/>
      <c r="DW484" s="1655"/>
      <c r="DX484" s="1655"/>
      <c r="DY484" s="1655"/>
      <c r="DZ484" s="1655"/>
      <c r="EA484" s="1655"/>
      <c r="EB484" s="1655"/>
      <c r="EC484" s="1655"/>
      <c r="ED484" s="1655"/>
      <c r="EE484" s="1655"/>
      <c r="EF484" s="1655"/>
      <c r="EG484" s="1655"/>
      <c r="EH484" s="1655"/>
      <c r="EI484" s="1655"/>
      <c r="EJ484" s="1655"/>
      <c r="EK484" s="1655"/>
      <c r="EL484" s="1655"/>
      <c r="EM484" s="1655"/>
      <c r="EN484" s="1655"/>
      <c r="EO484" s="1655"/>
      <c r="EP484" s="1655"/>
      <c r="EQ484" s="1655"/>
      <c r="ER484" s="1655"/>
      <c r="ES484" s="1655"/>
      <c r="ET484" s="1655"/>
      <c r="EU484" s="1655"/>
      <c r="EV484" s="1655"/>
      <c r="EW484" s="1655"/>
      <c r="EX484" s="1655"/>
      <c r="EY484" s="1655"/>
      <c r="EZ484" s="1655"/>
      <c r="FA484" s="1655"/>
      <c r="FB484" s="1655"/>
      <c r="FC484" s="1655"/>
      <c r="FD484" s="1655"/>
      <c r="FE484" s="1655"/>
      <c r="FF484" s="1655"/>
      <c r="FG484" s="1655"/>
      <c r="FH484" s="1655"/>
      <c r="FI484" s="1655"/>
    </row>
    <row r="485" spans="1:165">
      <c r="A485" s="1655"/>
      <c r="B485" s="1655"/>
      <c r="C485" s="1655"/>
      <c r="D485" s="1655"/>
      <c r="E485" s="1655"/>
      <c r="F485" s="1655"/>
      <c r="G485" s="1655"/>
      <c r="H485" s="1655"/>
      <c r="I485" s="1655"/>
      <c r="J485" s="1655"/>
      <c r="K485" s="1655"/>
      <c r="L485" s="1655"/>
      <c r="M485" s="1655"/>
      <c r="N485" s="1655"/>
      <c r="O485" s="1655"/>
      <c r="P485" s="1655"/>
      <c r="Q485" s="1655"/>
      <c r="R485" s="1655"/>
      <c r="S485" s="1655"/>
      <c r="T485" s="1655"/>
      <c r="U485" s="1655"/>
      <c r="V485" s="1655"/>
      <c r="W485" s="1655"/>
      <c r="X485" s="1655"/>
      <c r="Y485" s="1655"/>
      <c r="Z485" s="1655"/>
      <c r="AA485" s="1655"/>
      <c r="AB485" s="1655"/>
      <c r="AC485" s="1655"/>
      <c r="AD485" s="1655"/>
      <c r="AE485" s="1655"/>
      <c r="AF485" s="1655"/>
      <c r="AG485" s="1655"/>
      <c r="AH485" s="1655"/>
      <c r="AI485" s="1655"/>
      <c r="AJ485" s="1655"/>
      <c r="AK485" s="1655"/>
      <c r="AL485" s="1655"/>
      <c r="AM485" s="1655"/>
      <c r="AN485" s="1655"/>
      <c r="AO485" s="1655"/>
      <c r="AP485" s="1655"/>
      <c r="AQ485" s="1655"/>
      <c r="AR485" s="1655"/>
      <c r="AS485" s="1655"/>
      <c r="AT485" s="1655"/>
      <c r="AU485" s="1655"/>
      <c r="AV485" s="1655"/>
      <c r="AW485" s="1655"/>
      <c r="AX485" s="1655"/>
      <c r="AY485" s="1655"/>
      <c r="AZ485" s="1655"/>
      <c r="BA485" s="1655"/>
      <c r="BB485" s="1655"/>
      <c r="BC485" s="1655"/>
      <c r="BD485" s="1655"/>
      <c r="BE485" s="1655"/>
      <c r="BF485" s="1655"/>
      <c r="BG485" s="1655"/>
      <c r="BH485" s="1655"/>
      <c r="BI485" s="1655"/>
      <c r="BJ485" s="1655"/>
      <c r="BK485" s="1655"/>
      <c r="BL485" s="1655"/>
      <c r="BM485" s="1655"/>
      <c r="BN485" s="1655"/>
      <c r="BO485" s="1655"/>
      <c r="BP485" s="1655"/>
      <c r="BQ485" s="1655"/>
      <c r="BR485" s="1655"/>
      <c r="BS485" s="1655"/>
      <c r="BT485" s="1655"/>
      <c r="BU485" s="1655"/>
      <c r="BV485" s="1655"/>
      <c r="BW485" s="1655"/>
      <c r="BX485" s="1655"/>
      <c r="BY485" s="1655"/>
      <c r="BZ485" s="1655"/>
      <c r="CA485" s="1655"/>
      <c r="CB485" s="1655"/>
      <c r="CC485" s="1655"/>
      <c r="CD485" s="1655"/>
      <c r="CE485" s="1655"/>
      <c r="CF485" s="1655"/>
      <c r="CG485" s="1655"/>
      <c r="CH485" s="1655"/>
      <c r="CI485" s="1655"/>
      <c r="CJ485" s="1655"/>
      <c r="CK485" s="1655"/>
      <c r="CL485" s="1655"/>
      <c r="CM485" s="1655"/>
      <c r="CN485" s="1655"/>
      <c r="CO485" s="1655"/>
      <c r="CP485" s="1655"/>
      <c r="CQ485" s="1655"/>
      <c r="CR485" s="1655"/>
      <c r="CS485" s="1655"/>
      <c r="CT485" s="1655"/>
      <c r="CU485" s="1655"/>
      <c r="CV485" s="1655"/>
      <c r="CW485" s="1655"/>
      <c r="CX485" s="1655"/>
      <c r="CY485" s="1655"/>
      <c r="CZ485" s="1655"/>
      <c r="DA485" s="1655"/>
      <c r="DB485" s="1655"/>
      <c r="DC485" s="1655"/>
      <c r="DD485" s="1655"/>
      <c r="DE485" s="1655"/>
      <c r="DF485" s="1655"/>
      <c r="DG485" s="1655"/>
      <c r="DH485" s="1655"/>
      <c r="DI485" s="1655"/>
      <c r="DJ485" s="1655"/>
      <c r="DK485" s="1655"/>
      <c r="DL485" s="1655"/>
      <c r="DM485" s="1655"/>
      <c r="DN485" s="1655"/>
      <c r="DO485" s="1655"/>
      <c r="DP485" s="1655"/>
      <c r="DQ485" s="1655"/>
      <c r="DR485" s="1655"/>
      <c r="DS485" s="1655"/>
      <c r="DT485" s="1655"/>
      <c r="DU485" s="1655"/>
      <c r="DV485" s="1655"/>
      <c r="DW485" s="1655"/>
      <c r="DX485" s="1655"/>
      <c r="DY485" s="1655"/>
      <c r="DZ485" s="1655"/>
      <c r="EA485" s="1655"/>
      <c r="EB485" s="1655"/>
      <c r="EC485" s="1655"/>
      <c r="ED485" s="1655"/>
      <c r="EE485" s="1655"/>
      <c r="EF485" s="1655"/>
      <c r="EG485" s="1655"/>
      <c r="EH485" s="1655"/>
      <c r="EI485" s="1655"/>
      <c r="EJ485" s="1655"/>
      <c r="EK485" s="1655"/>
      <c r="EL485" s="1655"/>
      <c r="EM485" s="1655"/>
      <c r="EN485" s="1655"/>
      <c r="EO485" s="1655"/>
      <c r="EP485" s="1655"/>
      <c r="EQ485" s="1655"/>
      <c r="ER485" s="1655"/>
      <c r="ES485" s="1655"/>
      <c r="ET485" s="1655"/>
      <c r="EU485" s="1655"/>
      <c r="EV485" s="1655"/>
      <c r="EW485" s="1655"/>
      <c r="EX485" s="1655"/>
      <c r="EY485" s="1655"/>
      <c r="EZ485" s="1655"/>
      <c r="FA485" s="1655"/>
      <c r="FB485" s="1655"/>
      <c r="FC485" s="1655"/>
      <c r="FD485" s="1655"/>
      <c r="FE485" s="1655"/>
      <c r="FF485" s="1655"/>
      <c r="FG485" s="1655"/>
      <c r="FH485" s="1655"/>
      <c r="FI485" s="1655"/>
    </row>
    <row r="486" spans="1:165">
      <c r="A486" s="1655"/>
      <c r="B486" s="1655"/>
      <c r="C486" s="1655"/>
      <c r="D486" s="1655"/>
      <c r="E486" s="1655"/>
      <c r="F486" s="1655"/>
      <c r="G486" s="1655"/>
      <c r="H486" s="1655"/>
      <c r="I486" s="1655"/>
      <c r="J486" s="1655"/>
      <c r="K486" s="1655"/>
      <c r="L486" s="1655"/>
      <c r="M486" s="1655"/>
      <c r="N486" s="1655"/>
      <c r="O486" s="1655"/>
      <c r="P486" s="1655"/>
      <c r="Q486" s="1655"/>
      <c r="R486" s="1655"/>
      <c r="S486" s="1655"/>
      <c r="T486" s="1655"/>
      <c r="U486" s="1655"/>
      <c r="V486" s="1655"/>
      <c r="W486" s="1655"/>
      <c r="X486" s="1655"/>
      <c r="Y486" s="1655"/>
      <c r="Z486" s="1655"/>
      <c r="AA486" s="1655"/>
      <c r="AB486" s="1655"/>
      <c r="AC486" s="1655"/>
      <c r="AD486" s="1655"/>
      <c r="AE486" s="1655"/>
      <c r="AF486" s="1655"/>
      <c r="AG486" s="1655"/>
      <c r="AH486" s="1655"/>
      <c r="AI486" s="1655"/>
      <c r="AJ486" s="1655"/>
      <c r="AK486" s="1655"/>
      <c r="AL486" s="1655"/>
      <c r="AM486" s="1655"/>
      <c r="AN486" s="1655"/>
      <c r="AO486" s="1655"/>
      <c r="AP486" s="1655"/>
      <c r="AQ486" s="1655"/>
      <c r="AR486" s="1655"/>
      <c r="AS486" s="1655"/>
      <c r="AT486" s="1655"/>
      <c r="AU486" s="1655"/>
      <c r="AV486" s="1655"/>
      <c r="AW486" s="1655"/>
      <c r="AX486" s="1655"/>
      <c r="AY486" s="1655"/>
      <c r="AZ486" s="1655"/>
      <c r="BA486" s="1655"/>
      <c r="BB486" s="1655"/>
      <c r="BC486" s="1655"/>
      <c r="BD486" s="1655"/>
      <c r="BE486" s="1655"/>
      <c r="BF486" s="1655"/>
      <c r="BG486" s="1655"/>
      <c r="BH486" s="1655"/>
      <c r="BI486" s="1655"/>
      <c r="BJ486" s="1655"/>
      <c r="BK486" s="1655"/>
      <c r="BL486" s="1655"/>
      <c r="BM486" s="1655"/>
      <c r="BN486" s="1655"/>
      <c r="BO486" s="1655"/>
      <c r="BP486" s="1655"/>
      <c r="BQ486" s="1655"/>
      <c r="BR486" s="1655"/>
      <c r="BS486" s="1655"/>
      <c r="BT486" s="1655"/>
      <c r="BU486" s="1655"/>
      <c r="BV486" s="1655"/>
      <c r="BW486" s="1655"/>
      <c r="BX486" s="1655"/>
      <c r="BY486" s="1655"/>
      <c r="BZ486" s="1655"/>
      <c r="CA486" s="1655"/>
      <c r="CB486" s="1655"/>
      <c r="CC486" s="1655"/>
      <c r="CD486" s="1655"/>
      <c r="CE486" s="1655"/>
      <c r="CF486" s="1655"/>
      <c r="CG486" s="1655"/>
      <c r="CH486" s="1655"/>
      <c r="CI486" s="1655"/>
      <c r="CJ486" s="1655"/>
      <c r="CK486" s="1655"/>
      <c r="CL486" s="1655"/>
      <c r="CM486" s="1655"/>
      <c r="CN486" s="1655"/>
      <c r="CO486" s="1655"/>
      <c r="CP486" s="1655"/>
      <c r="CQ486" s="1655"/>
      <c r="CR486" s="1655"/>
      <c r="CS486" s="1655"/>
      <c r="CT486" s="1655"/>
      <c r="CU486" s="1655"/>
      <c r="CV486" s="1655"/>
      <c r="CW486" s="1655"/>
      <c r="CX486" s="1655"/>
      <c r="CY486" s="1655"/>
      <c r="CZ486" s="1655"/>
      <c r="DA486" s="1655"/>
      <c r="DB486" s="1655"/>
      <c r="DC486" s="1655"/>
      <c r="DD486" s="1655"/>
      <c r="DE486" s="1655"/>
      <c r="DF486" s="1655"/>
      <c r="DG486" s="1655"/>
      <c r="DH486" s="1655"/>
      <c r="DI486" s="1655"/>
      <c r="DJ486" s="1655"/>
      <c r="DK486" s="1655"/>
      <c r="DL486" s="1655"/>
      <c r="DM486" s="1655"/>
      <c r="DN486" s="1655"/>
      <c r="DO486" s="1655"/>
      <c r="DP486" s="1655"/>
      <c r="DQ486" s="1655"/>
      <c r="DR486" s="1655"/>
      <c r="DS486" s="1655"/>
      <c r="DT486" s="1655"/>
      <c r="DU486" s="1655"/>
      <c r="DV486" s="1655"/>
      <c r="DW486" s="1655"/>
      <c r="DX486" s="1655"/>
      <c r="DY486" s="1655"/>
      <c r="DZ486" s="1655"/>
      <c r="EA486" s="1655"/>
      <c r="EB486" s="1655"/>
      <c r="EC486" s="1655"/>
      <c r="ED486" s="1655"/>
      <c r="EE486" s="1655"/>
      <c r="EF486" s="1655"/>
      <c r="EG486" s="1655"/>
      <c r="EH486" s="1655"/>
      <c r="EI486" s="1655"/>
      <c r="EJ486" s="1655"/>
      <c r="EK486" s="1655"/>
      <c r="EL486" s="1655"/>
      <c r="EM486" s="1655"/>
      <c r="EN486" s="1655"/>
      <c r="EO486" s="1655"/>
      <c r="EP486" s="1655"/>
      <c r="EQ486" s="1655"/>
      <c r="ER486" s="1655"/>
      <c r="ES486" s="1655"/>
      <c r="ET486" s="1655"/>
      <c r="EU486" s="1655"/>
      <c r="EV486" s="1655"/>
      <c r="EW486" s="1655"/>
      <c r="EX486" s="1655"/>
      <c r="EY486" s="1655"/>
      <c r="EZ486" s="1655"/>
      <c r="FA486" s="1655"/>
      <c r="FB486" s="1655"/>
      <c r="FC486" s="1655"/>
      <c r="FD486" s="1655"/>
      <c r="FE486" s="1655"/>
      <c r="FF486" s="1655"/>
      <c r="FG486" s="1655"/>
      <c r="FH486" s="1655"/>
      <c r="FI486" s="1655"/>
    </row>
    <row r="487" spans="1:165">
      <c r="A487" s="1655"/>
      <c r="B487" s="1655"/>
      <c r="C487" s="1655"/>
      <c r="D487" s="1655"/>
      <c r="E487" s="1655"/>
      <c r="F487" s="1655"/>
      <c r="G487" s="1655"/>
      <c r="H487" s="1655"/>
      <c r="I487" s="1655"/>
      <c r="J487" s="1655"/>
      <c r="K487" s="1655"/>
      <c r="L487" s="1655"/>
      <c r="M487" s="1655"/>
      <c r="N487" s="1655"/>
      <c r="O487" s="1655"/>
      <c r="P487" s="1655"/>
      <c r="Q487" s="1655"/>
      <c r="R487" s="1655"/>
      <c r="S487" s="1655"/>
      <c r="T487" s="1655"/>
      <c r="U487" s="1655"/>
      <c r="V487" s="1655"/>
      <c r="W487" s="1655"/>
      <c r="X487" s="1655"/>
      <c r="Y487" s="1655"/>
      <c r="Z487" s="1655"/>
      <c r="AA487" s="1655"/>
      <c r="AB487" s="1655"/>
      <c r="AC487" s="1655"/>
      <c r="AD487" s="1655"/>
      <c r="AE487" s="1655"/>
      <c r="AF487" s="1655"/>
      <c r="AG487" s="1655"/>
      <c r="AH487" s="1655"/>
      <c r="AI487" s="1655"/>
      <c r="AJ487" s="1655"/>
      <c r="AK487" s="1655"/>
      <c r="AL487" s="1655"/>
      <c r="AM487" s="1655"/>
      <c r="AN487" s="1655"/>
      <c r="AO487" s="1655"/>
      <c r="AP487" s="1655"/>
      <c r="AQ487" s="1655"/>
      <c r="AR487" s="1655"/>
      <c r="AS487" s="1655"/>
      <c r="AT487" s="1655"/>
      <c r="AU487" s="1655"/>
      <c r="AV487" s="1655"/>
      <c r="AW487" s="1655"/>
      <c r="AX487" s="1655"/>
      <c r="AY487" s="1655"/>
      <c r="AZ487" s="1655"/>
      <c r="BA487" s="1655"/>
      <c r="BB487" s="1655"/>
      <c r="BC487" s="1655"/>
      <c r="BD487" s="1655"/>
      <c r="BE487" s="1655"/>
      <c r="BF487" s="1655"/>
      <c r="BG487" s="1655"/>
      <c r="BH487" s="1655"/>
      <c r="BI487" s="1655"/>
      <c r="BJ487" s="1655"/>
      <c r="BK487" s="1655"/>
      <c r="BL487" s="1655"/>
      <c r="BM487" s="1655"/>
      <c r="BN487" s="1655"/>
      <c r="BO487" s="1655"/>
      <c r="BP487" s="1655"/>
      <c r="BQ487" s="1655"/>
      <c r="BR487" s="1655"/>
      <c r="BS487" s="1655"/>
      <c r="BT487" s="1655"/>
      <c r="BU487" s="1655"/>
      <c r="BV487" s="1655"/>
      <c r="BW487" s="1655"/>
      <c r="BX487" s="1655"/>
      <c r="BY487" s="1655"/>
      <c r="BZ487" s="1655"/>
      <c r="CA487" s="1655"/>
      <c r="CB487" s="1655"/>
      <c r="CC487" s="1655"/>
      <c r="CD487" s="1655"/>
      <c r="CE487" s="1655"/>
      <c r="CF487" s="1655"/>
      <c r="CG487" s="1655"/>
      <c r="CH487" s="1655"/>
      <c r="CI487" s="1655"/>
      <c r="CJ487" s="1655"/>
      <c r="CK487" s="1655"/>
      <c r="CL487" s="1655"/>
      <c r="CM487" s="1655"/>
      <c r="CN487" s="1655"/>
      <c r="CO487" s="1655"/>
      <c r="CP487" s="1655"/>
      <c r="CQ487" s="1655"/>
      <c r="CR487" s="1655"/>
      <c r="CS487" s="1655"/>
      <c r="CT487" s="1655"/>
      <c r="CU487" s="1655"/>
      <c r="CV487" s="1655"/>
      <c r="CW487" s="1655"/>
      <c r="CX487" s="1655"/>
      <c r="CY487" s="1655"/>
      <c r="CZ487" s="1655"/>
      <c r="DA487" s="1655"/>
      <c r="DB487" s="1655"/>
      <c r="DC487" s="1655"/>
      <c r="DD487" s="1655"/>
      <c r="DE487" s="1655"/>
      <c r="DF487" s="1655"/>
      <c r="DG487" s="1655"/>
      <c r="DH487" s="1655"/>
      <c r="DI487" s="1655"/>
      <c r="DJ487" s="1655"/>
      <c r="DK487" s="1655"/>
      <c r="DL487" s="1655"/>
      <c r="DM487" s="1655"/>
      <c r="DN487" s="1655"/>
      <c r="DO487" s="1655"/>
      <c r="DP487" s="1655"/>
      <c r="DQ487" s="1655"/>
      <c r="DR487" s="1655"/>
      <c r="DS487" s="1655"/>
      <c r="DT487" s="1655"/>
      <c r="DU487" s="1655"/>
      <c r="DV487" s="1655"/>
      <c r="DW487" s="1655"/>
      <c r="DX487" s="1655"/>
      <c r="DY487" s="1655"/>
      <c r="DZ487" s="1655"/>
      <c r="EA487" s="1655"/>
      <c r="EB487" s="1655"/>
      <c r="EC487" s="1655"/>
      <c r="ED487" s="1655"/>
      <c r="EE487" s="1655"/>
      <c r="EF487" s="1655"/>
      <c r="EG487" s="1655"/>
      <c r="EH487" s="1655"/>
      <c r="EI487" s="1655"/>
      <c r="EJ487" s="1655"/>
      <c r="EK487" s="1655"/>
      <c r="EL487" s="1655"/>
      <c r="EM487" s="1655"/>
      <c r="EN487" s="1655"/>
      <c r="EO487" s="1655"/>
      <c r="EP487" s="1655"/>
      <c r="EQ487" s="1655"/>
      <c r="ER487" s="1655"/>
      <c r="ES487" s="1655"/>
      <c r="ET487" s="1655"/>
      <c r="EU487" s="1655"/>
      <c r="EV487" s="1655"/>
      <c r="EW487" s="1655"/>
      <c r="EX487" s="1655"/>
      <c r="EY487" s="1655"/>
      <c r="EZ487" s="1655"/>
      <c r="FA487" s="1655"/>
      <c r="FB487" s="1655"/>
      <c r="FC487" s="1655"/>
      <c r="FD487" s="1655"/>
      <c r="FE487" s="1655"/>
      <c r="FF487" s="1655"/>
      <c r="FG487" s="1655"/>
      <c r="FH487" s="1655"/>
      <c r="FI487" s="1655"/>
    </row>
    <row r="488" spans="1:165">
      <c r="A488" s="1655"/>
      <c r="B488" s="1655"/>
      <c r="C488" s="1655"/>
      <c r="D488" s="1655"/>
      <c r="E488" s="1655"/>
      <c r="F488" s="1655"/>
      <c r="G488" s="1655"/>
      <c r="H488" s="1655"/>
      <c r="I488" s="1655"/>
      <c r="J488" s="1655"/>
      <c r="K488" s="1655"/>
      <c r="L488" s="1655"/>
      <c r="M488" s="1655"/>
      <c r="N488" s="1655"/>
      <c r="O488" s="1655"/>
      <c r="P488" s="1655"/>
      <c r="Q488" s="1655"/>
      <c r="R488" s="1655"/>
      <c r="S488" s="1655"/>
      <c r="T488" s="1655"/>
      <c r="U488" s="1655"/>
      <c r="V488" s="1655"/>
      <c r="W488" s="1655"/>
      <c r="X488" s="1655"/>
      <c r="Y488" s="1655"/>
      <c r="Z488" s="1655"/>
      <c r="AA488" s="1655"/>
      <c r="AB488" s="1655"/>
      <c r="AC488" s="1655"/>
      <c r="AD488" s="1655"/>
      <c r="AE488" s="1655"/>
      <c r="AF488" s="1655"/>
      <c r="AG488" s="1655"/>
      <c r="AH488" s="1655"/>
      <c r="AI488" s="1655"/>
      <c r="AJ488" s="1655"/>
      <c r="AK488" s="1655"/>
      <c r="AL488" s="1655"/>
      <c r="AM488" s="1655"/>
      <c r="AN488" s="1655"/>
      <c r="AO488" s="1655"/>
      <c r="AP488" s="1655"/>
      <c r="AQ488" s="1655"/>
      <c r="AR488" s="1655"/>
      <c r="AS488" s="1655"/>
      <c r="AT488" s="1655"/>
      <c r="AU488" s="1655"/>
      <c r="AV488" s="1655"/>
      <c r="AW488" s="1655"/>
      <c r="AX488" s="1655"/>
      <c r="AY488" s="1655"/>
      <c r="AZ488" s="1655"/>
      <c r="BA488" s="1655"/>
      <c r="BB488" s="1655"/>
      <c r="BC488" s="1655"/>
      <c r="BD488" s="1655"/>
      <c r="BE488" s="1655"/>
      <c r="BF488" s="1655"/>
      <c r="BG488" s="1655"/>
      <c r="BH488" s="1655"/>
      <c r="BI488" s="1655"/>
      <c r="BJ488" s="1655"/>
      <c r="BK488" s="1655"/>
      <c r="BL488" s="1655"/>
      <c r="BM488" s="1655"/>
      <c r="BN488" s="1655"/>
      <c r="BO488" s="1655"/>
      <c r="BP488" s="1655"/>
      <c r="BQ488" s="1655"/>
      <c r="BR488" s="1655"/>
      <c r="BS488" s="1655"/>
      <c r="BT488" s="1655"/>
      <c r="BU488" s="1655"/>
      <c r="BV488" s="1655"/>
      <c r="BW488" s="1655"/>
      <c r="BX488" s="1655"/>
      <c r="BY488" s="1655"/>
      <c r="BZ488" s="1655"/>
      <c r="CA488" s="1655"/>
      <c r="CB488" s="1655"/>
      <c r="CC488" s="1655"/>
      <c r="CD488" s="1655"/>
      <c r="CE488" s="1655"/>
      <c r="CF488" s="1655"/>
      <c r="CG488" s="1655"/>
      <c r="CH488" s="1655"/>
      <c r="CI488" s="1655"/>
      <c r="CJ488" s="1655"/>
      <c r="CK488" s="1655"/>
      <c r="CL488" s="1655"/>
      <c r="CM488" s="1655"/>
      <c r="CN488" s="1655"/>
      <c r="CO488" s="1655"/>
      <c r="CP488" s="1655"/>
      <c r="CQ488" s="1655"/>
      <c r="CR488" s="1655"/>
      <c r="CS488" s="1655"/>
      <c r="CT488" s="1655"/>
      <c r="CU488" s="1655"/>
      <c r="CV488" s="1655"/>
      <c r="CW488" s="1655"/>
      <c r="CX488" s="1655"/>
      <c r="CY488" s="1655"/>
      <c r="CZ488" s="1655"/>
      <c r="DA488" s="1655"/>
      <c r="DB488" s="1655"/>
      <c r="DC488" s="1655"/>
      <c r="DD488" s="1655"/>
      <c r="DE488" s="1655"/>
      <c r="DF488" s="1655"/>
      <c r="DG488" s="1655"/>
      <c r="DH488" s="1655"/>
      <c r="DI488" s="1655"/>
      <c r="DJ488" s="1655"/>
      <c r="DK488" s="1655"/>
      <c r="DL488" s="1655"/>
      <c r="DM488" s="1655"/>
      <c r="DN488" s="1655"/>
      <c r="DO488" s="1655"/>
      <c r="DP488" s="1655"/>
      <c r="DQ488" s="1655"/>
      <c r="DR488" s="1655"/>
      <c r="DS488" s="1655"/>
      <c r="DT488" s="1655"/>
      <c r="DU488" s="1655"/>
      <c r="DV488" s="1655"/>
      <c r="DW488" s="1655"/>
      <c r="DX488" s="1655"/>
      <c r="DY488" s="1655"/>
      <c r="DZ488" s="1655"/>
      <c r="EA488" s="1655"/>
      <c r="EB488" s="1655"/>
      <c r="EC488" s="1655"/>
      <c r="ED488" s="1655"/>
      <c r="EE488" s="1655"/>
      <c r="EF488" s="1655"/>
      <c r="EG488" s="1655"/>
      <c r="EH488" s="1655"/>
      <c r="EI488" s="1655"/>
      <c r="EJ488" s="1655"/>
      <c r="EK488" s="1655"/>
      <c r="EL488" s="1655"/>
      <c r="EM488" s="1655"/>
      <c r="EN488" s="1655"/>
      <c r="EO488" s="1655"/>
      <c r="EP488" s="1655"/>
      <c r="EQ488" s="1655"/>
      <c r="ER488" s="1655"/>
      <c r="ES488" s="1655"/>
      <c r="ET488" s="1655"/>
      <c r="EU488" s="1655"/>
      <c r="EV488" s="1655"/>
      <c r="EW488" s="1655"/>
      <c r="EX488" s="1655"/>
      <c r="EY488" s="1655"/>
      <c r="EZ488" s="1655"/>
      <c r="FA488" s="1655"/>
      <c r="FB488" s="1655"/>
      <c r="FC488" s="1655"/>
      <c r="FD488" s="1655"/>
      <c r="FE488" s="1655"/>
      <c r="FF488" s="1655"/>
      <c r="FG488" s="1655"/>
      <c r="FH488" s="1655"/>
      <c r="FI488" s="1655"/>
    </row>
    <row r="489" spans="1:165">
      <c r="A489" s="1655"/>
      <c r="B489" s="1655"/>
      <c r="C489" s="1655"/>
      <c r="D489" s="1655"/>
      <c r="E489" s="1655"/>
      <c r="F489" s="1655"/>
      <c r="G489" s="1655"/>
      <c r="H489" s="1655"/>
      <c r="I489" s="1655"/>
      <c r="J489" s="1655"/>
      <c r="K489" s="1655"/>
      <c r="L489" s="1655"/>
      <c r="M489" s="1655"/>
      <c r="N489" s="1655"/>
      <c r="O489" s="1655"/>
      <c r="P489" s="1655"/>
      <c r="Q489" s="1655"/>
      <c r="R489" s="1655"/>
      <c r="S489" s="1655"/>
      <c r="T489" s="1655"/>
      <c r="U489" s="1655"/>
      <c r="V489" s="1655"/>
      <c r="W489" s="1655"/>
      <c r="X489" s="1655"/>
      <c r="Y489" s="1655"/>
      <c r="Z489" s="1655"/>
      <c r="AA489" s="1655"/>
      <c r="AB489" s="1655"/>
      <c r="AC489" s="1655"/>
      <c r="AD489" s="1655"/>
      <c r="AE489" s="1655"/>
      <c r="AF489" s="1655"/>
      <c r="AG489" s="1655"/>
      <c r="AH489" s="1655"/>
      <c r="AI489" s="1655"/>
      <c r="AJ489" s="1655"/>
      <c r="AK489" s="1655"/>
      <c r="AL489" s="1655"/>
      <c r="AM489" s="1655"/>
      <c r="AN489" s="1655"/>
      <c r="AO489" s="1655"/>
      <c r="AP489" s="1655"/>
      <c r="AQ489" s="1655"/>
      <c r="AR489" s="1655"/>
      <c r="AS489" s="1655"/>
      <c r="AT489" s="1655"/>
      <c r="AU489" s="1655"/>
      <c r="AV489" s="1655"/>
      <c r="AW489" s="1655"/>
      <c r="AX489" s="1655"/>
      <c r="AY489" s="1655"/>
      <c r="AZ489" s="1655"/>
      <c r="BA489" s="1655"/>
      <c r="BB489" s="1655"/>
      <c r="BC489" s="1655"/>
      <c r="BD489" s="1655"/>
      <c r="BE489" s="1655"/>
      <c r="BF489" s="1655"/>
      <c r="BG489" s="1655"/>
      <c r="BH489" s="1655"/>
      <c r="BI489" s="1655"/>
      <c r="BJ489" s="1655"/>
      <c r="BK489" s="1655"/>
      <c r="BL489" s="1655"/>
      <c r="BM489" s="1655"/>
      <c r="BN489" s="1655"/>
      <c r="BO489" s="1655"/>
      <c r="BP489" s="1655"/>
      <c r="BQ489" s="1655"/>
      <c r="BR489" s="1655"/>
      <c r="BS489" s="1655"/>
      <c r="BT489" s="1655"/>
      <c r="BU489" s="1655"/>
      <c r="BV489" s="1655"/>
      <c r="BW489" s="1655"/>
      <c r="BX489" s="1655"/>
      <c r="BY489" s="1655"/>
      <c r="BZ489" s="1655"/>
      <c r="CA489" s="1655"/>
      <c r="CB489" s="1655"/>
      <c r="CC489" s="1655"/>
      <c r="CD489" s="1655"/>
      <c r="CE489" s="1655"/>
      <c r="CF489" s="1655"/>
      <c r="CG489" s="1655"/>
      <c r="CH489" s="1655"/>
      <c r="CI489" s="1655"/>
      <c r="CJ489" s="1655"/>
      <c r="CK489" s="1655"/>
      <c r="CL489" s="1655"/>
      <c r="CM489" s="1655"/>
      <c r="CN489" s="1655"/>
      <c r="CO489" s="1655"/>
      <c r="CP489" s="1655"/>
      <c r="CQ489" s="1655"/>
      <c r="CR489" s="1655"/>
      <c r="CS489" s="1655"/>
      <c r="CT489" s="1655"/>
      <c r="CU489" s="1655"/>
      <c r="CV489" s="1655"/>
      <c r="CW489" s="1655"/>
      <c r="CX489" s="1655"/>
      <c r="CY489" s="1655"/>
      <c r="CZ489" s="1655"/>
      <c r="DA489" s="1655"/>
      <c r="DB489" s="1655"/>
      <c r="DC489" s="1655"/>
      <c r="DD489" s="1655"/>
      <c r="DE489" s="1655"/>
      <c r="DF489" s="1655"/>
      <c r="DG489" s="1655"/>
      <c r="DH489" s="1655"/>
      <c r="DI489" s="1655"/>
      <c r="DJ489" s="1655"/>
      <c r="DK489" s="1655"/>
      <c r="DL489" s="1655"/>
      <c r="DM489" s="1655"/>
      <c r="DN489" s="1655"/>
      <c r="DO489" s="1655"/>
      <c r="DP489" s="1655"/>
      <c r="DQ489" s="1655"/>
      <c r="DR489" s="1655"/>
      <c r="DS489" s="1655"/>
      <c r="DT489" s="1655"/>
      <c r="DU489" s="1655"/>
      <c r="DV489" s="1655"/>
      <c r="DW489" s="1655"/>
      <c r="DX489" s="1655"/>
      <c r="DY489" s="1655"/>
      <c r="DZ489" s="1655"/>
      <c r="EA489" s="1655"/>
      <c r="EB489" s="1655"/>
      <c r="EC489" s="1655"/>
      <c r="ED489" s="1655"/>
      <c r="EE489" s="1655"/>
      <c r="EF489" s="1655"/>
      <c r="EG489" s="1655"/>
      <c r="EH489" s="1655"/>
      <c r="EI489" s="1655"/>
      <c r="EJ489" s="1655"/>
      <c r="EK489" s="1655"/>
      <c r="EL489" s="1655"/>
      <c r="EM489" s="1655"/>
      <c r="EN489" s="1655"/>
      <c r="EO489" s="1655"/>
      <c r="EP489" s="1655"/>
      <c r="EQ489" s="1655"/>
      <c r="ER489" s="1655"/>
      <c r="ES489" s="1655"/>
      <c r="ET489" s="1655"/>
      <c r="EU489" s="1655"/>
      <c r="EV489" s="1655"/>
      <c r="EW489" s="1655"/>
      <c r="EX489" s="1655"/>
      <c r="EY489" s="1655"/>
      <c r="EZ489" s="1655"/>
      <c r="FA489" s="1655"/>
      <c r="FB489" s="1655"/>
      <c r="FC489" s="1655"/>
      <c r="FD489" s="1655"/>
      <c r="FE489" s="1655"/>
      <c r="FF489" s="1655"/>
      <c r="FG489" s="1655"/>
      <c r="FH489" s="1655"/>
      <c r="FI489" s="1655"/>
    </row>
    <row r="490" spans="1:165">
      <c r="A490" s="1655"/>
      <c r="B490" s="1655"/>
      <c r="C490" s="1655"/>
      <c r="D490" s="1655"/>
      <c r="E490" s="1655"/>
      <c r="F490" s="1655"/>
      <c r="G490" s="1655"/>
      <c r="H490" s="1655"/>
      <c r="I490" s="1655"/>
      <c r="J490" s="1655"/>
      <c r="K490" s="1655"/>
      <c r="L490" s="1655"/>
      <c r="M490" s="1655"/>
      <c r="N490" s="1655"/>
      <c r="O490" s="1655"/>
      <c r="P490" s="1655"/>
      <c r="Q490" s="1655"/>
      <c r="R490" s="1655"/>
      <c r="S490" s="1655"/>
      <c r="T490" s="1655"/>
      <c r="U490" s="1655"/>
      <c r="V490" s="1655"/>
      <c r="W490" s="1655"/>
      <c r="X490" s="1655"/>
      <c r="Y490" s="1655"/>
      <c r="Z490" s="1655"/>
      <c r="AA490" s="1655"/>
      <c r="AB490" s="1655"/>
      <c r="AC490" s="1655"/>
      <c r="AD490" s="1655"/>
      <c r="AE490" s="1655"/>
      <c r="AF490" s="1655"/>
      <c r="AG490" s="1655"/>
      <c r="AH490" s="1655"/>
      <c r="AI490" s="1655"/>
      <c r="AJ490" s="1655"/>
      <c r="AK490" s="1655"/>
      <c r="AL490" s="1655"/>
      <c r="AM490" s="1655"/>
      <c r="AN490" s="1655"/>
      <c r="AO490" s="1655"/>
      <c r="AP490" s="1655"/>
      <c r="AQ490" s="1655"/>
      <c r="AR490" s="1655"/>
      <c r="AS490" s="1655"/>
      <c r="AT490" s="1655"/>
      <c r="AU490" s="1655"/>
      <c r="AV490" s="1655"/>
      <c r="AW490" s="1655"/>
      <c r="AX490" s="1655"/>
      <c r="AY490" s="1655"/>
      <c r="AZ490" s="1655"/>
      <c r="BA490" s="1655"/>
      <c r="BB490" s="1655"/>
      <c r="BC490" s="1655"/>
      <c r="BD490" s="1655"/>
      <c r="BE490" s="1655"/>
      <c r="BF490" s="1655"/>
      <c r="BG490" s="1655"/>
      <c r="BH490" s="1655"/>
      <c r="BI490" s="1655"/>
      <c r="BJ490" s="1655"/>
      <c r="BK490" s="1655"/>
      <c r="BL490" s="1655"/>
      <c r="BM490" s="1655"/>
      <c r="BN490" s="1655"/>
      <c r="BO490" s="1655"/>
      <c r="BP490" s="1655"/>
      <c r="BQ490" s="1655"/>
      <c r="BR490" s="1655"/>
      <c r="BS490" s="1655"/>
      <c r="BT490" s="1655"/>
      <c r="BU490" s="1655"/>
      <c r="BV490" s="1655"/>
      <c r="BW490" s="1655"/>
      <c r="BX490" s="1655"/>
      <c r="BY490" s="1655"/>
      <c r="BZ490" s="1655"/>
      <c r="CA490" s="1655"/>
      <c r="CB490" s="1655"/>
      <c r="CC490" s="1655"/>
      <c r="CD490" s="1655"/>
      <c r="CE490" s="1655"/>
      <c r="CF490" s="1655"/>
      <c r="CG490" s="1655"/>
      <c r="CH490" s="1655"/>
      <c r="CI490" s="1655"/>
      <c r="CJ490" s="1655"/>
      <c r="CK490" s="1655"/>
      <c r="CL490" s="1655"/>
      <c r="CM490" s="1655"/>
      <c r="CN490" s="1655"/>
      <c r="CO490" s="1655"/>
      <c r="CP490" s="1655"/>
      <c r="CQ490" s="1655"/>
      <c r="CR490" s="1655"/>
      <c r="CS490" s="1655"/>
      <c r="CT490" s="1655"/>
      <c r="CU490" s="1655"/>
      <c r="CV490" s="1655"/>
      <c r="CW490" s="1655"/>
      <c r="CX490" s="1655"/>
      <c r="CY490" s="1655"/>
      <c r="CZ490" s="1655"/>
      <c r="DA490" s="1655"/>
      <c r="DB490" s="1655"/>
      <c r="DC490" s="1655"/>
      <c r="DD490" s="1655"/>
      <c r="DE490" s="1655"/>
      <c r="DF490" s="1655"/>
      <c r="DG490" s="1655"/>
      <c r="DH490" s="1655"/>
      <c r="DI490" s="1655"/>
      <c r="DJ490" s="1655"/>
      <c r="DK490" s="1655"/>
      <c r="DL490" s="1655"/>
      <c r="DM490" s="1655"/>
      <c r="DN490" s="1655"/>
      <c r="DO490" s="1655"/>
      <c r="DP490" s="1655"/>
      <c r="DQ490" s="1655"/>
      <c r="DR490" s="1655"/>
      <c r="DS490" s="1655"/>
      <c r="DT490" s="1655"/>
      <c r="DU490" s="1655"/>
      <c r="DV490" s="1655"/>
      <c r="DW490" s="1655"/>
      <c r="DX490" s="1655"/>
      <c r="DY490" s="1655"/>
      <c r="DZ490" s="1655"/>
      <c r="EA490" s="1655"/>
      <c r="EB490" s="1655"/>
      <c r="EC490" s="1655"/>
      <c r="ED490" s="1655"/>
      <c r="EE490" s="1655"/>
      <c r="EF490" s="1655"/>
      <c r="EG490" s="1655"/>
      <c r="EH490" s="1655"/>
      <c r="EI490" s="1655"/>
      <c r="EJ490" s="1655"/>
      <c r="EK490" s="1655"/>
      <c r="EL490" s="1655"/>
      <c r="EM490" s="1655"/>
      <c r="EN490" s="1655"/>
      <c r="EO490" s="1655"/>
      <c r="EP490" s="1655"/>
      <c r="EQ490" s="1655"/>
      <c r="ER490" s="1655"/>
      <c r="ES490" s="1655"/>
      <c r="ET490" s="1655"/>
      <c r="EU490" s="1655"/>
      <c r="EV490" s="1655"/>
      <c r="EW490" s="1655"/>
      <c r="EX490" s="1655"/>
      <c r="EY490" s="1655"/>
      <c r="EZ490" s="1655"/>
      <c r="FA490" s="1655"/>
      <c r="FB490" s="1655"/>
      <c r="FC490" s="1655"/>
      <c r="FD490" s="1655"/>
      <c r="FE490" s="1655"/>
      <c r="FF490" s="1655"/>
      <c r="FG490" s="1655"/>
      <c r="FH490" s="1655"/>
      <c r="FI490" s="1655"/>
    </row>
    <row r="491" spans="1:165">
      <c r="A491" s="1655"/>
      <c r="B491" s="1655"/>
      <c r="C491" s="1655"/>
      <c r="D491" s="1655"/>
      <c r="E491" s="1655"/>
      <c r="F491" s="1655"/>
      <c r="G491" s="1655"/>
      <c r="H491" s="1655"/>
      <c r="I491" s="1655"/>
      <c r="J491" s="1655"/>
      <c r="K491" s="1655"/>
      <c r="L491" s="1655"/>
      <c r="M491" s="1655"/>
      <c r="N491" s="1655"/>
      <c r="O491" s="1655"/>
      <c r="P491" s="1655"/>
      <c r="Q491" s="1655"/>
      <c r="R491" s="1655"/>
      <c r="S491" s="1655"/>
      <c r="T491" s="1655"/>
      <c r="U491" s="1655"/>
      <c r="V491" s="1655"/>
      <c r="W491" s="1655"/>
      <c r="X491" s="1655"/>
      <c r="Y491" s="1655"/>
      <c r="Z491" s="1655"/>
      <c r="AA491" s="1655"/>
      <c r="AB491" s="1655"/>
      <c r="AC491" s="1655"/>
      <c r="AD491" s="1655"/>
      <c r="AE491" s="1655"/>
      <c r="AF491" s="1655"/>
      <c r="AG491" s="1655"/>
      <c r="AH491" s="1655"/>
      <c r="AI491" s="1655"/>
      <c r="AJ491" s="1655"/>
      <c r="AK491" s="1655"/>
      <c r="AL491" s="1655"/>
      <c r="AM491" s="1655"/>
      <c r="AN491" s="1655"/>
      <c r="AO491" s="1655"/>
      <c r="AP491" s="1655"/>
      <c r="AQ491" s="1655"/>
      <c r="AR491" s="1655"/>
      <c r="AS491" s="1655"/>
      <c r="AT491" s="1655"/>
      <c r="AU491" s="1655"/>
      <c r="AV491" s="1655"/>
      <c r="AW491" s="1655"/>
      <c r="AX491" s="1655"/>
      <c r="AY491" s="1655"/>
      <c r="AZ491" s="1655"/>
      <c r="BA491" s="1655"/>
      <c r="BB491" s="1655"/>
      <c r="BC491" s="1655"/>
      <c r="BD491" s="1655"/>
      <c r="BE491" s="1655"/>
      <c r="BF491" s="1655"/>
      <c r="BG491" s="1655"/>
      <c r="BH491" s="1655"/>
      <c r="BI491" s="1655"/>
      <c r="BJ491" s="1655"/>
      <c r="BK491" s="1655"/>
      <c r="BL491" s="1655"/>
      <c r="BM491" s="1655"/>
      <c r="BN491" s="1655"/>
      <c r="BO491" s="1655"/>
      <c r="BP491" s="1655"/>
      <c r="BQ491" s="1655"/>
      <c r="BR491" s="1655"/>
      <c r="BS491" s="1655"/>
      <c r="BT491" s="1655"/>
      <c r="BU491" s="1655"/>
      <c r="BV491" s="1655"/>
      <c r="BW491" s="1655"/>
      <c r="BX491" s="1655"/>
      <c r="BY491" s="1655"/>
      <c r="BZ491" s="1655"/>
      <c r="CA491" s="1655"/>
      <c r="CB491" s="1655"/>
      <c r="CC491" s="1655"/>
      <c r="CD491" s="1655"/>
      <c r="CE491" s="1655"/>
      <c r="CF491" s="1655"/>
      <c r="CG491" s="1655"/>
      <c r="CH491" s="1655"/>
      <c r="CI491" s="1655"/>
      <c r="CJ491" s="1655"/>
      <c r="CK491" s="1655"/>
      <c r="CL491" s="1655"/>
      <c r="CM491" s="1655"/>
      <c r="CN491" s="1655"/>
      <c r="CO491" s="1655"/>
      <c r="CP491" s="1655"/>
      <c r="CQ491" s="1655"/>
      <c r="CR491" s="1655"/>
      <c r="CS491" s="1655"/>
      <c r="CT491" s="1655"/>
      <c r="CU491" s="1655"/>
      <c r="CV491" s="1655"/>
      <c r="CW491" s="1655"/>
      <c r="CX491" s="1655"/>
      <c r="CY491" s="1655"/>
      <c r="CZ491" s="1655"/>
      <c r="DA491" s="1655"/>
      <c r="DB491" s="1655"/>
      <c r="DC491" s="1655"/>
      <c r="DD491" s="1655"/>
      <c r="DE491" s="1655"/>
      <c r="DF491" s="1655"/>
      <c r="DG491" s="1655"/>
      <c r="DH491" s="1655"/>
      <c r="DI491" s="1655"/>
      <c r="DJ491" s="1655"/>
      <c r="DK491" s="1655"/>
      <c r="DL491" s="1655"/>
      <c r="DM491" s="1655"/>
      <c r="DN491" s="1655"/>
      <c r="DO491" s="1655"/>
      <c r="DP491" s="1655"/>
      <c r="DQ491" s="1655"/>
      <c r="DR491" s="1655"/>
      <c r="DS491" s="1655"/>
      <c r="DT491" s="1655"/>
      <c r="DU491" s="1655"/>
      <c r="DV491" s="1655"/>
      <c r="DW491" s="1655"/>
      <c r="DX491" s="1655"/>
      <c r="DY491" s="1655"/>
      <c r="DZ491" s="1655"/>
      <c r="EA491" s="1655"/>
      <c r="EB491" s="1655"/>
      <c r="EC491" s="1655"/>
      <c r="ED491" s="1655"/>
      <c r="EE491" s="1655"/>
      <c r="EF491" s="1655"/>
      <c r="EG491" s="1655"/>
      <c r="EH491" s="1655"/>
      <c r="EI491" s="1655"/>
      <c r="EJ491" s="1655"/>
      <c r="EK491" s="1655"/>
      <c r="EL491" s="1655"/>
      <c r="EM491" s="1655"/>
      <c r="EN491" s="1655"/>
      <c r="EO491" s="1655"/>
      <c r="EP491" s="1655"/>
      <c r="EQ491" s="1655"/>
      <c r="ER491" s="1655"/>
      <c r="ES491" s="1655"/>
      <c r="ET491" s="1655"/>
      <c r="EU491" s="1655"/>
      <c r="EV491" s="1655"/>
      <c r="EW491" s="1655"/>
      <c r="EX491" s="1655"/>
      <c r="EY491" s="1655"/>
      <c r="EZ491" s="1655"/>
      <c r="FA491" s="1655"/>
      <c r="FB491" s="1655"/>
      <c r="FC491" s="1655"/>
      <c r="FD491" s="1655"/>
      <c r="FE491" s="1655"/>
      <c r="FF491" s="1655"/>
      <c r="FG491" s="1655"/>
      <c r="FH491" s="1655"/>
      <c r="FI491" s="1655"/>
    </row>
    <row r="492" spans="1:165">
      <c r="A492" s="1655"/>
      <c r="B492" s="1655"/>
      <c r="C492" s="1655"/>
      <c r="D492" s="1655"/>
      <c r="E492" s="1655"/>
      <c r="F492" s="1655"/>
      <c r="G492" s="1655"/>
      <c r="H492" s="1655"/>
      <c r="I492" s="1655"/>
      <c r="J492" s="1655"/>
      <c r="K492" s="1655"/>
      <c r="L492" s="1655"/>
      <c r="M492" s="1655"/>
      <c r="N492" s="1655"/>
      <c r="O492" s="1655"/>
      <c r="P492" s="1655"/>
      <c r="Q492" s="1655"/>
      <c r="R492" s="1655"/>
      <c r="S492" s="1655"/>
      <c r="T492" s="1655"/>
      <c r="U492" s="1655"/>
      <c r="V492" s="1655"/>
      <c r="W492" s="1655"/>
      <c r="X492" s="1655"/>
      <c r="Y492" s="1655"/>
      <c r="Z492" s="1655"/>
      <c r="AA492" s="1655"/>
      <c r="AB492" s="1655"/>
      <c r="AC492" s="1655"/>
      <c r="AD492" s="1655"/>
      <c r="AE492" s="1655"/>
      <c r="AF492" s="1655"/>
      <c r="AG492" s="1655"/>
      <c r="AH492" s="1655"/>
      <c r="AI492" s="1655"/>
      <c r="AJ492" s="1655"/>
      <c r="AK492" s="1655"/>
      <c r="AL492" s="1655"/>
      <c r="AM492" s="1655"/>
      <c r="AN492" s="1655"/>
      <c r="AO492" s="1655"/>
      <c r="AP492" s="1655"/>
      <c r="AQ492" s="1655"/>
      <c r="AR492" s="1655"/>
      <c r="AS492" s="1655"/>
      <c r="AT492" s="1655"/>
      <c r="AU492" s="1655"/>
      <c r="AV492" s="1655"/>
      <c r="AW492" s="1655"/>
      <c r="AX492" s="1655"/>
      <c r="AY492" s="1655"/>
      <c r="AZ492" s="1655"/>
      <c r="BA492" s="1655"/>
      <c r="BB492" s="1655"/>
      <c r="BC492" s="1655"/>
      <c r="BD492" s="1655"/>
      <c r="BE492" s="1655"/>
      <c r="BF492" s="1655"/>
      <c r="BG492" s="1655"/>
      <c r="BH492" s="1655"/>
      <c r="BI492" s="1655"/>
      <c r="BJ492" s="1655"/>
      <c r="BK492" s="1655"/>
      <c r="BL492" s="1655"/>
      <c r="BM492" s="1655"/>
      <c r="BN492" s="1655"/>
      <c r="BO492" s="1655"/>
      <c r="BP492" s="1655"/>
      <c r="BQ492" s="1655"/>
      <c r="BR492" s="1655"/>
      <c r="BS492" s="1655"/>
      <c r="BT492" s="1655"/>
      <c r="BU492" s="1655"/>
      <c r="BV492" s="1655"/>
      <c r="BW492" s="1655"/>
      <c r="BX492" s="1655"/>
      <c r="BY492" s="1655"/>
      <c r="BZ492" s="1655"/>
      <c r="CA492" s="1655"/>
      <c r="CB492" s="1655"/>
      <c r="CC492" s="1655"/>
      <c r="CD492" s="1655"/>
      <c r="CE492" s="1655"/>
      <c r="CF492" s="1655"/>
      <c r="CG492" s="1655"/>
      <c r="CH492" s="1655"/>
      <c r="CI492" s="1655"/>
      <c r="CJ492" s="1655"/>
      <c r="CK492" s="1655"/>
      <c r="CL492" s="1655"/>
      <c r="CM492" s="1655"/>
      <c r="CN492" s="1655"/>
      <c r="CO492" s="1655"/>
      <c r="CP492" s="1655"/>
      <c r="CQ492" s="1655"/>
      <c r="CR492" s="1655"/>
      <c r="CS492" s="1655"/>
      <c r="CT492" s="1655"/>
      <c r="CU492" s="1655"/>
      <c r="CV492" s="1655"/>
      <c r="CW492" s="1655"/>
      <c r="CX492" s="1655"/>
      <c r="CY492" s="1655"/>
      <c r="CZ492" s="1655"/>
      <c r="DA492" s="1655"/>
      <c r="DB492" s="1655"/>
      <c r="DC492" s="1655"/>
      <c r="DD492" s="1655"/>
      <c r="DE492" s="1655"/>
      <c r="DF492" s="1655"/>
      <c r="DG492" s="1655"/>
      <c r="DH492" s="1655"/>
      <c r="DI492" s="1655"/>
      <c r="DJ492" s="1655"/>
      <c r="DK492" s="1655"/>
      <c r="DL492" s="1655"/>
      <c r="DM492" s="1655"/>
      <c r="DN492" s="1655"/>
      <c r="DO492" s="1655"/>
      <c r="DP492" s="1655"/>
      <c r="DQ492" s="1655"/>
      <c r="DR492" s="1655"/>
      <c r="DS492" s="1655"/>
      <c r="DT492" s="1655"/>
      <c r="DU492" s="1655"/>
      <c r="DV492" s="1655"/>
      <c r="DW492" s="1655"/>
      <c r="DX492" s="1655"/>
      <c r="DY492" s="1655"/>
      <c r="DZ492" s="1655"/>
      <c r="EA492" s="1655"/>
      <c r="EB492" s="1655"/>
      <c r="EC492" s="1655"/>
      <c r="ED492" s="1655"/>
      <c r="EE492" s="1655"/>
      <c r="EF492" s="1655"/>
      <c r="EG492" s="1655"/>
      <c r="EH492" s="1655"/>
      <c r="EI492" s="1655"/>
      <c r="EJ492" s="1655"/>
      <c r="EK492" s="1655"/>
      <c r="EL492" s="1655"/>
      <c r="EM492" s="1655"/>
      <c r="EN492" s="1655"/>
      <c r="EO492" s="1655"/>
      <c r="EP492" s="1655"/>
      <c r="EQ492" s="1655"/>
      <c r="ER492" s="1655"/>
      <c r="ES492" s="1655"/>
      <c r="ET492" s="1655"/>
      <c r="EU492" s="1655"/>
      <c r="EV492" s="1655"/>
      <c r="EW492" s="1655"/>
      <c r="EX492" s="1655"/>
      <c r="EY492" s="1655"/>
      <c r="EZ492" s="1655"/>
      <c r="FA492" s="1655"/>
      <c r="FB492" s="1655"/>
      <c r="FC492" s="1655"/>
      <c r="FD492" s="1655"/>
      <c r="FE492" s="1655"/>
      <c r="FF492" s="1655"/>
      <c r="FG492" s="1655"/>
      <c r="FH492" s="1655"/>
      <c r="FI492" s="1655"/>
    </row>
    <row r="493" spans="1:165">
      <c r="A493" s="1655"/>
      <c r="B493" s="1655"/>
      <c r="C493" s="1655"/>
      <c r="D493" s="1655"/>
      <c r="E493" s="1655"/>
      <c r="F493" s="1655"/>
      <c r="G493" s="1655"/>
      <c r="H493" s="1655"/>
      <c r="I493" s="1655"/>
      <c r="J493" s="1655"/>
      <c r="K493" s="1655"/>
      <c r="L493" s="1655"/>
      <c r="M493" s="1655"/>
      <c r="N493" s="1655"/>
      <c r="O493" s="1655"/>
      <c r="P493" s="1655"/>
      <c r="Q493" s="1655"/>
      <c r="R493" s="1655"/>
      <c r="S493" s="1655"/>
      <c r="T493" s="1655"/>
      <c r="U493" s="1655"/>
      <c r="V493" s="1655"/>
      <c r="W493" s="1655"/>
      <c r="X493" s="1655"/>
      <c r="Y493" s="1655"/>
      <c r="Z493" s="1655"/>
      <c r="AA493" s="1655"/>
      <c r="AB493" s="1655"/>
      <c r="AC493" s="1655"/>
      <c r="AD493" s="1655"/>
      <c r="AE493" s="1655"/>
      <c r="AF493" s="1655"/>
      <c r="AG493" s="1655"/>
      <c r="AH493" s="1655"/>
      <c r="AI493" s="1655"/>
      <c r="AJ493" s="1655"/>
      <c r="AK493" s="1655"/>
      <c r="AL493" s="1655"/>
      <c r="AM493" s="1655"/>
      <c r="AN493" s="1655"/>
      <c r="AO493" s="1655"/>
      <c r="AP493" s="1655"/>
      <c r="AQ493" s="1655"/>
      <c r="AR493" s="1655"/>
      <c r="AS493" s="1655"/>
      <c r="AT493" s="1655"/>
      <c r="AU493" s="1655"/>
      <c r="AV493" s="1655"/>
      <c r="AW493" s="1655"/>
      <c r="AX493" s="1655"/>
      <c r="AY493" s="1655"/>
      <c r="AZ493" s="1655"/>
      <c r="BA493" s="1655"/>
      <c r="BB493" s="1655"/>
      <c r="BC493" s="1655"/>
      <c r="BD493" s="1655"/>
      <c r="BE493" s="1655"/>
      <c r="BF493" s="1655"/>
      <c r="BG493" s="1655"/>
      <c r="BH493" s="1655"/>
      <c r="BI493" s="1655"/>
      <c r="BJ493" s="1655"/>
      <c r="BK493" s="1655"/>
      <c r="BL493" s="1655"/>
      <c r="BM493" s="1655"/>
      <c r="BN493" s="1655"/>
      <c r="BO493" s="1655"/>
      <c r="BP493" s="1655"/>
      <c r="BQ493" s="1655"/>
      <c r="BR493" s="1655"/>
      <c r="BS493" s="1655"/>
      <c r="BT493" s="1655"/>
      <c r="BU493" s="1655"/>
      <c r="BV493" s="1655"/>
      <c r="BW493" s="1655"/>
      <c r="BX493" s="1655"/>
      <c r="BY493" s="1655"/>
      <c r="BZ493" s="1655"/>
      <c r="CA493" s="1655"/>
      <c r="CB493" s="1655"/>
      <c r="CC493" s="1655"/>
      <c r="CD493" s="1655"/>
      <c r="CE493" s="1655"/>
      <c r="CF493" s="1655"/>
      <c r="CG493" s="1655"/>
      <c r="CH493" s="1655"/>
      <c r="CI493" s="1655"/>
      <c r="CJ493" s="1655"/>
      <c r="CK493" s="1655"/>
      <c r="CL493" s="1655"/>
      <c r="CM493" s="1655"/>
      <c r="CN493" s="1655"/>
      <c r="CO493" s="1655"/>
      <c r="CP493" s="1655"/>
      <c r="CQ493" s="1655"/>
      <c r="CR493" s="1655"/>
      <c r="CS493" s="1655"/>
      <c r="CT493" s="1655"/>
      <c r="CU493" s="1655"/>
      <c r="CV493" s="1655"/>
      <c r="CW493" s="1655"/>
      <c r="CX493" s="1655"/>
      <c r="CY493" s="1655"/>
      <c r="CZ493" s="1655"/>
      <c r="DA493" s="1655"/>
      <c r="DB493" s="1655"/>
      <c r="DC493" s="1655"/>
      <c r="DD493" s="1655"/>
      <c r="DE493" s="1655"/>
      <c r="DF493" s="1655"/>
      <c r="DG493" s="1655"/>
      <c r="DH493" s="1655"/>
      <c r="DI493" s="1655"/>
      <c r="DJ493" s="1655"/>
      <c r="DK493" s="1655"/>
      <c r="DL493" s="1655"/>
      <c r="DM493" s="1655"/>
      <c r="DN493" s="1655"/>
      <c r="DO493" s="1655"/>
      <c r="DP493" s="1655"/>
      <c r="DQ493" s="1655"/>
      <c r="DR493" s="1655"/>
      <c r="DS493" s="1655"/>
      <c r="DT493" s="1655"/>
      <c r="DU493" s="1655"/>
      <c r="DV493" s="1655"/>
      <c r="DW493" s="1655"/>
      <c r="DX493" s="1655"/>
      <c r="DY493" s="1655"/>
      <c r="DZ493" s="1655"/>
      <c r="EA493" s="1655"/>
      <c r="EB493" s="1655"/>
      <c r="EC493" s="1655"/>
      <c r="ED493" s="1655"/>
      <c r="EE493" s="1655"/>
      <c r="EF493" s="1655"/>
      <c r="EG493" s="1655"/>
      <c r="EH493" s="1655"/>
      <c r="EI493" s="1655"/>
      <c r="EJ493" s="1655"/>
      <c r="EK493" s="1655"/>
      <c r="EL493" s="1655"/>
      <c r="EM493" s="1655"/>
      <c r="EN493" s="1655"/>
      <c r="EO493" s="1655"/>
      <c r="EP493" s="1655"/>
      <c r="EQ493" s="1655"/>
      <c r="ER493" s="1655"/>
      <c r="ES493" s="1655"/>
      <c r="ET493" s="1655"/>
      <c r="EU493" s="1655"/>
      <c r="EV493" s="1655"/>
      <c r="EW493" s="1655"/>
      <c r="EX493" s="1655"/>
      <c r="EY493" s="1655"/>
      <c r="EZ493" s="1655"/>
      <c r="FA493" s="1655"/>
      <c r="FB493" s="1655"/>
      <c r="FC493" s="1655"/>
      <c r="FD493" s="1655"/>
      <c r="FE493" s="1655"/>
      <c r="FF493" s="1655"/>
      <c r="FG493" s="1655"/>
      <c r="FH493" s="1655"/>
      <c r="FI493" s="1655"/>
    </row>
    <row r="494" spans="1:165">
      <c r="A494" s="1655"/>
      <c r="B494" s="1655"/>
      <c r="C494" s="1655"/>
      <c r="D494" s="1655"/>
      <c r="E494" s="1655"/>
      <c r="F494" s="1655"/>
      <c r="G494" s="1655"/>
      <c r="H494" s="1655"/>
      <c r="I494" s="1655"/>
      <c r="J494" s="1655"/>
      <c r="K494" s="1655"/>
      <c r="L494" s="1655"/>
      <c r="M494" s="1655"/>
      <c r="N494" s="1655"/>
      <c r="O494" s="1655"/>
      <c r="P494" s="1655"/>
      <c r="Q494" s="1655"/>
      <c r="R494" s="1655"/>
      <c r="S494" s="1655"/>
      <c r="T494" s="1655"/>
      <c r="U494" s="1655"/>
      <c r="V494" s="1655"/>
      <c r="W494" s="1655"/>
      <c r="X494" s="1655"/>
      <c r="Y494" s="1655"/>
      <c r="Z494" s="1655"/>
      <c r="AA494" s="1655"/>
      <c r="AB494" s="1655"/>
      <c r="AC494" s="1655"/>
      <c r="AD494" s="1655"/>
      <c r="AE494" s="1655"/>
      <c r="AF494" s="1655"/>
      <c r="AG494" s="1655"/>
      <c r="AH494" s="1655"/>
      <c r="AI494" s="1655"/>
      <c r="AJ494" s="1655"/>
      <c r="AK494" s="1655"/>
      <c r="AL494" s="1655"/>
      <c r="AM494" s="1655"/>
      <c r="AN494" s="1655"/>
      <c r="AO494" s="1655"/>
      <c r="AP494" s="1655"/>
      <c r="AQ494" s="1655"/>
      <c r="AR494" s="1655"/>
      <c r="AS494" s="1655"/>
      <c r="AT494" s="1655"/>
      <c r="AU494" s="1655"/>
      <c r="AV494" s="1655"/>
      <c r="AW494" s="1655"/>
      <c r="AX494" s="1655"/>
      <c r="AY494" s="1655"/>
      <c r="AZ494" s="1655"/>
      <c r="BA494" s="1655"/>
      <c r="BB494" s="1655"/>
      <c r="BC494" s="1655"/>
      <c r="BD494" s="1655"/>
      <c r="BE494" s="1655"/>
      <c r="BF494" s="1655"/>
      <c r="BG494" s="1655"/>
      <c r="BH494" s="1655"/>
      <c r="BI494" s="1655"/>
      <c r="BJ494" s="1655"/>
      <c r="BK494" s="1655"/>
      <c r="BL494" s="1655"/>
      <c r="BM494" s="1655"/>
      <c r="BN494" s="1655"/>
      <c r="BO494" s="1655"/>
      <c r="BP494" s="1655"/>
      <c r="BQ494" s="1655"/>
      <c r="BR494" s="1655"/>
      <c r="BS494" s="1655"/>
      <c r="BT494" s="1655"/>
      <c r="BU494" s="1655"/>
      <c r="BV494" s="1655"/>
      <c r="BW494" s="1655"/>
      <c r="BX494" s="1655"/>
      <c r="BY494" s="1655"/>
      <c r="BZ494" s="1655"/>
      <c r="CA494" s="1655"/>
      <c r="CB494" s="1655"/>
      <c r="CC494" s="1655"/>
      <c r="CD494" s="1655"/>
      <c r="CE494" s="1655"/>
      <c r="CF494" s="1655"/>
      <c r="CG494" s="1655"/>
      <c r="CH494" s="1655"/>
      <c r="CI494" s="1655"/>
      <c r="CJ494" s="1655"/>
      <c r="CK494" s="1655"/>
      <c r="CL494" s="1655"/>
      <c r="CM494" s="1655"/>
      <c r="CN494" s="1655"/>
      <c r="CO494" s="1655"/>
      <c r="CP494" s="1655"/>
      <c r="CQ494" s="1655"/>
      <c r="CR494" s="1655"/>
      <c r="CS494" s="1655"/>
      <c r="CT494" s="1655"/>
      <c r="CU494" s="1655"/>
      <c r="CV494" s="1655"/>
      <c r="CW494" s="1655"/>
      <c r="CX494" s="1655"/>
      <c r="CY494" s="1655"/>
      <c r="CZ494" s="1655"/>
      <c r="DA494" s="1655"/>
      <c r="DB494" s="1655"/>
      <c r="DC494" s="1655"/>
      <c r="DD494" s="1655"/>
      <c r="DE494" s="1655"/>
      <c r="DF494" s="1655"/>
      <c r="DG494" s="1655"/>
      <c r="DH494" s="1655"/>
      <c r="DI494" s="1655"/>
      <c r="DJ494" s="1655"/>
      <c r="DK494" s="1655"/>
      <c r="DL494" s="1655"/>
      <c r="DM494" s="1655"/>
      <c r="DN494" s="1655"/>
      <c r="DO494" s="1655"/>
      <c r="DP494" s="1655"/>
      <c r="DQ494" s="1655"/>
      <c r="DR494" s="1655"/>
      <c r="DS494" s="1655"/>
      <c r="DT494" s="1655"/>
      <c r="DU494" s="1655"/>
      <c r="DV494" s="1655"/>
      <c r="DW494" s="1655"/>
      <c r="DX494" s="1655"/>
      <c r="DY494" s="1655"/>
      <c r="DZ494" s="1655"/>
      <c r="EA494" s="1655"/>
      <c r="EB494" s="1655"/>
      <c r="EC494" s="1655"/>
      <c r="ED494" s="1655"/>
      <c r="EE494" s="1655"/>
      <c r="EF494" s="1655"/>
      <c r="EG494" s="1655"/>
      <c r="EH494" s="1655"/>
      <c r="EI494" s="1655"/>
      <c r="EJ494" s="1655"/>
      <c r="EK494" s="1655"/>
      <c r="EL494" s="1655"/>
      <c r="EM494" s="1655"/>
      <c r="EN494" s="1655"/>
      <c r="EO494" s="1655"/>
      <c r="EP494" s="1655"/>
      <c r="EQ494" s="1655"/>
      <c r="ER494" s="1655"/>
      <c r="ES494" s="1655"/>
      <c r="ET494" s="1655"/>
      <c r="EU494" s="1655"/>
      <c r="EV494" s="1655"/>
      <c r="EW494" s="1655"/>
      <c r="EX494" s="1655"/>
      <c r="EY494" s="1655"/>
      <c r="EZ494" s="1655"/>
      <c r="FA494" s="1655"/>
      <c r="FB494" s="1655"/>
      <c r="FC494" s="1655"/>
      <c r="FD494" s="1655"/>
      <c r="FE494" s="1655"/>
      <c r="FF494" s="1655"/>
      <c r="FG494" s="1655"/>
      <c r="FH494" s="1655"/>
      <c r="FI494" s="1655"/>
    </row>
    <row r="495" spans="1:165">
      <c r="A495" s="1655"/>
      <c r="B495" s="1655"/>
      <c r="C495" s="1655"/>
      <c r="D495" s="1655"/>
      <c r="E495" s="1655"/>
      <c r="F495" s="1655"/>
      <c r="G495" s="1655"/>
      <c r="H495" s="1655"/>
      <c r="I495" s="1655"/>
      <c r="J495" s="1655"/>
      <c r="K495" s="1655"/>
      <c r="L495" s="1655"/>
      <c r="M495" s="1655"/>
      <c r="N495" s="1655"/>
      <c r="O495" s="1655"/>
      <c r="P495" s="1655"/>
      <c r="Q495" s="1655"/>
      <c r="R495" s="1655"/>
      <c r="S495" s="1655"/>
      <c r="T495" s="1655"/>
      <c r="U495" s="1655"/>
      <c r="V495" s="1655"/>
      <c r="W495" s="1655"/>
      <c r="X495" s="1655"/>
      <c r="Y495" s="1655"/>
      <c r="Z495" s="1655"/>
      <c r="AA495" s="1655"/>
      <c r="AB495" s="1655"/>
      <c r="AC495" s="1655"/>
      <c r="AD495" s="1655"/>
      <c r="AE495" s="1655"/>
      <c r="AF495" s="1655"/>
      <c r="AG495" s="1655"/>
      <c r="AH495" s="1655"/>
      <c r="AI495" s="1655"/>
      <c r="AJ495" s="1655"/>
      <c r="AK495" s="1655"/>
      <c r="AL495" s="1655"/>
      <c r="AM495" s="1655"/>
      <c r="AN495" s="1655"/>
      <c r="AO495" s="1655"/>
      <c r="AP495" s="1655"/>
      <c r="AQ495" s="1655"/>
      <c r="AR495" s="1655"/>
      <c r="AS495" s="1655"/>
      <c r="AT495" s="1655"/>
      <c r="AU495" s="1655"/>
      <c r="AV495" s="1655"/>
      <c r="AW495" s="1655"/>
      <c r="AX495" s="1655"/>
      <c r="AY495" s="1655"/>
      <c r="AZ495" s="1655"/>
      <c r="BA495" s="1655"/>
      <c r="BB495" s="1655"/>
      <c r="BC495" s="1655"/>
      <c r="BD495" s="1655"/>
      <c r="BE495" s="1655"/>
      <c r="BF495" s="1655"/>
      <c r="BG495" s="1655"/>
      <c r="BH495" s="1655"/>
      <c r="BI495" s="1655"/>
      <c r="BJ495" s="1655"/>
      <c r="BK495" s="1655"/>
      <c r="BL495" s="1655"/>
      <c r="BM495" s="1655"/>
      <c r="BN495" s="1655"/>
      <c r="BO495" s="1655"/>
      <c r="BP495" s="1655"/>
      <c r="BQ495" s="1655"/>
      <c r="BR495" s="1655"/>
      <c r="BS495" s="1655"/>
      <c r="BT495" s="1655"/>
      <c r="BU495" s="1655"/>
      <c r="BV495" s="1655"/>
      <c r="BW495" s="1655"/>
      <c r="BX495" s="1655"/>
      <c r="BY495" s="1655"/>
      <c r="BZ495" s="1655"/>
      <c r="CA495" s="1655"/>
      <c r="CB495" s="1655"/>
      <c r="CC495" s="1655"/>
      <c r="CD495" s="1655"/>
      <c r="CE495" s="1655"/>
      <c r="CF495" s="1655"/>
      <c r="CG495" s="1655"/>
      <c r="CH495" s="1655"/>
      <c r="CI495" s="1655"/>
      <c r="CJ495" s="1655"/>
      <c r="CK495" s="1655"/>
      <c r="CL495" s="1655"/>
      <c r="CM495" s="1655"/>
      <c r="CN495" s="1655"/>
      <c r="CO495" s="1655"/>
      <c r="CP495" s="1655"/>
      <c r="CQ495" s="1655"/>
      <c r="CR495" s="1655"/>
      <c r="CS495" s="1655"/>
      <c r="CT495" s="1655"/>
      <c r="CU495" s="1655"/>
      <c r="CV495" s="1655"/>
      <c r="CW495" s="1655"/>
      <c r="CX495" s="1655"/>
      <c r="CY495" s="1655"/>
      <c r="CZ495" s="1655"/>
      <c r="DA495" s="1655"/>
      <c r="DB495" s="1655"/>
      <c r="DC495" s="1655"/>
      <c r="DD495" s="1655"/>
      <c r="DE495" s="1655"/>
      <c r="DF495" s="1655"/>
      <c r="DG495" s="1655"/>
      <c r="DH495" s="1655"/>
      <c r="DI495" s="1655"/>
      <c r="DJ495" s="1655"/>
      <c r="DK495" s="1655"/>
      <c r="DL495" s="1655"/>
      <c r="DM495" s="1655"/>
      <c r="DN495" s="1655"/>
      <c r="DO495" s="1655"/>
      <c r="DP495" s="1655"/>
      <c r="DQ495" s="1655"/>
      <c r="DR495" s="1655"/>
      <c r="DS495" s="1655"/>
      <c r="DT495" s="1655"/>
      <c r="DU495" s="1655"/>
      <c r="DV495" s="1655"/>
      <c r="DW495" s="1655"/>
      <c r="DX495" s="1655"/>
      <c r="DY495" s="1655"/>
      <c r="DZ495" s="1655"/>
      <c r="EA495" s="1655"/>
      <c r="EB495" s="1655"/>
      <c r="EC495" s="1655"/>
      <c r="ED495" s="1655"/>
      <c r="EE495" s="1655"/>
      <c r="EF495" s="1655"/>
      <c r="EG495" s="1655"/>
      <c r="EH495" s="1655"/>
      <c r="EI495" s="1655"/>
      <c r="EJ495" s="1655"/>
      <c r="EK495" s="1655"/>
      <c r="EL495" s="1655"/>
      <c r="EM495" s="1655"/>
      <c r="EN495" s="1655"/>
      <c r="EO495" s="1655"/>
      <c r="EP495" s="1655"/>
      <c r="EQ495" s="1655"/>
      <c r="ER495" s="1655"/>
      <c r="ES495" s="1655"/>
      <c r="ET495" s="1655"/>
      <c r="EU495" s="1655"/>
      <c r="EV495" s="1655"/>
      <c r="EW495" s="1655"/>
      <c r="EX495" s="1655"/>
      <c r="EY495" s="1655"/>
      <c r="EZ495" s="1655"/>
      <c r="FA495" s="1655"/>
      <c r="FB495" s="1655"/>
      <c r="FC495" s="1655"/>
      <c r="FD495" s="1655"/>
      <c r="FE495" s="1655"/>
      <c r="FF495" s="1655"/>
      <c r="FG495" s="1655"/>
      <c r="FH495" s="1655"/>
      <c r="FI495" s="1655"/>
    </row>
    <row r="496" spans="1:165">
      <c r="A496" s="1655"/>
      <c r="B496" s="1655"/>
      <c r="C496" s="1655"/>
      <c r="D496" s="1655"/>
      <c r="E496" s="1655"/>
      <c r="F496" s="1655"/>
      <c r="G496" s="1655"/>
      <c r="H496" s="1655"/>
      <c r="I496" s="1655"/>
      <c r="J496" s="1655"/>
      <c r="K496" s="1655"/>
      <c r="L496" s="1655"/>
      <c r="M496" s="1655"/>
      <c r="N496" s="1655"/>
      <c r="O496" s="1655"/>
      <c r="P496" s="1655"/>
      <c r="Q496" s="1655"/>
      <c r="R496" s="1655"/>
      <c r="S496" s="1655"/>
      <c r="T496" s="1655"/>
      <c r="U496" s="1655"/>
      <c r="V496" s="1655"/>
      <c r="W496" s="1655"/>
      <c r="X496" s="1655"/>
      <c r="Y496" s="1655"/>
      <c r="Z496" s="1655"/>
      <c r="AA496" s="1655"/>
      <c r="AB496" s="1655"/>
      <c r="AC496" s="1655"/>
      <c r="AD496" s="1655"/>
      <c r="AE496" s="1655"/>
      <c r="AF496" s="1655"/>
      <c r="AG496" s="1655"/>
      <c r="AH496" s="1655"/>
      <c r="AI496" s="1655"/>
      <c r="AJ496" s="1655"/>
      <c r="AK496" s="1655"/>
      <c r="AL496" s="1655"/>
      <c r="AM496" s="1655"/>
      <c r="AN496" s="1655"/>
      <c r="AO496" s="1655"/>
      <c r="AP496" s="1655"/>
      <c r="AQ496" s="1655"/>
      <c r="AR496" s="1655"/>
      <c r="AS496" s="1655"/>
      <c r="AT496" s="1655"/>
      <c r="AU496" s="1655"/>
      <c r="AV496" s="1655"/>
      <c r="AW496" s="1655"/>
      <c r="AX496" s="1655"/>
      <c r="AY496" s="1655"/>
      <c r="AZ496" s="1655"/>
      <c r="BA496" s="1655"/>
      <c r="BB496" s="1655"/>
      <c r="BC496" s="1655"/>
      <c r="BD496" s="1655"/>
      <c r="BE496" s="1655"/>
      <c r="BF496" s="1655"/>
      <c r="BG496" s="1655"/>
      <c r="BH496" s="1655"/>
      <c r="BI496" s="1655"/>
      <c r="BJ496" s="1655"/>
      <c r="BK496" s="1655"/>
      <c r="BL496" s="1655"/>
      <c r="BM496" s="1655"/>
      <c r="BN496" s="1655"/>
      <c r="BO496" s="1655"/>
      <c r="BP496" s="1655"/>
      <c r="BQ496" s="1655"/>
      <c r="BR496" s="1655"/>
      <c r="BS496" s="1655"/>
      <c r="BT496" s="1655"/>
      <c r="BU496" s="1655"/>
      <c r="BV496" s="1655"/>
      <c r="BW496" s="1655"/>
      <c r="BX496" s="1655"/>
      <c r="BY496" s="1655"/>
      <c r="BZ496" s="1655"/>
      <c r="CA496" s="1655"/>
      <c r="CB496" s="1655"/>
      <c r="CC496" s="1655"/>
      <c r="CD496" s="1655"/>
      <c r="CE496" s="1655"/>
      <c r="CF496" s="1655"/>
      <c r="CG496" s="1655"/>
      <c r="CH496" s="1655"/>
      <c r="CI496" s="1655"/>
      <c r="CJ496" s="1655"/>
      <c r="CK496" s="1655"/>
      <c r="CL496" s="1655"/>
      <c r="CM496" s="1655"/>
      <c r="CN496" s="1655"/>
      <c r="CO496" s="1655"/>
      <c r="CP496" s="1655"/>
      <c r="CQ496" s="1655"/>
      <c r="CR496" s="1655"/>
      <c r="CS496" s="1655"/>
      <c r="CT496" s="1655"/>
      <c r="CU496" s="1655"/>
      <c r="CV496" s="1655"/>
      <c r="CW496" s="1655"/>
      <c r="CX496" s="1655"/>
      <c r="CY496" s="1655"/>
      <c r="CZ496" s="1655"/>
      <c r="DA496" s="1655"/>
      <c r="DB496" s="1655"/>
      <c r="DC496" s="1655"/>
      <c r="DD496" s="1655"/>
      <c r="DE496" s="1655"/>
      <c r="DF496" s="1655"/>
      <c r="DG496" s="1655"/>
      <c r="DH496" s="1655"/>
      <c r="DI496" s="1655"/>
      <c r="DJ496" s="1655"/>
      <c r="DK496" s="1655"/>
      <c r="DL496" s="1655"/>
      <c r="DM496" s="1655"/>
      <c r="DN496" s="1655"/>
      <c r="DO496" s="1655"/>
      <c r="DP496" s="1655"/>
      <c r="DQ496" s="1655"/>
      <c r="DR496" s="1655"/>
      <c r="DS496" s="1655"/>
      <c r="DT496" s="1655"/>
      <c r="DU496" s="1655"/>
      <c r="DV496" s="1655"/>
      <c r="DW496" s="1655"/>
      <c r="DX496" s="1655"/>
      <c r="DY496" s="1655"/>
      <c r="DZ496" s="1655"/>
      <c r="EA496" s="1655"/>
      <c r="EB496" s="1655"/>
      <c r="EC496" s="1655"/>
      <c r="ED496" s="1655"/>
      <c r="EE496" s="1655"/>
      <c r="EF496" s="1655"/>
      <c r="EG496" s="1655"/>
      <c r="EH496" s="1655"/>
      <c r="EI496" s="1655"/>
      <c r="EJ496" s="1655"/>
      <c r="EK496" s="1655"/>
      <c r="EL496" s="1655"/>
      <c r="EM496" s="1655"/>
      <c r="EN496" s="1655"/>
      <c r="EO496" s="1655"/>
      <c r="EP496" s="1655"/>
      <c r="EQ496" s="1655"/>
      <c r="ER496" s="1655"/>
      <c r="ES496" s="1655"/>
      <c r="ET496" s="1655"/>
      <c r="EU496" s="1655"/>
      <c r="EV496" s="1655"/>
      <c r="EW496" s="1655"/>
      <c r="EX496" s="1655"/>
      <c r="EY496" s="1655"/>
      <c r="EZ496" s="1655"/>
      <c r="FA496" s="1655"/>
      <c r="FB496" s="1655"/>
      <c r="FC496" s="1655"/>
      <c r="FD496" s="1655"/>
      <c r="FE496" s="1655"/>
      <c r="FF496" s="1655"/>
      <c r="FG496" s="1655"/>
      <c r="FH496" s="1655"/>
      <c r="FI496" s="1655"/>
    </row>
    <row r="497" spans="1:165">
      <c r="A497" s="1655"/>
      <c r="B497" s="1655"/>
      <c r="C497" s="1655"/>
      <c r="D497" s="1655"/>
      <c r="E497" s="1655"/>
      <c r="F497" s="1655"/>
      <c r="G497" s="1655"/>
      <c r="H497" s="1655"/>
      <c r="I497" s="1655"/>
      <c r="J497" s="1655"/>
      <c r="K497" s="1655"/>
      <c r="L497" s="1655"/>
      <c r="M497" s="1655"/>
      <c r="N497" s="1655"/>
      <c r="O497" s="1655"/>
      <c r="P497" s="1655"/>
      <c r="Q497" s="1655"/>
      <c r="R497" s="1655"/>
      <c r="S497" s="1655"/>
      <c r="T497" s="1655"/>
      <c r="U497" s="1655"/>
      <c r="V497" s="1655"/>
      <c r="W497" s="1655"/>
      <c r="X497" s="1655"/>
      <c r="Y497" s="1655"/>
      <c r="Z497" s="1655"/>
      <c r="AA497" s="1655"/>
      <c r="AB497" s="1655"/>
      <c r="AC497" s="1655"/>
      <c r="AD497" s="1655"/>
      <c r="AE497" s="1655"/>
      <c r="AF497" s="1655"/>
      <c r="AG497" s="1655"/>
      <c r="AH497" s="1655"/>
      <c r="AI497" s="1655"/>
      <c r="AJ497" s="1655"/>
      <c r="AK497" s="1655"/>
      <c r="AL497" s="1655"/>
      <c r="AM497" s="1655"/>
      <c r="AN497" s="1655"/>
      <c r="AO497" s="1655"/>
      <c r="AP497" s="1655"/>
      <c r="AQ497" s="1655"/>
      <c r="AR497" s="1655"/>
      <c r="AS497" s="1655"/>
      <c r="AT497" s="1655"/>
      <c r="AU497" s="1655"/>
      <c r="AV497" s="1655"/>
      <c r="AW497" s="1655"/>
      <c r="AX497" s="1655"/>
      <c r="AY497" s="1655"/>
      <c r="AZ497" s="1655"/>
      <c r="BA497" s="1655"/>
      <c r="BB497" s="1655"/>
      <c r="BC497" s="1655"/>
      <c r="BD497" s="1655"/>
      <c r="BE497" s="1655"/>
      <c r="BF497" s="1655"/>
      <c r="BG497" s="1655"/>
      <c r="BH497" s="1655"/>
      <c r="BI497" s="1655"/>
      <c r="BJ497" s="1655"/>
      <c r="BK497" s="1655"/>
      <c r="BL497" s="1655"/>
      <c r="BM497" s="1655"/>
      <c r="BN497" s="1655"/>
      <c r="BO497" s="1655"/>
      <c r="BP497" s="1655"/>
      <c r="BQ497" s="1655"/>
      <c r="BR497" s="1655"/>
      <c r="BS497" s="1655"/>
      <c r="BT497" s="1655"/>
      <c r="BU497" s="1655"/>
      <c r="BV497" s="1655"/>
      <c r="BW497" s="1655"/>
      <c r="BX497" s="1655"/>
      <c r="BY497" s="1655"/>
      <c r="BZ497" s="1655"/>
      <c r="CA497" s="1655"/>
      <c r="CB497" s="1655"/>
      <c r="CC497" s="1655"/>
      <c r="CD497" s="1655"/>
      <c r="CE497" s="1655"/>
      <c r="CF497" s="1655"/>
      <c r="CG497" s="1655"/>
      <c r="CH497" s="1655"/>
      <c r="CI497" s="1655"/>
      <c r="CJ497" s="1655"/>
      <c r="CK497" s="1655"/>
      <c r="CL497" s="1655"/>
      <c r="CM497" s="1655"/>
      <c r="CN497" s="1655"/>
      <c r="CO497" s="1655"/>
      <c r="CP497" s="1655"/>
      <c r="CQ497" s="1655"/>
      <c r="CR497" s="1655"/>
      <c r="CS497" s="1655"/>
      <c r="CT497" s="1655"/>
      <c r="CU497" s="1655"/>
      <c r="CV497" s="1655"/>
      <c r="CW497" s="1655"/>
      <c r="CX497" s="1655"/>
      <c r="CY497" s="1655"/>
      <c r="CZ497" s="1655"/>
      <c r="DA497" s="1655"/>
      <c r="DB497" s="1655"/>
      <c r="DC497" s="1655"/>
      <c r="DD497" s="1655"/>
      <c r="DE497" s="1655"/>
      <c r="DF497" s="1655"/>
      <c r="DG497" s="1655"/>
      <c r="DH497" s="1655"/>
      <c r="DI497" s="1655"/>
      <c r="DJ497" s="1655"/>
      <c r="DK497" s="1655"/>
      <c r="DL497" s="1655"/>
      <c r="DM497" s="1655"/>
      <c r="DN497" s="1655"/>
      <c r="DO497" s="1655"/>
      <c r="DP497" s="1655"/>
      <c r="DQ497" s="1655"/>
      <c r="DR497" s="1655"/>
      <c r="DS497" s="1655"/>
      <c r="DT497" s="1655"/>
      <c r="DU497" s="1655"/>
      <c r="DV497" s="1655"/>
      <c r="DW497" s="1655"/>
      <c r="DX497" s="1655"/>
      <c r="DY497" s="1655"/>
      <c r="DZ497" s="1655"/>
      <c r="EA497" s="1655"/>
      <c r="EB497" s="1655"/>
      <c r="EC497" s="1655"/>
      <c r="ED497" s="1655"/>
      <c r="EE497" s="1655"/>
      <c r="EF497" s="1655"/>
      <c r="EG497" s="1655"/>
      <c r="EH497" s="1655"/>
      <c r="EI497" s="1655"/>
      <c r="EJ497" s="1655"/>
      <c r="EK497" s="1655"/>
      <c r="EL497" s="1655"/>
      <c r="EM497" s="1655"/>
      <c r="EN497" s="1655"/>
      <c r="EO497" s="1655"/>
      <c r="EP497" s="1655"/>
      <c r="EQ497" s="1655"/>
      <c r="ER497" s="1655"/>
      <c r="ES497" s="1655"/>
      <c r="ET497" s="1655"/>
      <c r="EU497" s="1655"/>
      <c r="EV497" s="1655"/>
      <c r="EW497" s="1655"/>
      <c r="EX497" s="1655"/>
      <c r="EY497" s="1655"/>
      <c r="EZ497" s="1655"/>
      <c r="FA497" s="1655"/>
      <c r="FB497" s="1655"/>
      <c r="FC497" s="1655"/>
      <c r="FD497" s="1655"/>
      <c r="FE497" s="1655"/>
      <c r="FF497" s="1655"/>
      <c r="FG497" s="1655"/>
      <c r="FH497" s="1655"/>
      <c r="FI497" s="1655"/>
    </row>
    <row r="498" spans="1:165">
      <c r="A498" s="1655"/>
      <c r="B498" s="1655"/>
      <c r="C498" s="1655"/>
      <c r="D498" s="1655"/>
      <c r="E498" s="1655"/>
      <c r="F498" s="1655"/>
      <c r="G498" s="1655"/>
      <c r="H498" s="1655"/>
      <c r="I498" s="1655"/>
      <c r="J498" s="1655"/>
      <c r="K498" s="1655"/>
      <c r="L498" s="1655"/>
      <c r="M498" s="1655"/>
      <c r="N498" s="1655"/>
      <c r="O498" s="1655"/>
      <c r="P498" s="1655"/>
      <c r="Q498" s="1655"/>
      <c r="R498" s="1655"/>
      <c r="S498" s="1655"/>
      <c r="T498" s="1655"/>
      <c r="U498" s="1655"/>
      <c r="V498" s="1655"/>
      <c r="W498" s="1655"/>
      <c r="X498" s="1655"/>
      <c r="Y498" s="1655"/>
      <c r="Z498" s="1655"/>
      <c r="AA498" s="1655"/>
      <c r="AB498" s="1655"/>
      <c r="AC498" s="1655"/>
      <c r="AD498" s="1655"/>
      <c r="AE498" s="1655"/>
      <c r="AF498" s="1655"/>
      <c r="AG498" s="1655"/>
      <c r="AH498" s="1655"/>
      <c r="AI498" s="1655"/>
      <c r="AJ498" s="1655"/>
      <c r="AK498" s="1655"/>
      <c r="AL498" s="1655"/>
      <c r="AM498" s="1655"/>
      <c r="AN498" s="1655"/>
      <c r="AO498" s="1655"/>
      <c r="AP498" s="1655"/>
      <c r="AQ498" s="1655"/>
      <c r="AR498" s="1655"/>
      <c r="AS498" s="1655"/>
      <c r="AT498" s="1655"/>
      <c r="AU498" s="1655"/>
      <c r="AV498" s="1655"/>
      <c r="AW498" s="1655"/>
      <c r="AX498" s="1655"/>
      <c r="AY498" s="1655"/>
      <c r="AZ498" s="1655"/>
      <c r="BA498" s="1655"/>
      <c r="BB498" s="1655"/>
      <c r="BC498" s="1655"/>
      <c r="BD498" s="1655"/>
      <c r="BE498" s="1655"/>
      <c r="BF498" s="1655"/>
      <c r="BG498" s="1655"/>
      <c r="BH498" s="1655"/>
      <c r="BI498" s="1655"/>
      <c r="BJ498" s="1655"/>
      <c r="BK498" s="1655"/>
      <c r="BL498" s="1655"/>
      <c r="BM498" s="1655"/>
      <c r="BN498" s="1655"/>
      <c r="BO498" s="1655"/>
      <c r="BP498" s="1655"/>
      <c r="BQ498" s="1655"/>
      <c r="BR498" s="1655"/>
      <c r="BS498" s="1655"/>
      <c r="BT498" s="1655"/>
      <c r="BU498" s="1655"/>
      <c r="BV498" s="1655"/>
      <c r="BW498" s="1655"/>
      <c r="BX498" s="1655"/>
      <c r="BY498" s="1655"/>
      <c r="BZ498" s="1655"/>
      <c r="CA498" s="1655"/>
      <c r="CB498" s="1655"/>
      <c r="CC498" s="1655"/>
      <c r="CD498" s="1655"/>
      <c r="CE498" s="1655"/>
      <c r="CF498" s="1655"/>
      <c r="CG498" s="1655"/>
      <c r="CH498" s="1655"/>
      <c r="CI498" s="1655"/>
      <c r="CJ498" s="1655"/>
      <c r="CK498" s="1655"/>
      <c r="CL498" s="1655"/>
      <c r="CM498" s="1655"/>
      <c r="CN498" s="1655"/>
      <c r="CO498" s="1655"/>
      <c r="CP498" s="1655"/>
      <c r="CQ498" s="1655"/>
      <c r="CR498" s="1655"/>
      <c r="CS498" s="1655"/>
      <c r="CT498" s="1655"/>
      <c r="CU498" s="1655"/>
      <c r="CV498" s="1655"/>
      <c r="CW498" s="1655"/>
      <c r="CX498" s="1655"/>
      <c r="CY498" s="1655"/>
      <c r="CZ498" s="1655"/>
      <c r="DA498" s="1655"/>
      <c r="DB498" s="1655"/>
      <c r="DC498" s="1655"/>
      <c r="DD498" s="1655"/>
      <c r="DE498" s="1655"/>
      <c r="DF498" s="1655"/>
      <c r="DG498" s="1655"/>
      <c r="DH498" s="1655"/>
      <c r="DI498" s="1655"/>
      <c r="DJ498" s="1655"/>
      <c r="DK498" s="1655"/>
      <c r="DL498" s="1655"/>
      <c r="DM498" s="1655"/>
      <c r="DN498" s="1655"/>
      <c r="DO498" s="1655"/>
      <c r="DP498" s="1655"/>
      <c r="DQ498" s="1655"/>
      <c r="DR498" s="1655"/>
      <c r="DS498" s="1655"/>
      <c r="DT498" s="1655"/>
      <c r="DU498" s="1655"/>
      <c r="DV498" s="1655"/>
      <c r="DW498" s="1655"/>
      <c r="DX498" s="1655"/>
      <c r="DY498" s="1655"/>
      <c r="DZ498" s="1655"/>
      <c r="EA498" s="1655"/>
      <c r="EB498" s="1655"/>
      <c r="EC498" s="1655"/>
      <c r="ED498" s="1655"/>
      <c r="EE498" s="1655"/>
      <c r="EF498" s="1655"/>
      <c r="EG498" s="1655"/>
      <c r="EH498" s="1655"/>
      <c r="EI498" s="1655"/>
      <c r="EJ498" s="1655"/>
      <c r="EK498" s="1655"/>
      <c r="EL498" s="1655"/>
      <c r="EM498" s="1655"/>
      <c r="EN498" s="1655"/>
      <c r="EO498" s="1655"/>
      <c r="EP498" s="1655"/>
      <c r="EQ498" s="1655"/>
      <c r="ER498" s="1655"/>
      <c r="ES498" s="1655"/>
      <c r="ET498" s="1655"/>
      <c r="EU498" s="1655"/>
      <c r="EV498" s="1655"/>
      <c r="EW498" s="1655"/>
      <c r="EX498" s="1655"/>
      <c r="EY498" s="1655"/>
      <c r="EZ498" s="1655"/>
      <c r="FA498" s="1655"/>
      <c r="FB498" s="1655"/>
      <c r="FC498" s="1655"/>
      <c r="FD498" s="1655"/>
      <c r="FE498" s="1655"/>
      <c r="FF498" s="1655"/>
      <c r="FG498" s="1655"/>
      <c r="FH498" s="1655"/>
      <c r="FI498" s="1655"/>
    </row>
    <row r="499" spans="1:165">
      <c r="A499" s="1655"/>
      <c r="B499" s="1655"/>
      <c r="C499" s="1655"/>
      <c r="D499" s="1655"/>
      <c r="E499" s="1655"/>
      <c r="F499" s="1655"/>
      <c r="G499" s="1655"/>
      <c r="H499" s="1655"/>
      <c r="I499" s="1655"/>
      <c r="J499" s="1655"/>
      <c r="K499" s="1655"/>
      <c r="L499" s="1655"/>
      <c r="M499" s="1655"/>
      <c r="N499" s="1655"/>
      <c r="O499" s="1655"/>
      <c r="P499" s="1655"/>
      <c r="Q499" s="1655"/>
      <c r="R499" s="1655"/>
      <c r="S499" s="1655"/>
      <c r="T499" s="1655"/>
      <c r="U499" s="1655"/>
      <c r="V499" s="1655"/>
      <c r="W499" s="1655"/>
      <c r="X499" s="1655"/>
      <c r="Y499" s="1655"/>
      <c r="Z499" s="1655"/>
      <c r="AA499" s="1655"/>
      <c r="AB499" s="1655"/>
      <c r="AC499" s="1655"/>
      <c r="AD499" s="1655"/>
      <c r="AE499" s="1655"/>
      <c r="AF499" s="1655"/>
      <c r="AG499" s="1655"/>
      <c r="AH499" s="1655"/>
      <c r="AI499" s="1655"/>
      <c r="AJ499" s="1655"/>
      <c r="AK499" s="1655"/>
      <c r="AL499" s="1655"/>
      <c r="AM499" s="1655"/>
      <c r="AN499" s="1655"/>
      <c r="AO499" s="1655"/>
      <c r="AP499" s="1655"/>
      <c r="AQ499" s="1655"/>
      <c r="AR499" s="1655"/>
      <c r="AS499" s="1655"/>
      <c r="AT499" s="1655"/>
      <c r="AU499" s="1655"/>
      <c r="AV499" s="1655"/>
      <c r="AW499" s="1655"/>
      <c r="AX499" s="1655"/>
      <c r="AY499" s="1655"/>
      <c r="AZ499" s="1655"/>
      <c r="BA499" s="1655"/>
      <c r="BB499" s="1655"/>
      <c r="BC499" s="1655"/>
      <c r="BD499" s="1655"/>
      <c r="BE499" s="1655"/>
      <c r="BF499" s="1655"/>
      <c r="BG499" s="1655"/>
      <c r="BH499" s="1655"/>
      <c r="BI499" s="1655"/>
      <c r="BJ499" s="1655"/>
      <c r="BK499" s="1655"/>
      <c r="BL499" s="1655"/>
      <c r="BM499" s="1655"/>
      <c r="BN499" s="1655"/>
      <c r="BO499" s="1655"/>
      <c r="BP499" s="1655"/>
      <c r="BQ499" s="1655"/>
      <c r="BR499" s="1655"/>
      <c r="BS499" s="1655"/>
      <c r="BT499" s="1655"/>
      <c r="BU499" s="1655"/>
      <c r="BV499" s="1655"/>
      <c r="BW499" s="1655"/>
      <c r="BX499" s="1655"/>
      <c r="BY499" s="1655"/>
      <c r="BZ499" s="1655"/>
      <c r="CA499" s="1655"/>
      <c r="CB499" s="1655"/>
      <c r="CC499" s="1655"/>
      <c r="CD499" s="1655"/>
      <c r="CE499" s="1655"/>
      <c r="CF499" s="1655"/>
      <c r="CG499" s="1655"/>
      <c r="CH499" s="1655"/>
      <c r="CI499" s="1655"/>
      <c r="CJ499" s="1655"/>
      <c r="CK499" s="1655"/>
      <c r="CL499" s="1655"/>
      <c r="CM499" s="1655"/>
      <c r="CN499" s="1655"/>
      <c r="CO499" s="1655"/>
      <c r="CP499" s="1655"/>
      <c r="CQ499" s="1655"/>
      <c r="CR499" s="1655"/>
      <c r="CS499" s="1655"/>
      <c r="CT499" s="1655"/>
      <c r="CU499" s="1655"/>
      <c r="CV499" s="1655"/>
      <c r="CW499" s="1655"/>
      <c r="CX499" s="1655"/>
      <c r="CY499" s="1655"/>
      <c r="CZ499" s="1655"/>
      <c r="DA499" s="1655"/>
      <c r="DB499" s="1655"/>
      <c r="DC499" s="1655"/>
      <c r="DD499" s="1655"/>
      <c r="DE499" s="1655"/>
      <c r="DF499" s="1655"/>
      <c r="DG499" s="1655"/>
      <c r="DH499" s="1655"/>
      <c r="DI499" s="1655"/>
      <c r="DJ499" s="1655"/>
      <c r="DK499" s="1655"/>
      <c r="DL499" s="1655"/>
      <c r="DM499" s="1655"/>
      <c r="DN499" s="1655"/>
      <c r="DO499" s="1655"/>
      <c r="DP499" s="1655"/>
      <c r="DQ499" s="1655"/>
      <c r="DR499" s="1655"/>
      <c r="DS499" s="1655"/>
      <c r="DT499" s="1655"/>
      <c r="DU499" s="1655"/>
      <c r="DV499" s="1655"/>
      <c r="DW499" s="1655"/>
      <c r="DX499" s="1655"/>
      <c r="DY499" s="1655"/>
      <c r="DZ499" s="1655"/>
      <c r="EA499" s="1655"/>
      <c r="EB499" s="1655"/>
      <c r="EC499" s="1655"/>
      <c r="ED499" s="1655"/>
      <c r="EE499" s="1655"/>
      <c r="EF499" s="1655"/>
      <c r="EG499" s="1655"/>
      <c r="EH499" s="1655"/>
      <c r="EI499" s="1655"/>
      <c r="EJ499" s="1655"/>
      <c r="EK499" s="1655"/>
      <c r="EL499" s="1655"/>
      <c r="EM499" s="1655"/>
      <c r="EN499" s="1655"/>
      <c r="EO499" s="1655"/>
      <c r="EP499" s="1655"/>
      <c r="EQ499" s="1655"/>
      <c r="ER499" s="1655"/>
      <c r="ES499" s="1655"/>
      <c r="ET499" s="1655"/>
      <c r="EU499" s="1655"/>
      <c r="EV499" s="1655"/>
      <c r="EW499" s="1655"/>
      <c r="EX499" s="1655"/>
      <c r="EY499" s="1655"/>
      <c r="EZ499" s="1655"/>
      <c r="FA499" s="1655"/>
      <c r="FB499" s="1655"/>
      <c r="FC499" s="1655"/>
      <c r="FD499" s="1655"/>
      <c r="FE499" s="1655"/>
      <c r="FF499" s="1655"/>
      <c r="FG499" s="1655"/>
      <c r="FH499" s="1655"/>
      <c r="FI499" s="1655"/>
    </row>
    <row r="500" spans="1:165">
      <c r="A500" s="1655"/>
      <c r="B500" s="1655"/>
      <c r="C500" s="1655"/>
      <c r="D500" s="1655"/>
      <c r="E500" s="1655"/>
      <c r="F500" s="1655"/>
      <c r="G500" s="1655"/>
      <c r="H500" s="1655"/>
      <c r="I500" s="1655"/>
      <c r="J500" s="1655"/>
      <c r="K500" s="1655"/>
      <c r="L500" s="1655"/>
      <c r="M500" s="1655"/>
      <c r="N500" s="1655"/>
      <c r="O500" s="1655"/>
      <c r="P500" s="1655"/>
      <c r="Q500" s="1655"/>
      <c r="R500" s="1655"/>
      <c r="S500" s="1655"/>
      <c r="T500" s="1655"/>
      <c r="U500" s="1655"/>
      <c r="V500" s="1655"/>
      <c r="W500" s="1655"/>
      <c r="X500" s="1655"/>
      <c r="Y500" s="1655"/>
      <c r="Z500" s="1655"/>
      <c r="AA500" s="1655"/>
      <c r="AB500" s="1655"/>
      <c r="AC500" s="1655"/>
      <c r="AD500" s="1655"/>
      <c r="AE500" s="1655"/>
      <c r="AF500" s="1655"/>
      <c r="AG500" s="1655"/>
      <c r="AH500" s="1655"/>
      <c r="AI500" s="1655"/>
      <c r="AJ500" s="1655"/>
      <c r="AK500" s="1655"/>
      <c r="AL500" s="1655"/>
      <c r="AM500" s="1655"/>
      <c r="AN500" s="1655"/>
      <c r="AO500" s="1655"/>
      <c r="AP500" s="1655"/>
      <c r="AQ500" s="1655"/>
      <c r="AR500" s="1655"/>
      <c r="AS500" s="1655"/>
      <c r="AT500" s="1655"/>
      <c r="AU500" s="1655"/>
      <c r="AV500" s="1655"/>
      <c r="AW500" s="1655"/>
      <c r="AX500" s="1655"/>
      <c r="AY500" s="1655"/>
      <c r="AZ500" s="1655"/>
      <c r="BA500" s="1655"/>
      <c r="BB500" s="1655"/>
      <c r="BC500" s="1655"/>
      <c r="BD500" s="1655"/>
      <c r="BE500" s="1655"/>
      <c r="BF500" s="1655"/>
      <c r="BG500" s="1655"/>
      <c r="BH500" s="1655"/>
      <c r="BI500" s="1655"/>
      <c r="BJ500" s="1655"/>
      <c r="BK500" s="1655"/>
      <c r="BL500" s="1655"/>
      <c r="BM500" s="1655"/>
      <c r="BN500" s="1655"/>
      <c r="BO500" s="1655"/>
      <c r="BP500" s="1655"/>
      <c r="BQ500" s="1655"/>
      <c r="BR500" s="1655"/>
      <c r="BS500" s="1655"/>
      <c r="BT500" s="1655"/>
      <c r="BU500" s="1655"/>
      <c r="BV500" s="1655"/>
      <c r="BW500" s="1655"/>
      <c r="BX500" s="1655"/>
      <c r="BY500" s="1655"/>
      <c r="BZ500" s="1655"/>
      <c r="CA500" s="1655"/>
      <c r="CB500" s="1655"/>
      <c r="CC500" s="1655"/>
      <c r="CD500" s="1655"/>
      <c r="CE500" s="1655"/>
      <c r="CF500" s="1655"/>
      <c r="CG500" s="1655"/>
      <c r="CH500" s="1655"/>
      <c r="CI500" s="1655"/>
      <c r="CJ500" s="1655"/>
      <c r="CK500" s="1655"/>
      <c r="CL500" s="1655"/>
      <c r="CM500" s="1655"/>
      <c r="CN500" s="1655"/>
      <c r="CO500" s="1655"/>
      <c r="CP500" s="1655"/>
      <c r="CQ500" s="1655"/>
      <c r="CR500" s="1655"/>
      <c r="CS500" s="1655"/>
      <c r="CT500" s="1655"/>
      <c r="CU500" s="1655"/>
      <c r="CV500" s="1655"/>
      <c r="CW500" s="1655"/>
      <c r="CX500" s="1655"/>
      <c r="CY500" s="1655"/>
      <c r="CZ500" s="1655"/>
      <c r="DA500" s="1655"/>
      <c r="DB500" s="1655"/>
      <c r="DC500" s="1655"/>
      <c r="DD500" s="1655"/>
      <c r="DE500" s="1655"/>
      <c r="DF500" s="1655"/>
      <c r="DG500" s="1655"/>
      <c r="DH500" s="1655"/>
      <c r="DI500" s="1655"/>
      <c r="DJ500" s="1655"/>
      <c r="DK500" s="1655"/>
      <c r="DL500" s="1655"/>
      <c r="DM500" s="1655"/>
      <c r="DN500" s="1655"/>
      <c r="DO500" s="1655"/>
      <c r="DP500" s="1655"/>
      <c r="DQ500" s="1655"/>
      <c r="DR500" s="1655"/>
      <c r="DS500" s="1655"/>
      <c r="DT500" s="1655"/>
      <c r="DU500" s="1655"/>
      <c r="DV500" s="1655"/>
      <c r="DW500" s="1655"/>
      <c r="DX500" s="1655"/>
      <c r="DY500" s="1655"/>
      <c r="DZ500" s="1655"/>
      <c r="EA500" s="1655"/>
      <c r="EB500" s="1655"/>
      <c r="EC500" s="1655"/>
      <c r="ED500" s="1655"/>
      <c r="EE500" s="1655"/>
      <c r="EF500" s="1655"/>
      <c r="EG500" s="1655"/>
      <c r="EH500" s="1655"/>
      <c r="EI500" s="1655"/>
      <c r="EJ500" s="1655"/>
      <c r="EK500" s="1655"/>
      <c r="EL500" s="1655"/>
      <c r="EM500" s="1655"/>
      <c r="EN500" s="1655"/>
      <c r="EO500" s="1655"/>
      <c r="EP500" s="1655"/>
      <c r="EQ500" s="1655"/>
      <c r="ER500" s="1655"/>
      <c r="ES500" s="1655"/>
      <c r="ET500" s="1655"/>
      <c r="EU500" s="1655"/>
      <c r="EV500" s="1655"/>
      <c r="EW500" s="1655"/>
      <c r="EX500" s="1655"/>
      <c r="EY500" s="1655"/>
      <c r="EZ500" s="1655"/>
      <c r="FA500" s="1655"/>
      <c r="FB500" s="1655"/>
      <c r="FC500" s="1655"/>
      <c r="FD500" s="1655"/>
      <c r="FE500" s="1655"/>
      <c r="FF500" s="1655"/>
      <c r="FG500" s="1655"/>
      <c r="FH500" s="1655"/>
      <c r="FI500" s="1655"/>
    </row>
    <row r="501" spans="1:165">
      <c r="A501" s="1655"/>
      <c r="B501" s="1655"/>
      <c r="C501" s="1655"/>
      <c r="D501" s="1655"/>
      <c r="E501" s="1655"/>
      <c r="F501" s="1655"/>
      <c r="G501" s="1655"/>
      <c r="H501" s="1655"/>
      <c r="I501" s="1655"/>
      <c r="J501" s="1655"/>
      <c r="K501" s="1655"/>
      <c r="L501" s="1655"/>
      <c r="M501" s="1655"/>
      <c r="N501" s="1655"/>
      <c r="O501" s="1655"/>
      <c r="P501" s="1655"/>
      <c r="Q501" s="1655"/>
      <c r="R501" s="1655"/>
      <c r="S501" s="1655"/>
      <c r="T501" s="1655"/>
      <c r="U501" s="1655"/>
      <c r="V501" s="1655"/>
      <c r="W501" s="1655"/>
      <c r="X501" s="1655"/>
      <c r="Y501" s="1655"/>
      <c r="Z501" s="1655"/>
      <c r="AA501" s="1655"/>
      <c r="AB501" s="1655"/>
      <c r="AC501" s="1655"/>
      <c r="AD501" s="1655"/>
      <c r="AE501" s="1655"/>
      <c r="AF501" s="1655"/>
      <c r="AG501" s="1655"/>
      <c r="AH501" s="1655"/>
      <c r="AI501" s="1655"/>
      <c r="AJ501" s="1655"/>
      <c r="AK501" s="1655"/>
      <c r="AL501" s="1655"/>
      <c r="AM501" s="1655"/>
      <c r="AN501" s="1655"/>
      <c r="AO501" s="1655"/>
      <c r="AP501" s="1655"/>
      <c r="AQ501" s="1655"/>
      <c r="AR501" s="1655"/>
      <c r="AS501" s="1655"/>
      <c r="AT501" s="1655"/>
      <c r="AU501" s="1655"/>
      <c r="AV501" s="1655"/>
      <c r="AW501" s="1655"/>
      <c r="AX501" s="1655"/>
      <c r="AY501" s="1655"/>
      <c r="AZ501" s="1655"/>
      <c r="BA501" s="1655"/>
      <c r="BB501" s="1655"/>
      <c r="BC501" s="1655"/>
      <c r="BD501" s="1655"/>
      <c r="BE501" s="1655"/>
      <c r="BF501" s="1655"/>
      <c r="BG501" s="1655"/>
      <c r="BH501" s="1655"/>
      <c r="BI501" s="1655"/>
      <c r="BJ501" s="1655"/>
      <c r="BK501" s="1655"/>
      <c r="BL501" s="1655"/>
      <c r="BM501" s="1655"/>
      <c r="BN501" s="1655"/>
      <c r="BO501" s="1655"/>
      <c r="BP501" s="1655"/>
      <c r="BQ501" s="1655"/>
      <c r="BR501" s="1655"/>
      <c r="BS501" s="1655"/>
      <c r="BT501" s="1655"/>
      <c r="BU501" s="1655"/>
      <c r="BV501" s="1655"/>
      <c r="BW501" s="1655"/>
      <c r="BX501" s="1655"/>
      <c r="BY501" s="1655"/>
      <c r="BZ501" s="1655"/>
      <c r="CA501" s="1655"/>
      <c r="CB501" s="1655"/>
      <c r="CC501" s="1655"/>
      <c r="CD501" s="1655"/>
      <c r="CE501" s="1655"/>
      <c r="CF501" s="1655"/>
      <c r="CG501" s="1655"/>
      <c r="CH501" s="1655"/>
      <c r="CI501" s="1655"/>
      <c r="CJ501" s="1655"/>
      <c r="CK501" s="1655"/>
      <c r="CL501" s="1655"/>
      <c r="CM501" s="1655"/>
      <c r="CN501" s="1655"/>
      <c r="CO501" s="1655"/>
      <c r="CP501" s="1655"/>
      <c r="CQ501" s="1655"/>
      <c r="CR501" s="1655"/>
      <c r="CS501" s="1655"/>
      <c r="CT501" s="1655"/>
      <c r="CU501" s="1655"/>
      <c r="CV501" s="1655"/>
      <c r="CW501" s="1655"/>
      <c r="CX501" s="1655"/>
      <c r="CY501" s="1655"/>
      <c r="CZ501" s="1655"/>
      <c r="DA501" s="1655"/>
      <c r="DB501" s="1655"/>
      <c r="DC501" s="1655"/>
      <c r="DD501" s="1655"/>
      <c r="DE501" s="1655"/>
      <c r="DF501" s="1655"/>
      <c r="DG501" s="1655"/>
      <c r="DH501" s="1655"/>
      <c r="DI501" s="1655"/>
      <c r="DJ501" s="1655"/>
      <c r="DK501" s="1655"/>
      <c r="DL501" s="1655"/>
      <c r="DM501" s="1655"/>
      <c r="DN501" s="1655"/>
      <c r="DO501" s="1655"/>
      <c r="DP501" s="1655"/>
      <c r="DQ501" s="1655"/>
      <c r="DR501" s="1655"/>
      <c r="DS501" s="1655"/>
      <c r="DT501" s="1655"/>
      <c r="DU501" s="1655"/>
      <c r="DV501" s="1655"/>
      <c r="DW501" s="1655"/>
      <c r="DX501" s="1655"/>
      <c r="DY501" s="1655"/>
      <c r="DZ501" s="1655"/>
      <c r="EA501" s="1655"/>
      <c r="EB501" s="1655"/>
      <c r="EC501" s="1655"/>
      <c r="ED501" s="1655"/>
      <c r="EE501" s="1655"/>
      <c r="EF501" s="1655"/>
      <c r="EG501" s="1655"/>
      <c r="EH501" s="1655"/>
      <c r="EI501" s="1655"/>
      <c r="EJ501" s="1655"/>
      <c r="EK501" s="1655"/>
      <c r="EL501" s="1655"/>
      <c r="EM501" s="1655"/>
      <c r="EN501" s="1655"/>
      <c r="EO501" s="1655"/>
      <c r="EP501" s="1655"/>
      <c r="EQ501" s="1655"/>
      <c r="ER501" s="1655"/>
      <c r="ES501" s="1655"/>
      <c r="ET501" s="1655"/>
      <c r="EU501" s="1655"/>
      <c r="EV501" s="1655"/>
      <c r="EW501" s="1655"/>
      <c r="EX501" s="1655"/>
      <c r="EY501" s="1655"/>
      <c r="EZ501" s="1655"/>
      <c r="FA501" s="1655"/>
      <c r="FB501" s="1655"/>
      <c r="FC501" s="1655"/>
      <c r="FD501" s="1655"/>
      <c r="FE501" s="1655"/>
      <c r="FF501" s="1655"/>
      <c r="FG501" s="1655"/>
      <c r="FH501" s="1655"/>
      <c r="FI501" s="1655"/>
    </row>
    <row r="502" spans="1:165">
      <c r="A502" s="1655"/>
      <c r="B502" s="1655"/>
      <c r="C502" s="1655"/>
      <c r="D502" s="1655"/>
      <c r="E502" s="1655"/>
      <c r="F502" s="1655"/>
      <c r="G502" s="1655"/>
      <c r="H502" s="1655"/>
      <c r="I502" s="1655"/>
      <c r="J502" s="1655"/>
      <c r="K502" s="1655"/>
      <c r="L502" s="1655"/>
      <c r="M502" s="1655"/>
      <c r="N502" s="1655"/>
      <c r="O502" s="1655"/>
      <c r="P502" s="1655"/>
      <c r="Q502" s="1655"/>
      <c r="R502" s="1655"/>
      <c r="S502" s="1655"/>
      <c r="T502" s="1655"/>
      <c r="U502" s="1655"/>
      <c r="V502" s="1655"/>
      <c r="W502" s="1655"/>
      <c r="X502" s="1655"/>
      <c r="Y502" s="1655"/>
      <c r="Z502" s="1655"/>
      <c r="AA502" s="1655"/>
      <c r="AB502" s="1655"/>
      <c r="AC502" s="1655"/>
      <c r="AD502" s="1655"/>
      <c r="AE502" s="1655"/>
      <c r="AF502" s="1655"/>
      <c r="AG502" s="1655"/>
      <c r="AH502" s="1655"/>
      <c r="AI502" s="1655"/>
      <c r="AJ502" s="1655"/>
      <c r="AK502" s="1655"/>
      <c r="AL502" s="1655"/>
      <c r="AM502" s="1655"/>
      <c r="AN502" s="1655"/>
      <c r="AO502" s="1655"/>
      <c r="AP502" s="1655"/>
      <c r="AQ502" s="1655"/>
      <c r="AR502" s="1655"/>
      <c r="AS502" s="1655"/>
      <c r="AT502" s="1655"/>
      <c r="AU502" s="1655"/>
      <c r="AV502" s="1655"/>
      <c r="AW502" s="1655"/>
      <c r="AX502" s="1655"/>
      <c r="AY502" s="1655"/>
      <c r="AZ502" s="1655"/>
      <c r="BA502" s="1655"/>
      <c r="BB502" s="1655"/>
      <c r="BC502" s="1655"/>
      <c r="BD502" s="1655"/>
      <c r="BE502" s="1655"/>
      <c r="BF502" s="1655"/>
      <c r="BG502" s="1655"/>
      <c r="BH502" s="1655"/>
      <c r="BI502" s="1655"/>
      <c r="BJ502" s="1655"/>
      <c r="BK502" s="1655"/>
      <c r="BL502" s="1655"/>
      <c r="BM502" s="1655"/>
      <c r="BN502" s="1655"/>
      <c r="BO502" s="1655"/>
      <c r="BP502" s="1655"/>
      <c r="BQ502" s="1655"/>
      <c r="BR502" s="1655"/>
      <c r="BS502" s="1655"/>
      <c r="BT502" s="1655"/>
      <c r="BU502" s="1655"/>
      <c r="BV502" s="1655"/>
      <c r="BW502" s="1655"/>
      <c r="BX502" s="1655"/>
      <c r="BY502" s="1655"/>
      <c r="BZ502" s="1655"/>
      <c r="CA502" s="1655"/>
      <c r="CB502" s="1655"/>
      <c r="CC502" s="1655"/>
      <c r="CD502" s="1655"/>
      <c r="CE502" s="1655"/>
      <c r="CF502" s="1655"/>
      <c r="CG502" s="1655"/>
      <c r="CH502" s="1655"/>
      <c r="CI502" s="1655"/>
      <c r="CJ502" s="1655"/>
      <c r="CK502" s="1655"/>
      <c r="CL502" s="1655"/>
      <c r="CM502" s="1655"/>
      <c r="CN502" s="1655"/>
      <c r="CO502" s="1655"/>
      <c r="CP502" s="1655"/>
      <c r="CQ502" s="1655"/>
      <c r="CR502" s="1655"/>
      <c r="CS502" s="1655"/>
      <c r="CT502" s="1655"/>
      <c r="CU502" s="1655"/>
      <c r="CV502" s="1655"/>
      <c r="CW502" s="1655"/>
      <c r="CX502" s="1655"/>
      <c r="CY502" s="1655"/>
      <c r="CZ502" s="1655"/>
      <c r="DA502" s="1655"/>
      <c r="DB502" s="1655"/>
      <c r="DC502" s="1655"/>
      <c r="DD502" s="1655"/>
      <c r="DE502" s="1655"/>
      <c r="DF502" s="1655"/>
      <c r="DG502" s="1655"/>
      <c r="DH502" s="1655"/>
      <c r="DI502" s="1655"/>
      <c r="DJ502" s="1655"/>
      <c r="DK502" s="1655"/>
      <c r="DL502" s="1655"/>
      <c r="DM502" s="1655"/>
      <c r="DN502" s="1655"/>
      <c r="DO502" s="1655"/>
      <c r="DP502" s="1655"/>
      <c r="DQ502" s="1655"/>
      <c r="DR502" s="1655"/>
      <c r="DS502" s="1655"/>
      <c r="DT502" s="1655"/>
      <c r="DU502" s="1655"/>
      <c r="DV502" s="1655"/>
      <c r="DW502" s="1655"/>
      <c r="DX502" s="1655"/>
      <c r="DY502" s="1655"/>
      <c r="DZ502" s="1655"/>
      <c r="EA502" s="1655"/>
      <c r="EB502" s="1655"/>
      <c r="EC502" s="1655"/>
      <c r="ED502" s="1655"/>
      <c r="EE502" s="1655"/>
      <c r="EF502" s="1655"/>
      <c r="EG502" s="1655"/>
      <c r="EH502" s="1655"/>
      <c r="EI502" s="1655"/>
      <c r="EJ502" s="1655"/>
      <c r="EK502" s="1655"/>
      <c r="EL502" s="1655"/>
      <c r="EM502" s="1655"/>
      <c r="EN502" s="1655"/>
      <c r="EO502" s="1655"/>
      <c r="EP502" s="1655"/>
      <c r="EQ502" s="1655"/>
      <c r="ER502" s="1655"/>
      <c r="ES502" s="1655"/>
      <c r="ET502" s="1655"/>
      <c r="EU502" s="1655"/>
      <c r="EV502" s="1655"/>
      <c r="EW502" s="1655"/>
      <c r="EX502" s="1655"/>
      <c r="EY502" s="1655"/>
      <c r="EZ502" s="1655"/>
      <c r="FA502" s="1655"/>
      <c r="FB502" s="1655"/>
      <c r="FC502" s="1655"/>
      <c r="FD502" s="1655"/>
      <c r="FE502" s="1655"/>
      <c r="FF502" s="1655"/>
      <c r="FG502" s="1655"/>
      <c r="FH502" s="1655"/>
      <c r="FI502" s="1655"/>
    </row>
    <row r="503" spans="1:165">
      <c r="A503" s="1655"/>
      <c r="B503" s="1655"/>
      <c r="C503" s="1655"/>
      <c r="D503" s="1655"/>
      <c r="E503" s="1655"/>
      <c r="F503" s="1655"/>
      <c r="G503" s="1655"/>
      <c r="H503" s="1655"/>
      <c r="I503" s="1655"/>
      <c r="J503" s="1655"/>
      <c r="K503" s="1655"/>
      <c r="L503" s="1655"/>
      <c r="M503" s="1655"/>
      <c r="N503" s="1655"/>
      <c r="O503" s="1655"/>
      <c r="P503" s="1655"/>
      <c r="Q503" s="1655"/>
      <c r="R503" s="1655"/>
      <c r="S503" s="1655"/>
      <c r="T503" s="1655"/>
      <c r="U503" s="1655"/>
      <c r="V503" s="1655"/>
      <c r="W503" s="1655"/>
      <c r="X503" s="1655"/>
      <c r="Y503" s="1655"/>
      <c r="Z503" s="1655"/>
      <c r="AA503" s="1655"/>
      <c r="AB503" s="1655"/>
      <c r="AC503" s="1655"/>
      <c r="AD503" s="1655"/>
      <c r="AE503" s="1655"/>
      <c r="AF503" s="1655"/>
      <c r="AG503" s="1655"/>
      <c r="AH503" s="1655"/>
      <c r="AI503" s="1655"/>
      <c r="AJ503" s="1655"/>
      <c r="AK503" s="1655"/>
      <c r="AL503" s="1655"/>
      <c r="AM503" s="1655"/>
      <c r="AN503" s="1655"/>
      <c r="AO503" s="1655"/>
      <c r="AP503" s="1655"/>
      <c r="AQ503" s="1655"/>
      <c r="AR503" s="1655"/>
      <c r="AS503" s="1655"/>
      <c r="AT503" s="1655"/>
      <c r="AU503" s="1655"/>
      <c r="AV503" s="1655"/>
      <c r="AW503" s="1655"/>
      <c r="AX503" s="1655"/>
      <c r="AY503" s="1655"/>
      <c r="AZ503" s="1655"/>
      <c r="BA503" s="1655"/>
      <c r="BB503" s="1655"/>
      <c r="BC503" s="1655"/>
      <c r="BD503" s="1655"/>
      <c r="BE503" s="1655"/>
      <c r="BF503" s="1655"/>
      <c r="BG503" s="1655"/>
      <c r="BH503" s="1655"/>
      <c r="BI503" s="1655"/>
      <c r="BJ503" s="1655"/>
      <c r="BK503" s="1655"/>
      <c r="BL503" s="1655"/>
      <c r="BM503" s="1655"/>
      <c r="BN503" s="1655"/>
      <c r="BO503" s="1655"/>
      <c r="BP503" s="1655"/>
      <c r="BQ503" s="1655"/>
      <c r="BR503" s="1655"/>
      <c r="BS503" s="1655"/>
      <c r="BT503" s="1655"/>
      <c r="BU503" s="1655"/>
      <c r="BV503" s="1655"/>
      <c r="BW503" s="1655"/>
      <c r="BX503" s="1655"/>
      <c r="BY503" s="1655"/>
      <c r="BZ503" s="1655"/>
      <c r="CA503" s="1655"/>
      <c r="CB503" s="1655"/>
      <c r="CC503" s="1655"/>
      <c r="CD503" s="1655"/>
      <c r="CE503" s="1655"/>
      <c r="CF503" s="1655"/>
      <c r="CG503" s="1655"/>
      <c r="CH503" s="1655"/>
      <c r="CI503" s="1655"/>
      <c r="CJ503" s="1655"/>
      <c r="CK503" s="1655"/>
      <c r="CL503" s="1655"/>
      <c r="CM503" s="1655"/>
      <c r="CN503" s="1655"/>
      <c r="CO503" s="1655"/>
      <c r="CP503" s="1655"/>
      <c r="CQ503" s="1655"/>
      <c r="CR503" s="1655"/>
      <c r="CS503" s="1655"/>
      <c r="CT503" s="1655"/>
      <c r="CU503" s="1655"/>
      <c r="CV503" s="1655"/>
      <c r="CW503" s="1655"/>
      <c r="CX503" s="1655"/>
      <c r="CY503" s="1655"/>
      <c r="CZ503" s="1655"/>
      <c r="DA503" s="1655"/>
      <c r="DB503" s="1655"/>
      <c r="DC503" s="1655"/>
      <c r="DD503" s="1655"/>
      <c r="DE503" s="1655"/>
      <c r="DF503" s="1655"/>
      <c r="DG503" s="1655"/>
      <c r="DH503" s="1655"/>
      <c r="DI503" s="1655"/>
      <c r="DJ503" s="1655"/>
      <c r="DK503" s="1655"/>
      <c r="DL503" s="1655"/>
      <c r="DM503" s="1655"/>
      <c r="DN503" s="1655"/>
      <c r="DO503" s="1655"/>
      <c r="DP503" s="1655"/>
      <c r="DQ503" s="1655"/>
      <c r="DR503" s="1655"/>
      <c r="DS503" s="1655"/>
      <c r="DT503" s="1655"/>
      <c r="DU503" s="1655"/>
      <c r="DV503" s="1655"/>
      <c r="DW503" s="1655"/>
      <c r="DX503" s="1655"/>
      <c r="DY503" s="1655"/>
      <c r="DZ503" s="1655"/>
      <c r="EA503" s="1655"/>
      <c r="EB503" s="1655"/>
      <c r="EC503" s="1655"/>
      <c r="ED503" s="1655"/>
      <c r="EE503" s="1655"/>
      <c r="EF503" s="1655"/>
      <c r="EG503" s="1655"/>
      <c r="EH503" s="1655"/>
      <c r="EI503" s="1655"/>
      <c r="EJ503" s="1655"/>
      <c r="EK503" s="1655"/>
      <c r="EL503" s="1655"/>
      <c r="EM503" s="1655"/>
      <c r="EN503" s="1655"/>
      <c r="EO503" s="1655"/>
      <c r="EP503" s="1655"/>
      <c r="EQ503" s="1655"/>
      <c r="ER503" s="1655"/>
      <c r="ES503" s="1655"/>
      <c r="ET503" s="1655"/>
      <c r="EU503" s="1655"/>
      <c r="EV503" s="1655"/>
      <c r="EW503" s="1655"/>
      <c r="EX503" s="1655"/>
      <c r="EY503" s="1655"/>
      <c r="EZ503" s="1655"/>
      <c r="FA503" s="1655"/>
      <c r="FB503" s="1655"/>
      <c r="FC503" s="1655"/>
      <c r="FD503" s="1655"/>
      <c r="FE503" s="1655"/>
      <c r="FF503" s="1655"/>
      <c r="FG503" s="1655"/>
      <c r="FH503" s="1655"/>
      <c r="FI503" s="1655"/>
    </row>
    <row r="504" spans="1:165">
      <c r="A504" s="1655"/>
      <c r="B504" s="1655"/>
      <c r="C504" s="1655"/>
      <c r="D504" s="1655"/>
      <c r="E504" s="1655"/>
      <c r="F504" s="1655"/>
      <c r="G504" s="1655"/>
      <c r="H504" s="1655"/>
      <c r="I504" s="1655"/>
      <c r="J504" s="1655"/>
      <c r="K504" s="1655"/>
      <c r="L504" s="1655"/>
      <c r="M504" s="1655"/>
      <c r="N504" s="1655"/>
      <c r="O504" s="1655"/>
      <c r="P504" s="1655"/>
      <c r="Q504" s="1655"/>
      <c r="R504" s="1655"/>
      <c r="S504" s="1655"/>
      <c r="T504" s="1655"/>
      <c r="U504" s="1655"/>
      <c r="V504" s="1655"/>
      <c r="W504" s="1655"/>
      <c r="X504" s="1655"/>
      <c r="Y504" s="1655"/>
      <c r="Z504" s="1655"/>
      <c r="AA504" s="1655"/>
      <c r="AB504" s="1655"/>
      <c r="AC504" s="1655"/>
      <c r="AD504" s="1655"/>
      <c r="AE504" s="1655"/>
      <c r="AF504" s="1655"/>
      <c r="AG504" s="1655"/>
      <c r="AH504" s="1655"/>
      <c r="AI504" s="1655"/>
      <c r="AJ504" s="1655"/>
      <c r="AK504" s="1655"/>
      <c r="AL504" s="1655"/>
      <c r="AM504" s="1655"/>
      <c r="AN504" s="1655"/>
      <c r="AO504" s="1655"/>
      <c r="AP504" s="1655"/>
      <c r="AQ504" s="1655"/>
      <c r="AR504" s="1655"/>
      <c r="AS504" s="1655"/>
      <c r="AT504" s="1655"/>
      <c r="AU504" s="1655"/>
      <c r="AV504" s="1655"/>
      <c r="AW504" s="1655"/>
      <c r="AX504" s="1655"/>
      <c r="AY504" s="1655"/>
      <c r="AZ504" s="1655"/>
      <c r="BA504" s="1655"/>
      <c r="BB504" s="1655"/>
      <c r="BC504" s="1655"/>
      <c r="BD504" s="1655"/>
      <c r="BE504" s="1655"/>
      <c r="BF504" s="1655"/>
      <c r="BG504" s="1655"/>
      <c r="BH504" s="1655"/>
      <c r="BI504" s="1655"/>
      <c r="BJ504" s="1655"/>
      <c r="BK504" s="1655"/>
      <c r="BL504" s="1655"/>
      <c r="BM504" s="1655"/>
      <c r="BN504" s="1655"/>
      <c r="BO504" s="1655"/>
      <c r="BP504" s="1655"/>
      <c r="BQ504" s="1655"/>
      <c r="BR504" s="1655"/>
      <c r="BS504" s="1655"/>
      <c r="BT504" s="1655"/>
      <c r="BU504" s="1655"/>
      <c r="BV504" s="1655"/>
      <c r="BW504" s="1655"/>
      <c r="BX504" s="1655"/>
      <c r="BY504" s="1655"/>
      <c r="BZ504" s="1655"/>
      <c r="CA504" s="1655"/>
      <c r="CB504" s="1655"/>
      <c r="CC504" s="1655"/>
      <c r="CD504" s="1655"/>
      <c r="CE504" s="1655"/>
      <c r="CF504" s="1655"/>
      <c r="CG504" s="1655"/>
      <c r="CH504" s="1655"/>
      <c r="CI504" s="1655"/>
      <c r="CJ504" s="1655"/>
      <c r="CK504" s="1655"/>
      <c r="CL504" s="1655"/>
      <c r="CM504" s="1655"/>
      <c r="CN504" s="1655"/>
      <c r="CO504" s="1655"/>
      <c r="CP504" s="1655"/>
      <c r="CQ504" s="1655"/>
      <c r="CR504" s="1655"/>
      <c r="CS504" s="1655"/>
      <c r="CT504" s="1655"/>
      <c r="CU504" s="1655"/>
      <c r="CV504" s="1655"/>
      <c r="CW504" s="1655"/>
      <c r="CX504" s="1655"/>
      <c r="CY504" s="1655"/>
      <c r="CZ504" s="1655"/>
      <c r="DA504" s="1655"/>
      <c r="DB504" s="1655"/>
      <c r="DC504" s="1655"/>
      <c r="DD504" s="1655"/>
      <c r="DE504" s="1655"/>
      <c r="DF504" s="1655"/>
      <c r="DG504" s="1655"/>
      <c r="DH504" s="1655"/>
      <c r="DI504" s="1655"/>
      <c r="DJ504" s="1655"/>
      <c r="DK504" s="1655"/>
      <c r="DL504" s="1655"/>
      <c r="DM504" s="1655"/>
      <c r="DN504" s="1655"/>
      <c r="DO504" s="1655"/>
      <c r="DP504" s="1655"/>
      <c r="DQ504" s="1655"/>
      <c r="DR504" s="1655"/>
      <c r="DS504" s="1655"/>
      <c r="DT504" s="1655"/>
      <c r="DU504" s="1655"/>
      <c r="DV504" s="1655"/>
      <c r="DW504" s="1655"/>
      <c r="DX504" s="1655"/>
      <c r="DY504" s="1655"/>
      <c r="DZ504" s="1655"/>
      <c r="EA504" s="1655"/>
      <c r="EB504" s="1655"/>
      <c r="EC504" s="1655"/>
      <c r="ED504" s="1655"/>
      <c r="EE504" s="1655"/>
      <c r="EF504" s="1655"/>
      <c r="EG504" s="1655"/>
      <c r="EH504" s="1655"/>
      <c r="EI504" s="1655"/>
      <c r="EJ504" s="1655"/>
      <c r="EK504" s="1655"/>
      <c r="EL504" s="1655"/>
      <c r="EM504" s="1655"/>
      <c r="EN504" s="1655"/>
      <c r="EO504" s="1655"/>
      <c r="EP504" s="1655"/>
      <c r="EQ504" s="1655"/>
      <c r="ER504" s="1655"/>
      <c r="ES504" s="1655"/>
      <c r="ET504" s="1655"/>
      <c r="EU504" s="1655"/>
      <c r="EV504" s="1655"/>
      <c r="EW504" s="1655"/>
      <c r="EX504" s="1655"/>
      <c r="EY504" s="1655"/>
      <c r="EZ504" s="1655"/>
      <c r="FA504" s="1655"/>
      <c r="FB504" s="1655"/>
      <c r="FC504" s="1655"/>
      <c r="FD504" s="1655"/>
      <c r="FE504" s="1655"/>
      <c r="FF504" s="1655"/>
      <c r="FG504" s="1655"/>
      <c r="FH504" s="1655"/>
      <c r="FI504" s="1655"/>
    </row>
    <row r="505" spans="1:165">
      <c r="A505" s="1655"/>
      <c r="B505" s="1655"/>
      <c r="C505" s="1655"/>
      <c r="D505" s="1655"/>
      <c r="E505" s="1655"/>
      <c r="F505" s="1655"/>
      <c r="G505" s="1655"/>
      <c r="H505" s="1655"/>
      <c r="I505" s="1655"/>
      <c r="J505" s="1655"/>
      <c r="K505" s="1655"/>
      <c r="L505" s="1655"/>
      <c r="M505" s="1655"/>
      <c r="N505" s="1655"/>
      <c r="O505" s="1655"/>
      <c r="P505" s="1655"/>
      <c r="Q505" s="1655"/>
      <c r="R505" s="1655"/>
      <c r="S505" s="1655"/>
      <c r="T505" s="1655"/>
      <c r="U505" s="1655"/>
      <c r="V505" s="1655"/>
      <c r="W505" s="1655"/>
      <c r="X505" s="1655"/>
      <c r="Y505" s="1655"/>
      <c r="Z505" s="1655"/>
      <c r="AA505" s="1655"/>
      <c r="AB505" s="1655"/>
      <c r="AC505" s="1655"/>
      <c r="AD505" s="1655"/>
      <c r="AE505" s="1655"/>
      <c r="AF505" s="1655"/>
      <c r="AG505" s="1655"/>
      <c r="AH505" s="1655"/>
      <c r="AI505" s="1655"/>
      <c r="AJ505" s="1655"/>
      <c r="AK505" s="1655"/>
      <c r="AL505" s="1655"/>
      <c r="AM505" s="1655"/>
      <c r="AN505" s="1655"/>
      <c r="AO505" s="1655"/>
      <c r="AP505" s="1655"/>
      <c r="AQ505" s="1655"/>
      <c r="AR505" s="1655"/>
      <c r="AS505" s="1655"/>
      <c r="AT505" s="1655"/>
      <c r="AU505" s="1655"/>
      <c r="AV505" s="1655"/>
      <c r="AW505" s="1655"/>
      <c r="AX505" s="1655"/>
      <c r="AY505" s="1655"/>
      <c r="AZ505" s="1655"/>
      <c r="BA505" s="1655"/>
      <c r="BB505" s="1655"/>
      <c r="BC505" s="1655"/>
      <c r="BD505" s="1655"/>
      <c r="BE505" s="1655"/>
      <c r="BF505" s="1655"/>
      <c r="BG505" s="1655"/>
      <c r="BH505" s="1655"/>
      <c r="BI505" s="1655"/>
      <c r="BJ505" s="1655"/>
      <c r="BK505" s="1655"/>
      <c r="BL505" s="1655"/>
      <c r="BM505" s="1655"/>
      <c r="BN505" s="1655"/>
      <c r="BO505" s="1655"/>
      <c r="BP505" s="1655"/>
      <c r="BQ505" s="1655"/>
      <c r="BR505" s="1655"/>
      <c r="BS505" s="1655"/>
      <c r="BT505" s="1655"/>
      <c r="BU505" s="1655"/>
      <c r="BV505" s="1655"/>
      <c r="BW505" s="1655"/>
      <c r="BX505" s="1655"/>
      <c r="BY505" s="1655"/>
      <c r="BZ505" s="1655"/>
      <c r="CA505" s="1655"/>
      <c r="CB505" s="1655"/>
      <c r="CC505" s="1655"/>
      <c r="CD505" s="1655"/>
      <c r="CE505" s="1655"/>
      <c r="CF505" s="1655"/>
      <c r="CG505" s="1655"/>
      <c r="CH505" s="1655"/>
      <c r="CI505" s="1655"/>
      <c r="CJ505" s="1655"/>
      <c r="CK505" s="1655"/>
      <c r="CL505" s="1655"/>
      <c r="CM505" s="1655"/>
      <c r="CN505" s="1655"/>
      <c r="CO505" s="1655"/>
      <c r="CP505" s="1655"/>
      <c r="CQ505" s="1655"/>
      <c r="CR505" s="1655"/>
      <c r="CS505" s="1655"/>
      <c r="CT505" s="1655"/>
      <c r="CU505" s="1655"/>
      <c r="CV505" s="1655"/>
      <c r="CW505" s="1655"/>
      <c r="CX505" s="1655"/>
      <c r="CY505" s="1655"/>
      <c r="CZ505" s="1655"/>
      <c r="DA505" s="1655"/>
      <c r="DB505" s="1655"/>
      <c r="DC505" s="1655"/>
      <c r="DD505" s="1655"/>
      <c r="DE505" s="1655"/>
      <c r="DF505" s="1655"/>
      <c r="DG505" s="1655"/>
      <c r="DH505" s="1655"/>
      <c r="DI505" s="1655"/>
      <c r="DJ505" s="1655"/>
      <c r="DK505" s="1655"/>
      <c r="DL505" s="1655"/>
      <c r="DM505" s="1655"/>
      <c r="DN505" s="1655"/>
      <c r="DO505" s="1655"/>
      <c r="DP505" s="1655"/>
      <c r="DQ505" s="1655"/>
      <c r="DR505" s="1655"/>
      <c r="DS505" s="1655"/>
      <c r="DT505" s="1655"/>
      <c r="DU505" s="1655"/>
      <c r="DV505" s="1655"/>
      <c r="DW505" s="1655"/>
      <c r="DX505" s="1655"/>
      <c r="DY505" s="1655"/>
      <c r="DZ505" s="1655"/>
      <c r="EA505" s="1655"/>
      <c r="EB505" s="1655"/>
      <c r="EC505" s="1655"/>
      <c r="ED505" s="1655"/>
      <c r="EE505" s="1655"/>
      <c r="EF505" s="1655"/>
      <c r="EG505" s="1655"/>
      <c r="EH505" s="1655"/>
      <c r="EI505" s="1655"/>
      <c r="EJ505" s="1655"/>
      <c r="EK505" s="1655"/>
      <c r="EL505" s="1655"/>
      <c r="EM505" s="1655"/>
      <c r="EN505" s="1655"/>
      <c r="EO505" s="1655"/>
      <c r="EP505" s="1655"/>
      <c r="EQ505" s="1655"/>
      <c r="ER505" s="1655"/>
      <c r="ES505" s="1655"/>
      <c r="ET505" s="1655"/>
      <c r="EU505" s="1655"/>
      <c r="EV505" s="1655"/>
      <c r="EW505" s="1655"/>
      <c r="EX505" s="1655"/>
      <c r="EY505" s="1655"/>
      <c r="EZ505" s="1655"/>
      <c r="FA505" s="1655"/>
      <c r="FB505" s="1655"/>
      <c r="FC505" s="1655"/>
      <c r="FD505" s="1655"/>
      <c r="FE505" s="1655"/>
      <c r="FF505" s="1655"/>
      <c r="FG505" s="1655"/>
      <c r="FH505" s="1655"/>
      <c r="FI505" s="1655"/>
    </row>
    <row r="506" spans="1:165">
      <c r="A506" s="1655"/>
      <c r="B506" s="1655"/>
      <c r="C506" s="1655"/>
      <c r="D506" s="1655"/>
      <c r="E506" s="1655"/>
      <c r="F506" s="1655"/>
      <c r="G506" s="1655"/>
      <c r="H506" s="1655"/>
      <c r="I506" s="1655"/>
      <c r="J506" s="1655"/>
      <c r="K506" s="1655"/>
      <c r="L506" s="1655"/>
      <c r="M506" s="1655"/>
      <c r="N506" s="1655"/>
      <c r="O506" s="1655"/>
      <c r="P506" s="1655"/>
      <c r="Q506" s="1655"/>
      <c r="R506" s="1655"/>
      <c r="S506" s="1655"/>
      <c r="T506" s="1655"/>
      <c r="U506" s="1655"/>
      <c r="V506" s="1655"/>
      <c r="W506" s="1655"/>
      <c r="X506" s="1655"/>
      <c r="Y506" s="1655"/>
      <c r="Z506" s="1655"/>
      <c r="AA506" s="1655"/>
      <c r="AB506" s="1655"/>
      <c r="AC506" s="1655"/>
      <c r="AD506" s="1655"/>
      <c r="AE506" s="1655"/>
      <c r="AF506" s="1655"/>
      <c r="AG506" s="1655"/>
      <c r="AH506" s="1655"/>
      <c r="AI506" s="1655"/>
      <c r="AJ506" s="1655"/>
      <c r="AK506" s="1655"/>
      <c r="AL506" s="1655"/>
      <c r="AM506" s="1655"/>
      <c r="AN506" s="1655"/>
      <c r="AO506" s="1655"/>
      <c r="AP506" s="1655"/>
      <c r="AQ506" s="1655"/>
      <c r="AR506" s="1655"/>
      <c r="AS506" s="1655"/>
      <c r="AT506" s="1655"/>
      <c r="AU506" s="1655"/>
      <c r="AV506" s="1655"/>
      <c r="AW506" s="1655"/>
      <c r="AX506" s="1655"/>
      <c r="AY506" s="1655"/>
      <c r="AZ506" s="1655"/>
      <c r="BA506" s="1655"/>
      <c r="BB506" s="1655"/>
      <c r="BC506" s="1655"/>
      <c r="BD506" s="1655"/>
      <c r="BE506" s="1655"/>
      <c r="BF506" s="1655"/>
      <c r="BG506" s="1655"/>
      <c r="BH506" s="1655"/>
      <c r="BI506" s="1655"/>
      <c r="BJ506" s="1655"/>
      <c r="BK506" s="1655"/>
      <c r="BL506" s="1655"/>
      <c r="BM506" s="1655"/>
      <c r="BN506" s="1655"/>
      <c r="BO506" s="1655"/>
      <c r="BP506" s="1655"/>
      <c r="BQ506" s="1655"/>
      <c r="BR506" s="1655"/>
      <c r="BS506" s="1655"/>
      <c r="BT506" s="1655"/>
      <c r="BU506" s="1655"/>
      <c r="BV506" s="1655"/>
      <c r="BW506" s="1655"/>
      <c r="BX506" s="1655"/>
      <c r="BY506" s="1655"/>
      <c r="BZ506" s="1655"/>
      <c r="CA506" s="1655"/>
      <c r="CB506" s="1655"/>
      <c r="CC506" s="1655"/>
      <c r="CD506" s="1655"/>
      <c r="CE506" s="1655"/>
      <c r="CF506" s="1655"/>
      <c r="CG506" s="1655"/>
      <c r="CH506" s="1655"/>
      <c r="CI506" s="1655"/>
      <c r="CJ506" s="1655"/>
      <c r="CK506" s="1655"/>
      <c r="CL506" s="1655"/>
      <c r="CM506" s="1655"/>
      <c r="CN506" s="1655"/>
      <c r="CO506" s="1655"/>
      <c r="CP506" s="1655"/>
      <c r="CQ506" s="1655"/>
      <c r="CR506" s="1655"/>
      <c r="CS506" s="1655"/>
      <c r="CT506" s="1655"/>
      <c r="CU506" s="1655"/>
      <c r="CV506" s="1655"/>
      <c r="CW506" s="1655"/>
      <c r="CX506" s="1655"/>
      <c r="CY506" s="1655"/>
      <c r="CZ506" s="1655"/>
      <c r="DA506" s="1655"/>
      <c r="DB506" s="1655"/>
      <c r="DC506" s="1655"/>
      <c r="DD506" s="1655"/>
      <c r="DE506" s="1655"/>
      <c r="DF506" s="1655"/>
      <c r="DG506" s="1655"/>
      <c r="DH506" s="1655"/>
      <c r="DI506" s="1655"/>
      <c r="DJ506" s="1655"/>
      <c r="DK506" s="1655"/>
      <c r="DL506" s="1655"/>
      <c r="DM506" s="1655"/>
      <c r="DN506" s="1655"/>
      <c r="DO506" s="1655"/>
      <c r="DP506" s="1655"/>
      <c r="DQ506" s="1655"/>
      <c r="DR506" s="1655"/>
      <c r="DS506" s="1655"/>
      <c r="DT506" s="1655"/>
      <c r="DU506" s="1655"/>
      <c r="DV506" s="1655"/>
      <c r="DW506" s="1655"/>
      <c r="DX506" s="1655"/>
      <c r="DY506" s="1655"/>
      <c r="DZ506" s="1655"/>
      <c r="EA506" s="1655"/>
      <c r="EB506" s="1655"/>
      <c r="EC506" s="1655"/>
      <c r="ED506" s="1655"/>
      <c r="EE506" s="1655"/>
      <c r="EF506" s="1655"/>
      <c r="EG506" s="1655"/>
      <c r="EH506" s="1655"/>
      <c r="EI506" s="1655"/>
      <c r="EJ506" s="1655"/>
      <c r="EK506" s="1655"/>
      <c r="EL506" s="1655"/>
      <c r="EM506" s="1655"/>
      <c r="EN506" s="1655"/>
      <c r="EO506" s="1655"/>
      <c r="EP506" s="1655"/>
      <c r="EQ506" s="1655"/>
      <c r="ER506" s="1655"/>
      <c r="ES506" s="1655"/>
      <c r="ET506" s="1655"/>
      <c r="EU506" s="1655"/>
      <c r="EV506" s="1655"/>
      <c r="EW506" s="1655"/>
      <c r="EX506" s="1655"/>
      <c r="EY506" s="1655"/>
      <c r="EZ506" s="1655"/>
      <c r="FA506" s="1655"/>
      <c r="FB506" s="1655"/>
      <c r="FC506" s="1655"/>
      <c r="FD506" s="1655"/>
      <c r="FE506" s="1655"/>
      <c r="FF506" s="1655"/>
      <c r="FG506" s="1655"/>
      <c r="FH506" s="1655"/>
      <c r="FI506" s="1655"/>
    </row>
    <row r="507" spans="1:165">
      <c r="A507" s="1655"/>
      <c r="B507" s="1655"/>
      <c r="C507" s="1655"/>
      <c r="D507" s="1655"/>
      <c r="E507" s="1655"/>
      <c r="F507" s="1655"/>
      <c r="G507" s="1655"/>
      <c r="H507" s="1655"/>
      <c r="I507" s="1655"/>
      <c r="J507" s="1655"/>
      <c r="K507" s="1655"/>
      <c r="L507" s="1655"/>
      <c r="M507" s="1655"/>
      <c r="N507" s="1655"/>
      <c r="O507" s="1655"/>
      <c r="P507" s="1655"/>
      <c r="Q507" s="1655"/>
      <c r="R507" s="1655"/>
      <c r="S507" s="1655"/>
      <c r="T507" s="1655"/>
      <c r="U507" s="1655"/>
      <c r="V507" s="1655"/>
      <c r="W507" s="1655"/>
      <c r="X507" s="1655"/>
      <c r="Y507" s="1655"/>
      <c r="Z507" s="1655"/>
      <c r="AA507" s="1655"/>
      <c r="AB507" s="1655"/>
      <c r="AC507" s="1655"/>
      <c r="AD507" s="1655"/>
      <c r="AE507" s="1655"/>
      <c r="AF507" s="1655"/>
      <c r="AG507" s="1655"/>
      <c r="AH507" s="1655"/>
      <c r="AI507" s="1655"/>
      <c r="AJ507" s="1655"/>
      <c r="AK507" s="1655"/>
      <c r="AL507" s="1655"/>
      <c r="AM507" s="1655"/>
      <c r="AN507" s="1655"/>
      <c r="AO507" s="1655"/>
      <c r="AP507" s="1655"/>
      <c r="AQ507" s="1655"/>
      <c r="AR507" s="1655"/>
      <c r="AS507" s="1655"/>
      <c r="AT507" s="1655"/>
      <c r="AU507" s="1655"/>
      <c r="AV507" s="1655"/>
      <c r="AW507" s="1655"/>
      <c r="AX507" s="1655"/>
      <c r="AY507" s="1655"/>
      <c r="AZ507" s="1655"/>
      <c r="BA507" s="1655"/>
      <c r="BB507" s="1655"/>
      <c r="BC507" s="1655"/>
      <c r="BD507" s="1655"/>
      <c r="BE507" s="1655"/>
      <c r="BF507" s="1655"/>
      <c r="BG507" s="1655"/>
      <c r="BH507" s="1655"/>
      <c r="BI507" s="1655"/>
      <c r="BJ507" s="1655"/>
      <c r="BK507" s="1655"/>
      <c r="BL507" s="1655"/>
      <c r="BM507" s="1655"/>
      <c r="BN507" s="1655"/>
      <c r="BO507" s="1655"/>
      <c r="BP507" s="1655"/>
      <c r="BQ507" s="1655"/>
      <c r="BR507" s="1655"/>
      <c r="BS507" s="1655"/>
      <c r="BT507" s="1655"/>
      <c r="BU507" s="1655"/>
      <c r="BV507" s="1655"/>
      <c r="BW507" s="1655"/>
      <c r="BX507" s="1655"/>
      <c r="BY507" s="1655"/>
      <c r="BZ507" s="1655"/>
      <c r="CA507" s="1655"/>
      <c r="CB507" s="1655"/>
      <c r="CC507" s="1655"/>
      <c r="CD507" s="1655"/>
      <c r="CE507" s="1655"/>
      <c r="CF507" s="1655"/>
      <c r="CG507" s="1655"/>
      <c r="CH507" s="1655"/>
      <c r="CI507" s="1655"/>
      <c r="CJ507" s="1655"/>
      <c r="CK507" s="1655"/>
      <c r="CL507" s="1655"/>
      <c r="CM507" s="1655"/>
      <c r="CN507" s="1655"/>
      <c r="CO507" s="1655"/>
      <c r="CP507" s="1655"/>
      <c r="CQ507" s="1655"/>
      <c r="CR507" s="1655"/>
      <c r="CS507" s="1655"/>
      <c r="CT507" s="1655"/>
      <c r="CU507" s="1655"/>
      <c r="CV507" s="1655"/>
      <c r="CW507" s="1655"/>
      <c r="CX507" s="1655"/>
      <c r="CY507" s="1655"/>
      <c r="CZ507" s="1655"/>
      <c r="DA507" s="1655"/>
      <c r="DB507" s="1655"/>
      <c r="DC507" s="1655"/>
      <c r="DD507" s="1655"/>
      <c r="DE507" s="1655"/>
      <c r="DF507" s="1655"/>
      <c r="DG507" s="1655"/>
      <c r="DH507" s="1655"/>
      <c r="DI507" s="1655"/>
      <c r="DJ507" s="1655"/>
      <c r="DK507" s="1655"/>
      <c r="DL507" s="1655"/>
      <c r="DM507" s="1655"/>
      <c r="DN507" s="1655"/>
      <c r="DO507" s="1655"/>
      <c r="DP507" s="1655"/>
      <c r="DQ507" s="1655"/>
      <c r="DR507" s="1655"/>
      <c r="DS507" s="1655"/>
      <c r="DT507" s="1655"/>
      <c r="DU507" s="1655"/>
      <c r="DV507" s="1655"/>
      <c r="DW507" s="1655"/>
      <c r="DX507" s="1655"/>
      <c r="DY507" s="1655"/>
      <c r="DZ507" s="1655"/>
      <c r="EA507" s="1655"/>
      <c r="EB507" s="1655"/>
      <c r="EC507" s="1655"/>
      <c r="ED507" s="1655"/>
      <c r="EE507" s="1655"/>
      <c r="EF507" s="1655"/>
      <c r="EG507" s="1655"/>
      <c r="EH507" s="1655"/>
      <c r="EI507" s="1655"/>
      <c r="EJ507" s="1655"/>
      <c r="EK507" s="1655"/>
      <c r="EL507" s="1655"/>
      <c r="EM507" s="1655"/>
      <c r="EN507" s="1655"/>
      <c r="EO507" s="1655"/>
      <c r="EP507" s="1655"/>
      <c r="EQ507" s="1655"/>
      <c r="ER507" s="1655"/>
      <c r="ES507" s="1655"/>
      <c r="ET507" s="1655"/>
      <c r="EU507" s="1655"/>
      <c r="EV507" s="1655"/>
      <c r="EW507" s="1655"/>
      <c r="EX507" s="1655"/>
      <c r="EY507" s="1655"/>
      <c r="EZ507" s="1655"/>
      <c r="FA507" s="1655"/>
      <c r="FB507" s="1655"/>
      <c r="FC507" s="1655"/>
      <c r="FD507" s="1655"/>
      <c r="FE507" s="1655"/>
      <c r="FF507" s="1655"/>
      <c r="FG507" s="1655"/>
      <c r="FH507" s="1655"/>
      <c r="FI507" s="1655"/>
    </row>
    <row r="508" spans="1:165">
      <c r="A508" s="1655"/>
      <c r="B508" s="1655"/>
      <c r="C508" s="1655"/>
      <c r="D508" s="1655"/>
      <c r="E508" s="1655"/>
      <c r="F508" s="1655"/>
      <c r="G508" s="1655"/>
      <c r="H508" s="1655"/>
      <c r="I508" s="1655"/>
      <c r="J508" s="1655"/>
      <c r="K508" s="1655"/>
      <c r="L508" s="1655"/>
      <c r="M508" s="1655"/>
      <c r="N508" s="1655"/>
      <c r="O508" s="1655"/>
      <c r="P508" s="1655"/>
      <c r="Q508" s="1655"/>
      <c r="R508" s="1655"/>
      <c r="S508" s="1655"/>
      <c r="T508" s="1655"/>
      <c r="U508" s="1655"/>
      <c r="V508" s="1655"/>
      <c r="W508" s="1655"/>
      <c r="X508" s="1655"/>
      <c r="Y508" s="1655"/>
      <c r="Z508" s="1655"/>
      <c r="AA508" s="1655"/>
      <c r="AB508" s="1655"/>
      <c r="AC508" s="1655"/>
      <c r="AD508" s="1655"/>
      <c r="AE508" s="1655"/>
      <c r="AF508" s="1655"/>
      <c r="AG508" s="1655"/>
      <c r="AH508" s="1655"/>
      <c r="AI508" s="1655"/>
      <c r="AJ508" s="1655"/>
      <c r="AK508" s="1655"/>
      <c r="AL508" s="1655"/>
      <c r="AM508" s="1655"/>
      <c r="AN508" s="1655"/>
      <c r="AO508" s="1655"/>
      <c r="AP508" s="1655"/>
      <c r="AQ508" s="1655"/>
      <c r="AR508" s="1655"/>
      <c r="AS508" s="1655"/>
      <c r="AT508" s="1655"/>
      <c r="AU508" s="1655"/>
      <c r="AV508" s="1655"/>
      <c r="AW508" s="1655"/>
      <c r="AX508" s="1655"/>
      <c r="AY508" s="1655"/>
      <c r="AZ508" s="1655"/>
      <c r="BA508" s="1655"/>
      <c r="BB508" s="1655"/>
      <c r="BC508" s="1655"/>
      <c r="BD508" s="1655"/>
      <c r="BE508" s="1655"/>
      <c r="BF508" s="1655"/>
      <c r="BG508" s="1655"/>
      <c r="BH508" s="1655"/>
      <c r="BI508" s="1655"/>
      <c r="BJ508" s="1655"/>
      <c r="BK508" s="1655"/>
      <c r="BL508" s="1655"/>
      <c r="BM508" s="1655"/>
      <c r="BN508" s="1655"/>
      <c r="BO508" s="1655"/>
      <c r="BP508" s="1655"/>
      <c r="BQ508" s="1655"/>
      <c r="BR508" s="1655"/>
      <c r="BS508" s="1655"/>
      <c r="BT508" s="1655"/>
      <c r="BU508" s="1655"/>
      <c r="BV508" s="1655"/>
      <c r="BW508" s="1655"/>
      <c r="BX508" s="1655"/>
      <c r="BY508" s="1655"/>
      <c r="BZ508" s="1655"/>
      <c r="CA508" s="1655"/>
      <c r="CB508" s="1655"/>
      <c r="CC508" s="1655"/>
      <c r="CD508" s="1655"/>
      <c r="CE508" s="1655"/>
      <c r="CF508" s="1655"/>
      <c r="CG508" s="1655"/>
      <c r="CH508" s="1655"/>
      <c r="CI508" s="1655"/>
      <c r="CJ508" s="1655"/>
      <c r="CK508" s="1655"/>
      <c r="CL508" s="1655"/>
      <c r="CM508" s="1655"/>
      <c r="CN508" s="1655"/>
      <c r="CO508" s="1655"/>
      <c r="CP508" s="1655"/>
      <c r="CQ508" s="1655"/>
      <c r="CR508" s="1655"/>
      <c r="CS508" s="1655"/>
      <c r="CT508" s="1655"/>
      <c r="CU508" s="1655"/>
      <c r="CV508" s="1655"/>
      <c r="CW508" s="1655"/>
      <c r="CX508" s="1655"/>
      <c r="CY508" s="1655"/>
      <c r="CZ508" s="1655"/>
      <c r="DA508" s="1655"/>
      <c r="DB508" s="1655"/>
      <c r="DC508" s="1655"/>
      <c r="DD508" s="1655"/>
      <c r="DE508" s="1655"/>
      <c r="DF508" s="1655"/>
      <c r="DG508" s="1655"/>
      <c r="DH508" s="1655"/>
      <c r="DI508" s="1655"/>
      <c r="DJ508" s="1655"/>
      <c r="DK508" s="1655"/>
      <c r="DL508" s="1655"/>
      <c r="DM508" s="1655"/>
      <c r="DN508" s="1655"/>
      <c r="DO508" s="1655"/>
      <c r="DP508" s="1655"/>
      <c r="DQ508" s="1655"/>
      <c r="DR508" s="1655"/>
      <c r="DS508" s="1655"/>
      <c r="DT508" s="1655"/>
      <c r="DU508" s="1655"/>
      <c r="DV508" s="1655"/>
      <c r="DW508" s="1655"/>
      <c r="DX508" s="1655"/>
      <c r="DY508" s="1655"/>
      <c r="DZ508" s="1655"/>
      <c r="EA508" s="1655"/>
      <c r="EB508" s="1655"/>
      <c r="EC508" s="1655"/>
      <c r="ED508" s="1655"/>
      <c r="EE508" s="1655"/>
      <c r="EF508" s="1655"/>
      <c r="EG508" s="1655"/>
      <c r="EH508" s="1655"/>
      <c r="EI508" s="1655"/>
      <c r="EJ508" s="1655"/>
      <c r="EK508" s="1655"/>
      <c r="EL508" s="1655"/>
      <c r="EM508" s="1655"/>
      <c r="EN508" s="1655"/>
      <c r="EO508" s="1655"/>
      <c r="EP508" s="1655"/>
      <c r="EQ508" s="1655"/>
      <c r="ER508" s="1655"/>
      <c r="ES508" s="1655"/>
      <c r="ET508" s="1655"/>
      <c r="EU508" s="1655"/>
      <c r="EV508" s="1655"/>
      <c r="EW508" s="1655"/>
      <c r="EX508" s="1655"/>
      <c r="EY508" s="1655"/>
      <c r="EZ508" s="1655"/>
      <c r="FA508" s="1655"/>
      <c r="FB508" s="1655"/>
      <c r="FC508" s="1655"/>
      <c r="FD508" s="1655"/>
      <c r="FE508" s="1655"/>
      <c r="FF508" s="1655"/>
      <c r="FG508" s="1655"/>
      <c r="FH508" s="1655"/>
      <c r="FI508" s="1655"/>
    </row>
    <row r="509" spans="1:165">
      <c r="A509" s="1655"/>
      <c r="B509" s="1655"/>
      <c r="C509" s="1655"/>
      <c r="D509" s="1655"/>
      <c r="E509" s="1655"/>
      <c r="F509" s="1655"/>
      <c r="G509" s="1655"/>
      <c r="H509" s="1655"/>
      <c r="I509" s="1655"/>
      <c r="J509" s="1655"/>
      <c r="K509" s="1655"/>
      <c r="L509" s="1655"/>
      <c r="M509" s="1655"/>
      <c r="N509" s="1655"/>
      <c r="O509" s="1655"/>
      <c r="P509" s="1655"/>
      <c r="Q509" s="1655"/>
      <c r="R509" s="1655"/>
      <c r="S509" s="1655"/>
      <c r="T509" s="1655"/>
      <c r="U509" s="1655"/>
      <c r="V509" s="1655"/>
      <c r="W509" s="1655"/>
      <c r="X509" s="1655"/>
      <c r="Y509" s="1655"/>
      <c r="Z509" s="1655"/>
      <c r="AA509" s="1655"/>
      <c r="AB509" s="1655"/>
      <c r="AC509" s="1655"/>
      <c r="AD509" s="1655"/>
      <c r="AE509" s="1655"/>
      <c r="AF509" s="1655"/>
      <c r="AG509" s="1655"/>
      <c r="AH509" s="1655"/>
      <c r="AI509" s="1655"/>
      <c r="AJ509" s="1655"/>
      <c r="AK509" s="1655"/>
      <c r="AL509" s="1655"/>
      <c r="AM509" s="1655"/>
      <c r="AN509" s="1655"/>
      <c r="AO509" s="1655"/>
      <c r="AP509" s="1655"/>
      <c r="AQ509" s="1655"/>
      <c r="AR509" s="1655"/>
      <c r="AS509" s="1655"/>
      <c r="AT509" s="1655"/>
      <c r="AU509" s="1655"/>
      <c r="AV509" s="1655"/>
      <c r="AW509" s="1655"/>
      <c r="AX509" s="1655"/>
      <c r="AY509" s="1655"/>
      <c r="AZ509" s="1655"/>
      <c r="BA509" s="1655"/>
      <c r="BB509" s="1655"/>
      <c r="BC509" s="1655"/>
      <c r="BD509" s="1655"/>
      <c r="BE509" s="1655"/>
      <c r="BF509" s="1655"/>
      <c r="BG509" s="1655"/>
      <c r="BH509" s="1655"/>
      <c r="BI509" s="1655"/>
      <c r="BJ509" s="1655"/>
      <c r="BK509" s="1655"/>
      <c r="BL509" s="1655"/>
      <c r="BM509" s="1655"/>
      <c r="BN509" s="1655"/>
      <c r="BO509" s="1655"/>
      <c r="BP509" s="1655"/>
      <c r="BQ509" s="1655"/>
      <c r="BR509" s="1655"/>
      <c r="BS509" s="1655"/>
      <c r="BT509" s="1655"/>
      <c r="BU509" s="1655"/>
      <c r="BV509" s="1655"/>
      <c r="BW509" s="1655"/>
      <c r="BX509" s="1655"/>
      <c r="BY509" s="1655"/>
      <c r="BZ509" s="1655"/>
      <c r="CA509" s="1655"/>
      <c r="CB509" s="1655"/>
      <c r="CC509" s="1655"/>
      <c r="CD509" s="1655"/>
      <c r="CE509" s="1655"/>
      <c r="CF509" s="1655"/>
      <c r="CG509" s="1655"/>
      <c r="CH509" s="1655"/>
      <c r="CI509" s="1655"/>
      <c r="CJ509" s="1655"/>
      <c r="CK509" s="1655"/>
      <c r="CL509" s="1655"/>
      <c r="CM509" s="1655"/>
      <c r="CN509" s="1655"/>
      <c r="CO509" s="1655"/>
      <c r="CP509" s="1655"/>
      <c r="CQ509" s="1655"/>
      <c r="CR509" s="1655"/>
      <c r="CS509" s="1655"/>
      <c r="CT509" s="1655"/>
      <c r="CU509" s="1655"/>
      <c r="CV509" s="1655"/>
      <c r="CW509" s="1655"/>
      <c r="CX509" s="1655"/>
      <c r="CY509" s="1655"/>
      <c r="CZ509" s="1655"/>
      <c r="DA509" s="1655"/>
      <c r="DB509" s="1655"/>
      <c r="DC509" s="1655"/>
      <c r="DD509" s="1655"/>
      <c r="DE509" s="1655"/>
      <c r="DF509" s="1655"/>
      <c r="DG509" s="1655"/>
      <c r="DH509" s="1655"/>
      <c r="DI509" s="1655"/>
      <c r="DJ509" s="1655"/>
      <c r="DK509" s="1655"/>
      <c r="DL509" s="1655"/>
      <c r="DM509" s="1655"/>
      <c r="DN509" s="1655"/>
      <c r="DO509" s="1655"/>
      <c r="DP509" s="1655"/>
      <c r="DQ509" s="1655"/>
      <c r="DR509" s="1655"/>
      <c r="DS509" s="1655"/>
      <c r="DT509" s="1655"/>
      <c r="DU509" s="1655"/>
      <c r="DV509" s="1655"/>
      <c r="DW509" s="1655"/>
      <c r="DX509" s="1655"/>
      <c r="DY509" s="1655"/>
      <c r="DZ509" s="1655"/>
      <c r="EA509" s="1655"/>
      <c r="EB509" s="1655"/>
      <c r="EC509" s="1655"/>
      <c r="ED509" s="1655"/>
      <c r="EE509" s="1655"/>
      <c r="EF509" s="1655"/>
      <c r="EG509" s="1655"/>
      <c r="EH509" s="1655"/>
      <c r="EI509" s="1655"/>
      <c r="EJ509" s="1655"/>
      <c r="EK509" s="1655"/>
      <c r="EL509" s="1655"/>
      <c r="EM509" s="1655"/>
      <c r="EN509" s="1655"/>
      <c r="EO509" s="1655"/>
      <c r="EP509" s="1655"/>
      <c r="EQ509" s="1655"/>
      <c r="ER509" s="1655"/>
      <c r="ES509" s="1655"/>
      <c r="ET509" s="1655"/>
      <c r="EU509" s="1655"/>
      <c r="EV509" s="1655"/>
      <c r="EW509" s="1655"/>
      <c r="EX509" s="1655"/>
      <c r="EY509" s="1655"/>
      <c r="EZ509" s="1655"/>
      <c r="FA509" s="1655"/>
      <c r="FB509" s="1655"/>
      <c r="FC509" s="1655"/>
      <c r="FD509" s="1655"/>
      <c r="FE509" s="1655"/>
      <c r="FF509" s="1655"/>
      <c r="FG509" s="1655"/>
      <c r="FH509" s="1655"/>
      <c r="FI509" s="1655"/>
    </row>
    <row r="510" spans="1:165">
      <c r="A510" s="1655"/>
      <c r="B510" s="1655"/>
      <c r="C510" s="1655"/>
      <c r="D510" s="1655"/>
      <c r="E510" s="1655"/>
      <c r="F510" s="1655"/>
      <c r="G510" s="1655"/>
      <c r="H510" s="1655"/>
      <c r="I510" s="1655"/>
      <c r="J510" s="1655"/>
      <c r="K510" s="1655"/>
      <c r="L510" s="1655"/>
      <c r="M510" s="1655"/>
      <c r="N510" s="1655"/>
      <c r="O510" s="1655"/>
      <c r="P510" s="1655"/>
      <c r="Q510" s="1655"/>
      <c r="R510" s="1655"/>
      <c r="S510" s="1655"/>
      <c r="T510" s="1655"/>
      <c r="U510" s="1655"/>
      <c r="V510" s="1655"/>
      <c r="W510" s="1655"/>
      <c r="X510" s="1655"/>
      <c r="Y510" s="1655"/>
      <c r="Z510" s="1655"/>
      <c r="AA510" s="1655"/>
      <c r="AB510" s="1655"/>
      <c r="AC510" s="1655"/>
      <c r="AD510" s="1655"/>
      <c r="AE510" s="1655"/>
      <c r="AF510" s="1655"/>
      <c r="AG510" s="1655"/>
      <c r="AH510" s="1655"/>
      <c r="AI510" s="1655"/>
      <c r="AJ510" s="1655"/>
      <c r="AK510" s="1655"/>
      <c r="AL510" s="1655"/>
      <c r="AM510" s="1655"/>
      <c r="AN510" s="1655"/>
      <c r="AO510" s="1655"/>
      <c r="AP510" s="1655"/>
      <c r="AQ510" s="1655"/>
      <c r="AR510" s="1655"/>
      <c r="AS510" s="1655"/>
      <c r="AT510" s="1655"/>
      <c r="AU510" s="1655"/>
      <c r="AV510" s="1655"/>
      <c r="AW510" s="1655"/>
      <c r="AX510" s="1655"/>
      <c r="AY510" s="1655"/>
      <c r="AZ510" s="1655"/>
      <c r="BA510" s="1655"/>
      <c r="BB510" s="1655"/>
      <c r="BC510" s="1655"/>
      <c r="BD510" s="1655"/>
      <c r="BE510" s="1655"/>
      <c r="BF510" s="1655"/>
      <c r="BG510" s="1655"/>
      <c r="BH510" s="1655"/>
      <c r="BI510" s="1655"/>
      <c r="BJ510" s="1655"/>
      <c r="BK510" s="1655"/>
      <c r="BL510" s="1655"/>
      <c r="BM510" s="1655"/>
      <c r="BN510" s="1655"/>
      <c r="BO510" s="1655"/>
      <c r="BP510" s="1655"/>
      <c r="BQ510" s="1655"/>
      <c r="BR510" s="1655"/>
      <c r="BS510" s="1655"/>
      <c r="BT510" s="1655"/>
      <c r="BU510" s="1655"/>
      <c r="BV510" s="1655"/>
      <c r="BW510" s="1655"/>
      <c r="BX510" s="1655"/>
      <c r="BY510" s="1655"/>
      <c r="BZ510" s="1655"/>
      <c r="CA510" s="1655"/>
      <c r="CB510" s="1655"/>
      <c r="CC510" s="1655"/>
      <c r="CD510" s="1655"/>
      <c r="CE510" s="1655"/>
      <c r="CF510" s="1655"/>
      <c r="CG510" s="1655"/>
      <c r="CH510" s="1655"/>
      <c r="CI510" s="1655"/>
      <c r="CJ510" s="1655"/>
      <c r="CK510" s="1655"/>
      <c r="CL510" s="1655"/>
      <c r="CM510" s="1655"/>
      <c r="CN510" s="1655"/>
      <c r="CO510" s="1655"/>
      <c r="CP510" s="1655"/>
      <c r="CQ510" s="1655"/>
      <c r="CR510" s="1655"/>
      <c r="CS510" s="1655"/>
      <c r="CT510" s="1655"/>
      <c r="CU510" s="1655"/>
      <c r="CV510" s="1655"/>
      <c r="CW510" s="1655"/>
      <c r="CX510" s="1655"/>
      <c r="CY510" s="1655"/>
      <c r="CZ510" s="1655"/>
      <c r="DA510" s="1655"/>
      <c r="DB510" s="1655"/>
      <c r="DC510" s="1655"/>
      <c r="DD510" s="1655"/>
      <c r="DE510" s="1655"/>
      <c r="DF510" s="1655"/>
      <c r="DG510" s="1655"/>
      <c r="DH510" s="1655"/>
      <c r="DI510" s="1655"/>
      <c r="DJ510" s="1655"/>
      <c r="DK510" s="1655"/>
      <c r="DL510" s="1655"/>
      <c r="DM510" s="1655"/>
      <c r="DN510" s="1655"/>
      <c r="DO510" s="1655"/>
      <c r="DP510" s="1655"/>
      <c r="DQ510" s="1655"/>
      <c r="DR510" s="1655"/>
      <c r="DS510" s="1655"/>
      <c r="DT510" s="1655"/>
      <c r="DU510" s="1655"/>
      <c r="DV510" s="1655"/>
      <c r="DW510" s="1655"/>
      <c r="DX510" s="1655"/>
      <c r="DY510" s="1655"/>
      <c r="DZ510" s="1655"/>
      <c r="EA510" s="1655"/>
      <c r="EB510" s="1655"/>
      <c r="EC510" s="1655"/>
      <c r="ED510" s="1655"/>
      <c r="EE510" s="1655"/>
      <c r="EF510" s="1655"/>
      <c r="EG510" s="1655"/>
      <c r="EH510" s="1655"/>
      <c r="EI510" s="1655"/>
      <c r="EJ510" s="1655"/>
      <c r="EK510" s="1655"/>
      <c r="EL510" s="1655"/>
      <c r="EM510" s="1655"/>
      <c r="EN510" s="1655"/>
      <c r="EO510" s="1655"/>
      <c r="EP510" s="1655"/>
      <c r="EQ510" s="1655"/>
      <c r="ER510" s="1655"/>
      <c r="ES510" s="1655"/>
      <c r="ET510" s="1655"/>
      <c r="EU510" s="1655"/>
      <c r="EV510" s="1655"/>
      <c r="EW510" s="1655"/>
      <c r="EX510" s="1655"/>
      <c r="EY510" s="1655"/>
      <c r="EZ510" s="1655"/>
      <c r="FA510" s="1655"/>
      <c r="FB510" s="1655"/>
      <c r="FC510" s="1655"/>
      <c r="FD510" s="1655"/>
      <c r="FE510" s="1655"/>
      <c r="FF510" s="1655"/>
      <c r="FG510" s="1655"/>
      <c r="FH510" s="1655"/>
      <c r="FI510" s="1655"/>
    </row>
    <row r="511" spans="1:165">
      <c r="A511" s="1655"/>
      <c r="B511" s="1655"/>
      <c r="C511" s="1655"/>
      <c r="D511" s="1655"/>
      <c r="E511" s="1655"/>
      <c r="F511" s="1655"/>
      <c r="G511" s="1655"/>
      <c r="H511" s="1655"/>
      <c r="I511" s="1655"/>
      <c r="J511" s="1655"/>
      <c r="K511" s="1655"/>
      <c r="L511" s="1655"/>
      <c r="M511" s="1655"/>
      <c r="N511" s="1655"/>
      <c r="O511" s="1655"/>
      <c r="P511" s="1655"/>
      <c r="Q511" s="1655"/>
      <c r="R511" s="1655"/>
      <c r="S511" s="1655"/>
      <c r="T511" s="1655"/>
      <c r="U511" s="1655"/>
      <c r="V511" s="1655"/>
      <c r="W511" s="1655"/>
      <c r="X511" s="1655"/>
      <c r="Y511" s="1655"/>
      <c r="Z511" s="1655"/>
      <c r="AA511" s="1655"/>
      <c r="AB511" s="1655"/>
      <c r="AC511" s="1655"/>
      <c r="AD511" s="1655"/>
      <c r="AE511" s="1655"/>
      <c r="AF511" s="1655"/>
      <c r="AG511" s="1655"/>
      <c r="AH511" s="1655"/>
      <c r="AI511" s="1655"/>
      <c r="AJ511" s="1655"/>
      <c r="AK511" s="1655"/>
      <c r="AL511" s="1655"/>
      <c r="AM511" s="1655"/>
      <c r="AN511" s="1655"/>
      <c r="AO511" s="1655"/>
      <c r="AP511" s="1655"/>
      <c r="AQ511" s="1655"/>
      <c r="AR511" s="1655"/>
      <c r="AS511" s="1655"/>
      <c r="AT511" s="1655"/>
      <c r="AU511" s="1655"/>
      <c r="AV511" s="1655"/>
      <c r="AW511" s="1655"/>
      <c r="AX511" s="1655"/>
      <c r="AY511" s="1655"/>
      <c r="AZ511" s="1655"/>
      <c r="BA511" s="1655"/>
      <c r="BB511" s="1655"/>
      <c r="BC511" s="1655"/>
      <c r="BD511" s="1655"/>
      <c r="BE511" s="1655"/>
      <c r="BF511" s="1655"/>
      <c r="BG511" s="1655"/>
      <c r="BH511" s="1655"/>
      <c r="BI511" s="1655"/>
      <c r="BJ511" s="1655"/>
      <c r="BK511" s="1655"/>
      <c r="BL511" s="1655"/>
      <c r="BM511" s="1655"/>
      <c r="BN511" s="1655"/>
      <c r="BO511" s="1655"/>
      <c r="BP511" s="1655"/>
      <c r="BQ511" s="1655"/>
      <c r="BR511" s="1655"/>
      <c r="BS511" s="1655"/>
      <c r="BT511" s="1655"/>
      <c r="BU511" s="1655"/>
      <c r="BV511" s="1655"/>
      <c r="BW511" s="1655"/>
      <c r="BX511" s="1655"/>
      <c r="BY511" s="1655"/>
      <c r="BZ511" s="1655"/>
      <c r="CA511" s="1655"/>
      <c r="CB511" s="1655"/>
      <c r="CC511" s="1655"/>
      <c r="CD511" s="1655"/>
      <c r="CE511" s="1655"/>
      <c r="CF511" s="1655"/>
      <c r="CG511" s="1655"/>
      <c r="CH511" s="1655"/>
      <c r="CI511" s="1655"/>
      <c r="CJ511" s="1655"/>
      <c r="CK511" s="1655"/>
      <c r="CL511" s="1655"/>
      <c r="CM511" s="1655"/>
      <c r="CN511" s="1655"/>
      <c r="CO511" s="1655"/>
      <c r="CP511" s="1655"/>
      <c r="CQ511" s="1655"/>
      <c r="CR511" s="1655"/>
      <c r="CS511" s="1655"/>
      <c r="CT511" s="1655"/>
      <c r="CU511" s="1655"/>
      <c r="CV511" s="1655"/>
      <c r="CW511" s="1655"/>
      <c r="CX511" s="1655"/>
      <c r="CY511" s="1655"/>
      <c r="CZ511" s="1655"/>
      <c r="DA511" s="1655"/>
      <c r="DB511" s="1655"/>
      <c r="DC511" s="1655"/>
      <c r="DD511" s="1655"/>
      <c r="DE511" s="1655"/>
      <c r="DF511" s="1655"/>
      <c r="DG511" s="1655"/>
      <c r="DH511" s="1655"/>
      <c r="DI511" s="1655"/>
      <c r="DJ511" s="1655"/>
      <c r="DK511" s="1655"/>
      <c r="DL511" s="1655"/>
      <c r="DM511" s="1655"/>
      <c r="DN511" s="1655"/>
      <c r="DO511" s="1655"/>
      <c r="DP511" s="1655"/>
      <c r="DQ511" s="1655"/>
      <c r="DR511" s="1655"/>
      <c r="DS511" s="1655"/>
      <c r="DT511" s="1655"/>
      <c r="DU511" s="1655"/>
      <c r="DV511" s="1655"/>
      <c r="DW511" s="1655"/>
      <c r="DX511" s="1655"/>
      <c r="DY511" s="1655"/>
      <c r="DZ511" s="1655"/>
      <c r="EA511" s="1655"/>
      <c r="EB511" s="1655"/>
      <c r="EC511" s="1655"/>
      <c r="ED511" s="1655"/>
      <c r="EE511" s="1655"/>
      <c r="EF511" s="1655"/>
      <c r="EG511" s="1655"/>
      <c r="EH511" s="1655"/>
      <c r="EI511" s="1655"/>
      <c r="EJ511" s="1655"/>
      <c r="EK511" s="1655"/>
      <c r="EL511" s="1655"/>
      <c r="EM511" s="1655"/>
      <c r="EN511" s="1655"/>
      <c r="EO511" s="1655"/>
      <c r="EP511" s="1655"/>
      <c r="EQ511" s="1655"/>
      <c r="ER511" s="1655"/>
      <c r="ES511" s="1655"/>
      <c r="ET511" s="1655"/>
      <c r="EU511" s="1655"/>
      <c r="EV511" s="1655"/>
      <c r="EW511" s="1655"/>
      <c r="EX511" s="1655"/>
      <c r="EY511" s="1655"/>
      <c r="EZ511" s="1655"/>
      <c r="FA511" s="1655"/>
      <c r="FB511" s="1655"/>
      <c r="FC511" s="1655"/>
      <c r="FD511" s="1655"/>
      <c r="FE511" s="1655"/>
      <c r="FF511" s="1655"/>
      <c r="FG511" s="1655"/>
      <c r="FH511" s="1655"/>
      <c r="FI511" s="1655"/>
    </row>
    <row r="512" spans="1:165">
      <c r="A512" s="1655"/>
      <c r="B512" s="1655"/>
      <c r="C512" s="1655"/>
      <c r="D512" s="1655"/>
      <c r="E512" s="1655"/>
      <c r="F512" s="1655"/>
      <c r="G512" s="1655"/>
      <c r="H512" s="1655"/>
      <c r="I512" s="1655"/>
      <c r="J512" s="1655"/>
      <c r="K512" s="1655"/>
      <c r="L512" s="1655"/>
      <c r="M512" s="1655"/>
      <c r="N512" s="1655"/>
      <c r="O512" s="1655"/>
      <c r="P512" s="1655"/>
      <c r="Q512" s="1655"/>
      <c r="R512" s="1655"/>
      <c r="S512" s="1655"/>
      <c r="T512" s="1655"/>
      <c r="U512" s="1655"/>
      <c r="V512" s="1655"/>
      <c r="W512" s="1655"/>
      <c r="X512" s="1655"/>
      <c r="Y512" s="1655"/>
      <c r="Z512" s="1655"/>
      <c r="AA512" s="1655"/>
      <c r="AB512" s="1655"/>
      <c r="AC512" s="1655"/>
      <c r="AD512" s="1655"/>
      <c r="AE512" s="1655"/>
      <c r="AF512" s="1655"/>
      <c r="AG512" s="1655"/>
      <c r="AH512" s="1655"/>
      <c r="AI512" s="1655"/>
      <c r="AJ512" s="1655"/>
      <c r="AK512" s="1655"/>
      <c r="AL512" s="1655"/>
      <c r="AM512" s="1655"/>
      <c r="AN512" s="1655"/>
      <c r="AO512" s="1655"/>
      <c r="AP512" s="1655"/>
      <c r="AQ512" s="1655"/>
      <c r="AR512" s="1655"/>
      <c r="AS512" s="1655"/>
      <c r="AT512" s="1655"/>
      <c r="AU512" s="1655"/>
      <c r="AV512" s="1655"/>
      <c r="AW512" s="1655"/>
      <c r="AX512" s="1655"/>
      <c r="AY512" s="1655"/>
      <c r="AZ512" s="1655"/>
      <c r="BA512" s="1655"/>
      <c r="BB512" s="1655"/>
      <c r="BC512" s="1655"/>
      <c r="BD512" s="1655"/>
      <c r="BE512" s="1655"/>
      <c r="BF512" s="1655"/>
      <c r="BG512" s="1655"/>
      <c r="BH512" s="1655"/>
      <c r="BI512" s="1655"/>
      <c r="BJ512" s="1655"/>
      <c r="BK512" s="1655"/>
      <c r="BL512" s="1655"/>
      <c r="BM512" s="1655"/>
      <c r="BN512" s="1655"/>
      <c r="BO512" s="1655"/>
      <c r="BP512" s="1655"/>
      <c r="BQ512" s="1655"/>
      <c r="BR512" s="1655"/>
      <c r="BS512" s="1655"/>
      <c r="BT512" s="1655"/>
      <c r="BU512" s="1655"/>
      <c r="BV512" s="1655"/>
      <c r="BW512" s="1655"/>
      <c r="BX512" s="1655"/>
      <c r="BY512" s="1655"/>
      <c r="BZ512" s="1655"/>
      <c r="CA512" s="1655"/>
      <c r="CB512" s="1655"/>
      <c r="CC512" s="1655"/>
      <c r="CD512" s="1655"/>
      <c r="CE512" s="1655"/>
      <c r="CF512" s="1655"/>
      <c r="CG512" s="1655"/>
      <c r="CH512" s="1655"/>
      <c r="CI512" s="1655"/>
      <c r="CJ512" s="1655"/>
      <c r="CK512" s="1655"/>
      <c r="CL512" s="1655"/>
      <c r="CM512" s="1655"/>
      <c r="CN512" s="1655"/>
      <c r="CO512" s="1655"/>
      <c r="CP512" s="1655"/>
      <c r="CQ512" s="1655"/>
      <c r="CR512" s="1655"/>
      <c r="CS512" s="1655"/>
      <c r="CT512" s="1655"/>
      <c r="CU512" s="1655"/>
      <c r="CV512" s="1655"/>
      <c r="CW512" s="1655"/>
      <c r="CX512" s="1655"/>
      <c r="CY512" s="1655"/>
      <c r="CZ512" s="1655"/>
      <c r="DA512" s="1655"/>
      <c r="DB512" s="1655"/>
      <c r="DC512" s="1655"/>
      <c r="DD512" s="1655"/>
      <c r="DE512" s="1655"/>
      <c r="DF512" s="1655"/>
      <c r="DG512" s="1655"/>
      <c r="DH512" s="1655"/>
      <c r="DI512" s="1655"/>
      <c r="DJ512" s="1655"/>
      <c r="DK512" s="1655"/>
      <c r="DL512" s="1655"/>
      <c r="DM512" s="1655"/>
      <c r="DN512" s="1655"/>
      <c r="DO512" s="1655"/>
      <c r="DP512" s="1655"/>
      <c r="DQ512" s="1655"/>
      <c r="DR512" s="1655"/>
      <c r="DS512" s="1655"/>
      <c r="DT512" s="1655"/>
      <c r="DU512" s="1655"/>
      <c r="DV512" s="1655"/>
      <c r="DW512" s="1655"/>
      <c r="DX512" s="1655"/>
      <c r="DY512" s="1655"/>
      <c r="DZ512" s="1655"/>
      <c r="EA512" s="1655"/>
      <c r="EB512" s="1655"/>
      <c r="EC512" s="1655"/>
      <c r="ED512" s="1655"/>
      <c r="EE512" s="1655"/>
      <c r="EF512" s="1655"/>
      <c r="EG512" s="1655"/>
      <c r="EH512" s="1655"/>
      <c r="EI512" s="1655"/>
      <c r="EJ512" s="1655"/>
      <c r="EK512" s="1655"/>
      <c r="EL512" s="1655"/>
      <c r="EM512" s="1655"/>
      <c r="EN512" s="1655"/>
      <c r="EO512" s="1655"/>
      <c r="EP512" s="1655"/>
      <c r="EQ512" s="1655"/>
      <c r="ER512" s="1655"/>
      <c r="ES512" s="1655"/>
      <c r="ET512" s="1655"/>
      <c r="EU512" s="1655"/>
      <c r="EV512" s="1655"/>
      <c r="EW512" s="1655"/>
      <c r="EX512" s="1655"/>
      <c r="EY512" s="1655"/>
      <c r="EZ512" s="1655"/>
      <c r="FA512" s="1655"/>
      <c r="FB512" s="1655"/>
      <c r="FC512" s="1655"/>
      <c r="FD512" s="1655"/>
      <c r="FE512" s="1655"/>
      <c r="FF512" s="1655"/>
      <c r="FG512" s="1655"/>
      <c r="FH512" s="1655"/>
      <c r="FI512" s="1655"/>
    </row>
    <row r="513" spans="1:165">
      <c r="A513" s="1655"/>
      <c r="B513" s="1655"/>
      <c r="C513" s="1655"/>
      <c r="D513" s="1655"/>
      <c r="E513" s="1655"/>
      <c r="F513" s="1655"/>
      <c r="G513" s="1655"/>
      <c r="H513" s="1655"/>
      <c r="I513" s="1655"/>
      <c r="J513" s="1655"/>
      <c r="K513" s="1655"/>
      <c r="L513" s="1655"/>
      <c r="M513" s="1655"/>
      <c r="N513" s="1655"/>
      <c r="O513" s="1655"/>
      <c r="P513" s="1655"/>
      <c r="Q513" s="1655"/>
      <c r="R513" s="1655"/>
      <c r="S513" s="1655"/>
      <c r="T513" s="1655"/>
      <c r="U513" s="1655"/>
      <c r="V513" s="1655"/>
      <c r="W513" s="1655"/>
      <c r="X513" s="1655"/>
      <c r="Y513" s="1655"/>
      <c r="Z513" s="1655"/>
      <c r="AA513" s="1655"/>
      <c r="AB513" s="1655"/>
      <c r="AC513" s="1655"/>
      <c r="AD513" s="1655"/>
      <c r="AE513" s="1655"/>
      <c r="AF513" s="1655"/>
      <c r="AG513" s="1655"/>
      <c r="AH513" s="1655"/>
      <c r="AI513" s="1655"/>
      <c r="AJ513" s="1655"/>
      <c r="AK513" s="1655"/>
      <c r="AL513" s="1655"/>
      <c r="AM513" s="1655"/>
      <c r="AN513" s="1655"/>
      <c r="AO513" s="1655"/>
      <c r="AP513" s="1655"/>
      <c r="AQ513" s="1655"/>
      <c r="AR513" s="1655"/>
      <c r="AS513" s="1655"/>
      <c r="AT513" s="1655"/>
      <c r="AU513" s="1655"/>
      <c r="AV513" s="1655"/>
      <c r="AW513" s="1655"/>
      <c r="AX513" s="1655"/>
      <c r="AY513" s="1655"/>
      <c r="AZ513" s="1655"/>
      <c r="BA513" s="1655"/>
      <c r="BB513" s="1655"/>
      <c r="BC513" s="1655"/>
      <c r="BD513" s="1655"/>
      <c r="BE513" s="1655"/>
      <c r="BF513" s="1655"/>
      <c r="BG513" s="1655"/>
      <c r="BH513" s="1655"/>
      <c r="BI513" s="1655"/>
      <c r="BJ513" s="1655"/>
      <c r="BK513" s="1655"/>
      <c r="BL513" s="1655"/>
      <c r="BM513" s="1655"/>
      <c r="BN513" s="1655"/>
      <c r="BO513" s="1655"/>
      <c r="BP513" s="1655"/>
      <c r="BQ513" s="1655"/>
      <c r="BR513" s="1655"/>
      <c r="BS513" s="1655"/>
      <c r="BT513" s="1655"/>
      <c r="BU513" s="1655"/>
      <c r="BV513" s="1655"/>
      <c r="BW513" s="1655"/>
      <c r="BX513" s="1655"/>
      <c r="BY513" s="1655"/>
      <c r="BZ513" s="1655"/>
      <c r="CA513" s="1655"/>
      <c r="CB513" s="1655"/>
      <c r="CC513" s="1655"/>
      <c r="CD513" s="1655"/>
      <c r="CE513" s="1655"/>
      <c r="CF513" s="1655"/>
      <c r="CG513" s="1655"/>
      <c r="CH513" s="1655"/>
      <c r="CI513" s="1655"/>
      <c r="CJ513" s="1655"/>
      <c r="CK513" s="1655"/>
      <c r="CL513" s="1655"/>
      <c r="CM513" s="1655"/>
      <c r="CN513" s="1655"/>
      <c r="CO513" s="1655"/>
      <c r="CP513" s="1655"/>
      <c r="CQ513" s="1655"/>
      <c r="CR513" s="1655"/>
      <c r="CS513" s="1655"/>
      <c r="CT513" s="1655"/>
      <c r="CU513" s="1655"/>
      <c r="CV513" s="1655"/>
      <c r="CW513" s="1655"/>
      <c r="CX513" s="1655"/>
      <c r="CY513" s="1655"/>
      <c r="CZ513" s="1655"/>
      <c r="DA513" s="1655"/>
      <c r="DB513" s="1655"/>
      <c r="DC513" s="1655"/>
      <c r="DD513" s="1655"/>
      <c r="DE513" s="1655"/>
      <c r="DF513" s="1655"/>
      <c r="DG513" s="1655"/>
      <c r="DH513" s="1655"/>
      <c r="DI513" s="1655"/>
      <c r="DJ513" s="1655"/>
      <c r="DK513" s="1655"/>
      <c r="DL513" s="1655"/>
      <c r="DM513" s="1655"/>
      <c r="DN513" s="1655"/>
      <c r="DO513" s="1655"/>
      <c r="DP513" s="1655"/>
      <c r="DQ513" s="1655"/>
      <c r="DR513" s="1655"/>
      <c r="DS513" s="1655"/>
      <c r="DT513" s="1655"/>
      <c r="DU513" s="1655"/>
      <c r="DV513" s="1655"/>
      <c r="DW513" s="1655"/>
      <c r="DX513" s="1655"/>
      <c r="DY513" s="1655"/>
      <c r="DZ513" s="1655"/>
      <c r="EA513" s="1655"/>
      <c r="EB513" s="1655"/>
      <c r="EC513" s="1655"/>
      <c r="ED513" s="1655"/>
      <c r="EE513" s="1655"/>
      <c r="EF513" s="1655"/>
      <c r="EG513" s="1655"/>
      <c r="EH513" s="1655"/>
      <c r="EI513" s="1655"/>
      <c r="EJ513" s="1655"/>
      <c r="EK513" s="1655"/>
      <c r="EL513" s="1655"/>
      <c r="EM513" s="1655"/>
      <c r="EN513" s="1655"/>
      <c r="EO513" s="1655"/>
      <c r="EP513" s="1655"/>
      <c r="EQ513" s="1655"/>
      <c r="ER513" s="1655"/>
      <c r="ES513" s="1655"/>
      <c r="ET513" s="1655"/>
      <c r="EU513" s="1655"/>
      <c r="EV513" s="1655"/>
      <c r="EW513" s="1655"/>
      <c r="EX513" s="1655"/>
      <c r="EY513" s="1655"/>
      <c r="EZ513" s="1655"/>
      <c r="FA513" s="1655"/>
      <c r="FB513" s="1655"/>
      <c r="FC513" s="1655"/>
      <c r="FD513" s="1655"/>
      <c r="FE513" s="1655"/>
      <c r="FF513" s="1655"/>
      <c r="FG513" s="1655"/>
      <c r="FH513" s="1655"/>
      <c r="FI513" s="1655"/>
    </row>
    <row r="514" spans="1:165">
      <c r="A514" s="1655"/>
      <c r="B514" s="1655"/>
      <c r="C514" s="1655"/>
      <c r="D514" s="1655"/>
      <c r="E514" s="1655"/>
      <c r="F514" s="1655"/>
      <c r="G514" s="1655"/>
      <c r="H514" s="1655"/>
      <c r="I514" s="1655"/>
      <c r="J514" s="1655"/>
      <c r="K514" s="1655"/>
      <c r="L514" s="1655"/>
      <c r="M514" s="1655"/>
      <c r="N514" s="1655"/>
      <c r="O514" s="1655"/>
      <c r="P514" s="1655"/>
      <c r="Q514" s="1655"/>
      <c r="R514" s="1655"/>
      <c r="S514" s="1655"/>
      <c r="T514" s="1655"/>
      <c r="U514" s="1655"/>
      <c r="V514" s="1655"/>
      <c r="W514" s="1655"/>
      <c r="X514" s="1655"/>
      <c r="Y514" s="1655"/>
      <c r="Z514" s="1655"/>
      <c r="AA514" s="1655"/>
      <c r="AB514" s="1655"/>
      <c r="AC514" s="1655"/>
      <c r="AD514" s="1655"/>
      <c r="AE514" s="1655"/>
      <c r="AF514" s="1655"/>
      <c r="AG514" s="1655"/>
      <c r="AH514" s="1655"/>
      <c r="AI514" s="1655"/>
      <c r="AJ514" s="1655"/>
      <c r="AK514" s="1655"/>
      <c r="AL514" s="1655"/>
      <c r="AM514" s="1655"/>
      <c r="AN514" s="1655"/>
      <c r="AO514" s="1655"/>
      <c r="AP514" s="1655"/>
      <c r="AQ514" s="1655"/>
      <c r="AR514" s="1655"/>
      <c r="AS514" s="1655"/>
      <c r="AT514" s="1655"/>
      <c r="AU514" s="1655"/>
      <c r="AV514" s="1655"/>
      <c r="AW514" s="1655"/>
      <c r="AX514" s="1655"/>
      <c r="AY514" s="1655"/>
      <c r="AZ514" s="1655"/>
      <c r="BA514" s="1655"/>
      <c r="BB514" s="1655"/>
      <c r="BC514" s="1655"/>
      <c r="BD514" s="1655"/>
      <c r="BE514" s="1655"/>
      <c r="BF514" s="1655"/>
      <c r="BG514" s="1655"/>
      <c r="BH514" s="1655"/>
      <c r="BI514" s="1655"/>
      <c r="BJ514" s="1655"/>
      <c r="BK514" s="1655"/>
      <c r="BL514" s="1655"/>
      <c r="BM514" s="1655"/>
      <c r="BN514" s="1655"/>
      <c r="BO514" s="1655"/>
      <c r="BP514" s="1655"/>
      <c r="BQ514" s="1655"/>
      <c r="BR514" s="1655"/>
      <c r="BS514" s="1655"/>
      <c r="BT514" s="1655"/>
      <c r="BU514" s="1655"/>
      <c r="BV514" s="1655"/>
      <c r="BW514" s="1655"/>
      <c r="BX514" s="1655"/>
      <c r="BY514" s="1655"/>
      <c r="BZ514" s="1655"/>
      <c r="CA514" s="1655"/>
      <c r="CB514" s="1655"/>
      <c r="CC514" s="1655"/>
      <c r="CD514" s="1655"/>
      <c r="CE514" s="1655"/>
      <c r="CF514" s="1655"/>
      <c r="CG514" s="1655"/>
      <c r="CH514" s="1655"/>
      <c r="CI514" s="1655"/>
      <c r="CJ514" s="1655"/>
      <c r="CK514" s="1655"/>
      <c r="CL514" s="1655"/>
      <c r="CM514" s="1655"/>
      <c r="CN514" s="1655"/>
      <c r="CO514" s="1655"/>
      <c r="CP514" s="1655"/>
      <c r="CQ514" s="1655"/>
      <c r="CR514" s="1655"/>
      <c r="CS514" s="1655"/>
      <c r="CT514" s="1655"/>
      <c r="CU514" s="1655"/>
      <c r="CV514" s="1655"/>
      <c r="CW514" s="1655"/>
      <c r="CX514" s="1655"/>
      <c r="CY514" s="1655"/>
      <c r="CZ514" s="1655"/>
      <c r="DA514" s="1655"/>
      <c r="DB514" s="1655"/>
      <c r="DC514" s="1655"/>
      <c r="DD514" s="1655"/>
      <c r="DE514" s="1655"/>
      <c r="DF514" s="1655"/>
      <c r="DG514" s="1655"/>
      <c r="DH514" s="1655"/>
      <c r="DI514" s="1655"/>
      <c r="DJ514" s="1655"/>
      <c r="DK514" s="1655"/>
      <c r="DL514" s="1655"/>
      <c r="DM514" s="1655"/>
      <c r="DN514" s="1655"/>
      <c r="DO514" s="1655"/>
      <c r="DP514" s="1655"/>
      <c r="DQ514" s="1655"/>
      <c r="DR514" s="1655"/>
      <c r="DS514" s="1655"/>
      <c r="DT514" s="1655"/>
      <c r="DU514" s="1655"/>
      <c r="DV514" s="1655"/>
      <c r="DW514" s="1655"/>
      <c r="DX514" s="1655"/>
      <c r="DY514" s="1655"/>
      <c r="DZ514" s="1655"/>
      <c r="EA514" s="1655"/>
      <c r="EB514" s="1655"/>
      <c r="EC514" s="1655"/>
      <c r="ED514" s="1655"/>
      <c r="EE514" s="1655"/>
      <c r="EF514" s="1655"/>
      <c r="EG514" s="1655"/>
      <c r="EH514" s="1655"/>
      <c r="EI514" s="1655"/>
      <c r="EJ514" s="1655"/>
      <c r="EK514" s="1655"/>
      <c r="EL514" s="1655"/>
      <c r="EM514" s="1655"/>
      <c r="EN514" s="1655"/>
      <c r="EO514" s="1655"/>
      <c r="EP514" s="1655"/>
      <c r="EQ514" s="1655"/>
      <c r="ER514" s="1655"/>
      <c r="ES514" s="1655"/>
      <c r="ET514" s="1655"/>
      <c r="EU514" s="1655"/>
      <c r="EV514" s="1655"/>
      <c r="EW514" s="1655"/>
      <c r="EX514" s="1655"/>
      <c r="EY514" s="1655"/>
      <c r="EZ514" s="1655"/>
      <c r="FA514" s="1655"/>
      <c r="FB514" s="1655"/>
      <c r="FC514" s="1655"/>
      <c r="FD514" s="1655"/>
      <c r="FE514" s="1655"/>
      <c r="FF514" s="1655"/>
      <c r="FG514" s="1655"/>
      <c r="FH514" s="1655"/>
      <c r="FI514" s="1655"/>
    </row>
    <row r="515" spans="1:165">
      <c r="A515" s="1655"/>
      <c r="B515" s="1655"/>
      <c r="C515" s="1655"/>
      <c r="D515" s="1655"/>
      <c r="E515" s="1655"/>
      <c r="F515" s="1655"/>
      <c r="G515" s="1655"/>
      <c r="H515" s="1655"/>
      <c r="I515" s="1655"/>
      <c r="J515" s="1655"/>
      <c r="K515" s="1655"/>
      <c r="L515" s="1655"/>
      <c r="M515" s="1655"/>
      <c r="N515" s="1655"/>
      <c r="O515" s="1655"/>
      <c r="P515" s="1655"/>
      <c r="Q515" s="1655"/>
      <c r="R515" s="1655"/>
      <c r="S515" s="1655"/>
      <c r="T515" s="1655"/>
      <c r="U515" s="1655"/>
      <c r="V515" s="1655"/>
      <c r="W515" s="1655"/>
      <c r="X515" s="1655"/>
      <c r="Y515" s="1655"/>
      <c r="Z515" s="1655"/>
      <c r="AA515" s="1655"/>
      <c r="AB515" s="1655"/>
      <c r="AC515" s="1655"/>
      <c r="AD515" s="1655"/>
      <c r="AE515" s="1655"/>
      <c r="AF515" s="1655"/>
      <c r="AG515" s="1655"/>
      <c r="AH515" s="1655"/>
      <c r="AI515" s="1655"/>
      <c r="AJ515" s="1655"/>
      <c r="AK515" s="1655"/>
      <c r="AL515" s="1655"/>
      <c r="AM515" s="1655"/>
      <c r="AN515" s="1655"/>
      <c r="AO515" s="1655"/>
      <c r="AP515" s="1655"/>
      <c r="AQ515" s="1655"/>
      <c r="AR515" s="1655"/>
      <c r="AS515" s="1655"/>
      <c r="AT515" s="1655"/>
      <c r="AU515" s="1655"/>
      <c r="AV515" s="1655"/>
      <c r="AW515" s="1655"/>
      <c r="AX515" s="1655"/>
      <c r="AY515" s="1655"/>
      <c r="AZ515" s="1655"/>
      <c r="BA515" s="1655"/>
      <c r="BB515" s="1655"/>
      <c r="BC515" s="1655"/>
      <c r="BD515" s="1655"/>
      <c r="BE515" s="1655"/>
      <c r="BF515" s="1655"/>
      <c r="BG515" s="1655"/>
      <c r="BH515" s="1655"/>
      <c r="BI515" s="1655"/>
      <c r="BJ515" s="1655"/>
      <c r="BK515" s="1655"/>
      <c r="BL515" s="1655"/>
      <c r="BM515" s="1655"/>
      <c r="BN515" s="1655"/>
      <c r="BO515" s="1655"/>
      <c r="BP515" s="1655"/>
      <c r="BQ515" s="1655"/>
      <c r="BR515" s="1655"/>
      <c r="BS515" s="1655"/>
      <c r="BT515" s="1655"/>
      <c r="BU515" s="1655"/>
      <c r="BV515" s="1655"/>
      <c r="BW515" s="1655"/>
      <c r="BX515" s="1655"/>
      <c r="BY515" s="1655"/>
      <c r="BZ515" s="1655"/>
      <c r="CA515" s="1655"/>
      <c r="CB515" s="1655"/>
      <c r="CC515" s="1655"/>
      <c r="CD515" s="1655"/>
      <c r="CE515" s="1655"/>
      <c r="CF515" s="1655"/>
      <c r="CG515" s="1655"/>
      <c r="CH515" s="1655"/>
      <c r="CI515" s="1655"/>
      <c r="CJ515" s="1655"/>
      <c r="CK515" s="1655"/>
      <c r="CL515" s="1655"/>
      <c r="CM515" s="1655"/>
      <c r="CN515" s="1655"/>
      <c r="CO515" s="1655"/>
      <c r="CP515" s="1655"/>
      <c r="CQ515" s="1655"/>
      <c r="CR515" s="1655"/>
      <c r="CS515" s="1655"/>
      <c r="CT515" s="1655"/>
      <c r="CU515" s="1655"/>
      <c r="CV515" s="1655"/>
      <c r="CW515" s="1655"/>
      <c r="CX515" s="1655"/>
      <c r="CY515" s="1655"/>
      <c r="CZ515" s="1655"/>
      <c r="DA515" s="1655"/>
      <c r="DB515" s="1655"/>
      <c r="DC515" s="1655"/>
      <c r="DD515" s="1655"/>
      <c r="DE515" s="1655"/>
      <c r="DF515" s="1655"/>
      <c r="DG515" s="1655"/>
      <c r="DH515" s="1655"/>
      <c r="DI515" s="1655"/>
      <c r="DJ515" s="1655"/>
      <c r="DK515" s="1655"/>
      <c r="DL515" s="1655"/>
      <c r="DM515" s="1655"/>
      <c r="DN515" s="1655"/>
      <c r="DO515" s="1655"/>
      <c r="DP515" s="1655"/>
      <c r="DQ515" s="1655"/>
      <c r="DR515" s="1655"/>
      <c r="DS515" s="1655"/>
      <c r="DT515" s="1655"/>
      <c r="DU515" s="1655"/>
      <c r="DV515" s="1655"/>
      <c r="DW515" s="1655"/>
      <c r="DX515" s="1655"/>
      <c r="DY515" s="1655"/>
      <c r="DZ515" s="1655"/>
      <c r="EA515" s="1655"/>
      <c r="EB515" s="1655"/>
      <c r="EC515" s="1655"/>
      <c r="ED515" s="1655"/>
      <c r="EE515" s="1655"/>
      <c r="EF515" s="1655"/>
      <c r="EG515" s="1655"/>
      <c r="EH515" s="1655"/>
      <c r="EI515" s="1655"/>
      <c r="EJ515" s="1655"/>
      <c r="EK515" s="1655"/>
      <c r="EL515" s="1655"/>
      <c r="EM515" s="1655"/>
      <c r="EN515" s="1655"/>
      <c r="EO515" s="1655"/>
      <c r="EP515" s="1655"/>
      <c r="EQ515" s="1655"/>
      <c r="ER515" s="1655"/>
      <c r="ES515" s="1655"/>
      <c r="ET515" s="1655"/>
      <c r="EU515" s="1655"/>
      <c r="EV515" s="1655"/>
      <c r="EW515" s="1655"/>
      <c r="EX515" s="1655"/>
      <c r="EY515" s="1655"/>
      <c r="EZ515" s="1655"/>
      <c r="FA515" s="1655"/>
      <c r="FB515" s="1655"/>
      <c r="FC515" s="1655"/>
      <c r="FD515" s="1655"/>
      <c r="FE515" s="1655"/>
      <c r="FF515" s="1655"/>
      <c r="FG515" s="1655"/>
      <c r="FH515" s="1655"/>
      <c r="FI515" s="1655"/>
    </row>
    <row r="516" spans="1:165">
      <c r="A516" s="1655"/>
      <c r="B516" s="1655"/>
      <c r="C516" s="1655"/>
      <c r="D516" s="1655"/>
      <c r="E516" s="1655"/>
      <c r="F516" s="1655"/>
      <c r="G516" s="1655"/>
      <c r="H516" s="1655"/>
      <c r="I516" s="1655"/>
      <c r="J516" s="1655"/>
      <c r="K516" s="1655"/>
      <c r="L516" s="1655"/>
      <c r="M516" s="1655"/>
      <c r="N516" s="1655"/>
      <c r="O516" s="1655"/>
      <c r="P516" s="1655"/>
      <c r="Q516" s="1655"/>
      <c r="R516" s="1655"/>
      <c r="S516" s="1655"/>
      <c r="T516" s="1655"/>
      <c r="U516" s="1655"/>
      <c r="V516" s="1655"/>
      <c r="W516" s="1655"/>
      <c r="X516" s="1655"/>
      <c r="Y516" s="1655"/>
      <c r="Z516" s="1655"/>
      <c r="AA516" s="1655"/>
      <c r="AB516" s="1655"/>
      <c r="AC516" s="1655"/>
      <c r="AD516" s="1655"/>
      <c r="AE516" s="1655"/>
      <c r="AF516" s="1655"/>
      <c r="AG516" s="1655"/>
      <c r="AH516" s="1655"/>
      <c r="AI516" s="1655"/>
      <c r="AJ516" s="1655"/>
      <c r="AK516" s="1655"/>
      <c r="AL516" s="1655"/>
      <c r="AM516" s="1655"/>
      <c r="AN516" s="1655"/>
      <c r="AO516" s="1655"/>
      <c r="AP516" s="1655"/>
      <c r="AQ516" s="1655"/>
      <c r="AR516" s="1655"/>
      <c r="AS516" s="1655"/>
      <c r="AT516" s="1655"/>
      <c r="AU516" s="1655"/>
      <c r="AV516" s="1655"/>
      <c r="AW516" s="1655"/>
      <c r="AX516" s="1655"/>
      <c r="AY516" s="1655"/>
      <c r="AZ516" s="1655"/>
      <c r="BA516" s="1655"/>
      <c r="BB516" s="1655"/>
      <c r="BC516" s="1655"/>
      <c r="BD516" s="1655"/>
      <c r="BE516" s="1655"/>
      <c r="BF516" s="1655"/>
      <c r="BG516" s="1655"/>
      <c r="BH516" s="1655"/>
      <c r="BI516" s="1655"/>
      <c r="BJ516" s="1655"/>
      <c r="BK516" s="1655"/>
      <c r="BL516" s="1655"/>
      <c r="BM516" s="1655"/>
      <c r="BN516" s="1655"/>
      <c r="BO516" s="1655"/>
      <c r="BP516" s="1655"/>
      <c r="BQ516" s="1655"/>
      <c r="BR516" s="1655"/>
      <c r="BS516" s="1655"/>
      <c r="BT516" s="1655"/>
      <c r="BU516" s="1655"/>
      <c r="BV516" s="1655"/>
      <c r="BW516" s="1655"/>
      <c r="BX516" s="1655"/>
      <c r="BY516" s="1655"/>
      <c r="BZ516" s="1655"/>
      <c r="CA516" s="1655"/>
      <c r="CB516" s="1655"/>
      <c r="CC516" s="1655"/>
      <c r="CD516" s="1655"/>
      <c r="CE516" s="1655"/>
      <c r="CF516" s="1655"/>
      <c r="CG516" s="1655"/>
      <c r="CH516" s="1655"/>
      <c r="CI516" s="1655"/>
      <c r="CJ516" s="1655"/>
      <c r="CK516" s="1655"/>
      <c r="CL516" s="1655"/>
      <c r="CM516" s="1655"/>
      <c r="CN516" s="1655"/>
      <c r="CO516" s="1655"/>
      <c r="CP516" s="1655"/>
      <c r="CQ516" s="1655"/>
      <c r="CR516" s="1655"/>
      <c r="CS516" s="1655"/>
      <c r="CT516" s="1655"/>
      <c r="CU516" s="1655"/>
      <c r="CV516" s="1655"/>
      <c r="CW516" s="1655"/>
      <c r="CX516" s="1655"/>
      <c r="CY516" s="1655"/>
      <c r="CZ516" s="1655"/>
      <c r="DA516" s="1655"/>
      <c r="DB516" s="1655"/>
      <c r="DC516" s="1655"/>
      <c r="DD516" s="1655"/>
      <c r="DE516" s="1655"/>
      <c r="DF516" s="1655"/>
      <c r="DG516" s="1655"/>
      <c r="DH516" s="1655"/>
      <c r="DI516" s="1655"/>
      <c r="DJ516" s="1655"/>
      <c r="DK516" s="1655"/>
      <c r="DL516" s="1655"/>
      <c r="DM516" s="1655"/>
      <c r="DN516" s="1655"/>
      <c r="DO516" s="1655"/>
      <c r="DP516" s="1655"/>
      <c r="DQ516" s="1655"/>
      <c r="DR516" s="1655"/>
      <c r="DS516" s="1655"/>
      <c r="DT516" s="1655"/>
      <c r="DU516" s="1655"/>
      <c r="DV516" s="1655"/>
      <c r="DW516" s="1655"/>
      <c r="DX516" s="1655"/>
      <c r="DY516" s="1655"/>
      <c r="DZ516" s="1655"/>
      <c r="EA516" s="1655"/>
      <c r="EB516" s="1655"/>
      <c r="EC516" s="1655"/>
      <c r="ED516" s="1655"/>
      <c r="EE516" s="1655"/>
      <c r="EF516" s="1655"/>
      <c r="EG516" s="1655"/>
      <c r="EH516" s="1655"/>
      <c r="EI516" s="1655"/>
      <c r="EJ516" s="1655"/>
      <c r="EK516" s="1655"/>
      <c r="EL516" s="1655"/>
      <c r="EM516" s="1655"/>
      <c r="EN516" s="1655"/>
      <c r="EO516" s="1655"/>
      <c r="EP516" s="1655"/>
      <c r="EQ516" s="1655"/>
      <c r="ER516" s="1655"/>
      <c r="ES516" s="1655"/>
      <c r="ET516" s="1655"/>
      <c r="EU516" s="1655"/>
      <c r="EV516" s="1655"/>
      <c r="EW516" s="1655"/>
      <c r="EX516" s="1655"/>
      <c r="EY516" s="1655"/>
      <c r="EZ516" s="1655"/>
      <c r="FA516" s="1655"/>
      <c r="FB516" s="1655"/>
      <c r="FC516" s="1655"/>
      <c r="FD516" s="1655"/>
      <c r="FE516" s="1655"/>
      <c r="FF516" s="1655"/>
      <c r="FG516" s="1655"/>
      <c r="FH516" s="1655"/>
      <c r="FI516" s="1655"/>
    </row>
    <row r="517" spans="1:165">
      <c r="A517" s="1655"/>
      <c r="B517" s="1655"/>
      <c r="C517" s="1655"/>
      <c r="D517" s="1655"/>
      <c r="E517" s="1655"/>
      <c r="F517" s="1655"/>
      <c r="G517" s="1655"/>
      <c r="H517" s="1655"/>
      <c r="I517" s="1655"/>
      <c r="J517" s="1655"/>
      <c r="K517" s="1655"/>
      <c r="L517" s="1655"/>
      <c r="M517" s="1655"/>
      <c r="N517" s="1655"/>
      <c r="O517" s="1655"/>
      <c r="P517" s="1655"/>
      <c r="Q517" s="1655"/>
      <c r="R517" s="1655"/>
      <c r="S517" s="1655"/>
      <c r="T517" s="1655"/>
      <c r="U517" s="1655"/>
      <c r="V517" s="1655"/>
      <c r="W517" s="1655"/>
      <c r="X517" s="1655"/>
      <c r="Y517" s="1655"/>
      <c r="Z517" s="1655"/>
      <c r="AA517" s="1655"/>
      <c r="AB517" s="1655"/>
      <c r="AC517" s="1655"/>
      <c r="AD517" s="1655"/>
      <c r="AE517" s="1655"/>
      <c r="AF517" s="1655"/>
      <c r="AG517" s="1655"/>
      <c r="AH517" s="1655"/>
      <c r="AI517" s="1655"/>
      <c r="AJ517" s="1655"/>
      <c r="AK517" s="1655"/>
      <c r="AL517" s="1655"/>
      <c r="AM517" s="1655"/>
      <c r="AN517" s="1655"/>
      <c r="AO517" s="1655"/>
      <c r="AP517" s="1655"/>
      <c r="AQ517" s="1655"/>
      <c r="AR517" s="1655"/>
      <c r="AS517" s="1655"/>
      <c r="AT517" s="1655"/>
      <c r="AU517" s="1655"/>
      <c r="AV517" s="1655"/>
      <c r="AW517" s="1655"/>
      <c r="AX517" s="1655"/>
      <c r="AY517" s="1655"/>
      <c r="AZ517" s="1655"/>
      <c r="BA517" s="1655"/>
      <c r="BB517" s="1655"/>
      <c r="BC517" s="1655"/>
      <c r="BD517" s="1655"/>
      <c r="BE517" s="1655"/>
      <c r="BF517" s="1655"/>
      <c r="BG517" s="1655"/>
      <c r="BH517" s="1655"/>
      <c r="BI517" s="1655"/>
      <c r="BJ517" s="1655"/>
      <c r="BK517" s="1655"/>
      <c r="BL517" s="1655"/>
      <c r="BM517" s="1655"/>
      <c r="BN517" s="1655"/>
      <c r="BO517" s="1655"/>
      <c r="BP517" s="1655"/>
      <c r="BQ517" s="1655"/>
      <c r="BR517" s="1655"/>
      <c r="BS517" s="1655"/>
      <c r="BT517" s="1655"/>
      <c r="BU517" s="1655"/>
      <c r="BV517" s="1655"/>
      <c r="BW517" s="1655"/>
      <c r="BX517" s="1655"/>
      <c r="BY517" s="1655"/>
      <c r="BZ517" s="1655"/>
      <c r="CA517" s="1655"/>
      <c r="CB517" s="1655"/>
      <c r="CC517" s="1655"/>
      <c r="CD517" s="1655"/>
      <c r="CE517" s="1655"/>
      <c r="CF517" s="1655"/>
      <c r="CG517" s="1655"/>
      <c r="CH517" s="1655"/>
      <c r="CI517" s="1655"/>
      <c r="CJ517" s="1655"/>
      <c r="CK517" s="1655"/>
      <c r="CL517" s="1655"/>
      <c r="CM517" s="1655"/>
      <c r="CN517" s="1655"/>
      <c r="CO517" s="1655"/>
      <c r="CP517" s="1655"/>
      <c r="CQ517" s="1655"/>
      <c r="CR517" s="1655"/>
      <c r="CS517" s="1655"/>
      <c r="CT517" s="1655"/>
      <c r="CU517" s="1655"/>
      <c r="CV517" s="1655"/>
      <c r="CW517" s="1655"/>
      <c r="CX517" s="1655"/>
      <c r="CY517" s="1655"/>
      <c r="CZ517" s="1655"/>
      <c r="DA517" s="1655"/>
      <c r="DB517" s="1655"/>
      <c r="DC517" s="1655"/>
      <c r="DD517" s="1655"/>
      <c r="DE517" s="1655"/>
      <c r="DF517" s="1655"/>
      <c r="DG517" s="1655"/>
      <c r="DH517" s="1655"/>
      <c r="DI517" s="1655"/>
      <c r="DJ517" s="1655"/>
      <c r="DK517" s="1655"/>
      <c r="DL517" s="1655"/>
      <c r="DM517" s="1655"/>
      <c r="DN517" s="1655"/>
      <c r="DO517" s="1655"/>
      <c r="DP517" s="1655"/>
      <c r="DQ517" s="1655"/>
      <c r="DR517" s="1655"/>
      <c r="DS517" s="1655"/>
      <c r="DT517" s="1655"/>
      <c r="DU517" s="1655"/>
      <c r="DV517" s="1655"/>
      <c r="DW517" s="1655"/>
      <c r="DX517" s="1655"/>
      <c r="DY517" s="1655"/>
      <c r="DZ517" s="1655"/>
      <c r="EA517" s="1655"/>
      <c r="EB517" s="1655"/>
      <c r="EC517" s="1655"/>
      <c r="ED517" s="1655"/>
      <c r="EE517" s="1655"/>
      <c r="EF517" s="1655"/>
      <c r="EG517" s="1655"/>
      <c r="EH517" s="1655"/>
      <c r="EI517" s="1655"/>
      <c r="EJ517" s="1655"/>
      <c r="EK517" s="1655"/>
      <c r="EL517" s="1655"/>
      <c r="EM517" s="1655"/>
      <c r="EN517" s="1655"/>
      <c r="EO517" s="1655"/>
      <c r="EP517" s="1655"/>
      <c r="EQ517" s="1655"/>
      <c r="ER517" s="1655"/>
      <c r="ES517" s="1655"/>
      <c r="ET517" s="1655"/>
      <c r="EU517" s="1655"/>
      <c r="EV517" s="1655"/>
      <c r="EW517" s="1655"/>
      <c r="EX517" s="1655"/>
      <c r="EY517" s="1655"/>
      <c r="EZ517" s="1655"/>
      <c r="FA517" s="1655"/>
      <c r="FB517" s="1655"/>
      <c r="FC517" s="1655"/>
      <c r="FD517" s="1655"/>
      <c r="FE517" s="1655"/>
      <c r="FF517" s="1655"/>
      <c r="FG517" s="1655"/>
      <c r="FH517" s="1655"/>
      <c r="FI517" s="1655"/>
    </row>
    <row r="518" spans="1:165">
      <c r="A518" s="1655"/>
      <c r="B518" s="1655"/>
      <c r="C518" s="1655"/>
      <c r="D518" s="1655"/>
      <c r="E518" s="1655"/>
      <c r="F518" s="1655"/>
      <c r="G518" s="1655"/>
      <c r="H518" s="1655"/>
      <c r="I518" s="1655"/>
      <c r="J518" s="1655"/>
      <c r="K518" s="1655"/>
      <c r="L518" s="1655"/>
      <c r="M518" s="1655"/>
      <c r="N518" s="1655"/>
      <c r="O518" s="1655"/>
      <c r="P518" s="1655"/>
      <c r="Q518" s="1655"/>
      <c r="R518" s="1655"/>
      <c r="S518" s="1655"/>
      <c r="T518" s="1655"/>
      <c r="U518" s="1655"/>
      <c r="V518" s="1655"/>
      <c r="W518" s="1655"/>
      <c r="X518" s="1655"/>
      <c r="Y518" s="1655"/>
      <c r="Z518" s="1655"/>
      <c r="AA518" s="1655"/>
      <c r="AB518" s="1655"/>
      <c r="AC518" s="1655"/>
      <c r="AD518" s="1655"/>
      <c r="AE518" s="1655"/>
      <c r="AF518" s="1655"/>
      <c r="AG518" s="1655"/>
      <c r="AH518" s="1655"/>
      <c r="AI518" s="1655"/>
      <c r="AJ518" s="1655"/>
      <c r="AK518" s="1655"/>
      <c r="AL518" s="1655"/>
      <c r="AM518" s="1655"/>
      <c r="AN518" s="1655"/>
      <c r="AO518" s="1655"/>
      <c r="AP518" s="1655"/>
      <c r="AQ518" s="1655"/>
      <c r="AR518" s="1655"/>
      <c r="AS518" s="1655"/>
      <c r="AT518" s="1655"/>
      <c r="AU518" s="1655"/>
      <c r="AV518" s="1655"/>
      <c r="AW518" s="1655"/>
      <c r="AX518" s="1655"/>
      <c r="AY518" s="1655"/>
      <c r="AZ518" s="1655"/>
      <c r="BA518" s="1655"/>
      <c r="BB518" s="1655"/>
      <c r="BC518" s="1655"/>
      <c r="BD518" s="1655"/>
      <c r="BE518" s="1655"/>
      <c r="BF518" s="1655"/>
      <c r="BG518" s="1655"/>
      <c r="BH518" s="1655"/>
      <c r="BI518" s="1655"/>
      <c r="BJ518" s="1655"/>
      <c r="BK518" s="1655"/>
      <c r="BL518" s="1655"/>
      <c r="BM518" s="1655"/>
      <c r="BN518" s="1655"/>
      <c r="BO518" s="1655"/>
      <c r="BP518" s="1655"/>
      <c r="BQ518" s="1655"/>
      <c r="BR518" s="1655"/>
      <c r="BS518" s="1655"/>
      <c r="BT518" s="1655"/>
      <c r="BU518" s="1655"/>
      <c r="BV518" s="1655"/>
      <c r="BW518" s="1655"/>
      <c r="BX518" s="1655"/>
      <c r="BY518" s="1655"/>
      <c r="BZ518" s="1655"/>
      <c r="CA518" s="1655"/>
      <c r="CB518" s="1655"/>
      <c r="CC518" s="1655"/>
      <c r="CD518" s="1655"/>
      <c r="CE518" s="1655"/>
      <c r="CF518" s="1655"/>
      <c r="CG518" s="1655"/>
      <c r="CH518" s="1655"/>
      <c r="CI518" s="1655"/>
      <c r="CJ518" s="1655"/>
      <c r="CK518" s="1655"/>
      <c r="CL518" s="1655"/>
      <c r="CM518" s="1655"/>
      <c r="CN518" s="1655"/>
      <c r="CO518" s="1655"/>
      <c r="CP518" s="1655"/>
      <c r="CQ518" s="1655"/>
      <c r="CR518" s="1655"/>
      <c r="CS518" s="1655"/>
      <c r="CT518" s="1655"/>
      <c r="CU518" s="1655"/>
      <c r="CV518" s="1655"/>
      <c r="CW518" s="1655"/>
      <c r="CX518" s="1655"/>
      <c r="CY518" s="1655"/>
      <c r="CZ518" s="1655"/>
      <c r="DA518" s="1655"/>
      <c r="DB518" s="1655"/>
      <c r="DC518" s="1655"/>
      <c r="DD518" s="1655"/>
      <c r="DE518" s="1655"/>
      <c r="DF518" s="1655"/>
      <c r="DG518" s="1655"/>
      <c r="DH518" s="1655"/>
      <c r="DI518" s="1655"/>
      <c r="DJ518" s="1655"/>
      <c r="DK518" s="1655"/>
      <c r="DL518" s="1655"/>
      <c r="DM518" s="1655"/>
      <c r="DN518" s="1655"/>
      <c r="DO518" s="1655"/>
      <c r="DP518" s="1655"/>
      <c r="DQ518" s="1655"/>
      <c r="DR518" s="1655"/>
      <c r="DS518" s="1655"/>
      <c r="DT518" s="1655"/>
      <c r="DU518" s="1655"/>
      <c r="DV518" s="1655"/>
      <c r="DW518" s="1655"/>
      <c r="DX518" s="1655"/>
      <c r="DY518" s="1655"/>
      <c r="DZ518" s="1655"/>
      <c r="EA518" s="1655"/>
      <c r="EB518" s="1655"/>
      <c r="EC518" s="1655"/>
      <c r="ED518" s="1655"/>
      <c r="EE518" s="1655"/>
      <c r="EF518" s="1655"/>
      <c r="EG518" s="1655"/>
      <c r="EH518" s="1655"/>
      <c r="EI518" s="1655"/>
      <c r="EJ518" s="1655"/>
      <c r="EK518" s="1655"/>
      <c r="EL518" s="1655"/>
      <c r="EM518" s="1655"/>
      <c r="EN518" s="1655"/>
      <c r="EO518" s="1655"/>
      <c r="EP518" s="1655"/>
      <c r="EQ518" s="1655"/>
      <c r="ER518" s="1655"/>
      <c r="ES518" s="1655"/>
      <c r="ET518" s="1655"/>
      <c r="EU518" s="1655"/>
      <c r="EV518" s="1655"/>
      <c r="EW518" s="1655"/>
      <c r="EX518" s="1655"/>
      <c r="EY518" s="1655"/>
      <c r="EZ518" s="1655"/>
      <c r="FA518" s="1655"/>
      <c r="FB518" s="1655"/>
      <c r="FC518" s="1655"/>
      <c r="FD518" s="1655"/>
      <c r="FE518" s="1655"/>
      <c r="FF518" s="1655"/>
      <c r="FG518" s="1655"/>
      <c r="FH518" s="1655"/>
      <c r="FI518" s="1655"/>
    </row>
    <row r="519" spans="1:165">
      <c r="A519" s="1655"/>
      <c r="B519" s="1655"/>
      <c r="C519" s="1655"/>
      <c r="D519" s="1655"/>
      <c r="E519" s="1655"/>
      <c r="F519" s="1655"/>
      <c r="G519" s="1655"/>
      <c r="H519" s="1655"/>
      <c r="I519" s="1655"/>
      <c r="J519" s="1655"/>
      <c r="K519" s="1655"/>
      <c r="L519" s="1655"/>
      <c r="M519" s="1655"/>
      <c r="N519" s="1655"/>
      <c r="O519" s="1655"/>
      <c r="P519" s="1655"/>
      <c r="Q519" s="1655"/>
      <c r="R519" s="1655"/>
      <c r="S519" s="1655"/>
      <c r="T519" s="1655"/>
      <c r="U519" s="1655"/>
      <c r="V519" s="1655"/>
      <c r="W519" s="1655"/>
      <c r="X519" s="1655"/>
      <c r="Y519" s="1655"/>
      <c r="Z519" s="1655"/>
      <c r="AA519" s="1655"/>
      <c r="AB519" s="1655"/>
      <c r="AC519" s="1655"/>
      <c r="AD519" s="1655"/>
      <c r="AE519" s="1655"/>
      <c r="AF519" s="1655"/>
      <c r="AG519" s="1655"/>
      <c r="AH519" s="1655"/>
      <c r="AI519" s="1655"/>
      <c r="AJ519" s="1655"/>
      <c r="AK519" s="1655"/>
      <c r="AL519" s="1655"/>
      <c r="AM519" s="1655"/>
      <c r="AN519" s="1655"/>
      <c r="AO519" s="1655"/>
      <c r="AP519" s="1655"/>
      <c r="AQ519" s="1655"/>
      <c r="AR519" s="1655"/>
      <c r="AS519" s="1655"/>
      <c r="AT519" s="1655"/>
      <c r="AU519" s="1655"/>
      <c r="AV519" s="1655"/>
      <c r="AW519" s="1655"/>
      <c r="AX519" s="1655"/>
      <c r="AY519" s="1655"/>
      <c r="AZ519" s="1655"/>
      <c r="BA519" s="1655"/>
      <c r="BB519" s="1655"/>
      <c r="BC519" s="1655"/>
      <c r="BD519" s="1655"/>
      <c r="BE519" s="1655"/>
      <c r="BF519" s="1655"/>
      <c r="BG519" s="1655"/>
      <c r="BH519" s="1655"/>
      <c r="BI519" s="1655"/>
      <c r="BJ519" s="1655"/>
      <c r="BK519" s="1655"/>
      <c r="BL519" s="1655"/>
      <c r="BM519" s="1655"/>
      <c r="BN519" s="1655"/>
      <c r="BO519" s="1655"/>
      <c r="BP519" s="1655"/>
      <c r="BQ519" s="1655"/>
      <c r="BR519" s="1655"/>
      <c r="BS519" s="1655"/>
      <c r="BT519" s="1655"/>
      <c r="BU519" s="1655"/>
      <c r="BV519" s="1655"/>
      <c r="BW519" s="1655"/>
      <c r="BX519" s="1655"/>
      <c r="BY519" s="1655"/>
      <c r="BZ519" s="1655"/>
      <c r="CA519" s="1655"/>
      <c r="CB519" s="1655"/>
      <c r="CC519" s="1655"/>
      <c r="CD519" s="1655"/>
      <c r="CE519" s="1655"/>
      <c r="CF519" s="1655"/>
      <c r="CG519" s="1655"/>
      <c r="CH519" s="1655"/>
      <c r="CI519" s="1655"/>
      <c r="CJ519" s="1655"/>
      <c r="CK519" s="1655"/>
      <c r="CL519" s="1655"/>
      <c r="CM519" s="1655"/>
      <c r="CN519" s="1655"/>
      <c r="CO519" s="1655"/>
      <c r="CP519" s="1655"/>
      <c r="CQ519" s="1655"/>
      <c r="CR519" s="1655"/>
      <c r="CS519" s="1655"/>
      <c r="CT519" s="1655"/>
      <c r="CU519" s="1655"/>
      <c r="CV519" s="1655"/>
      <c r="CW519" s="1655"/>
      <c r="CX519" s="1655"/>
      <c r="CY519" s="1655"/>
      <c r="CZ519" s="1655"/>
      <c r="DA519" s="1655"/>
      <c r="DB519" s="1655"/>
      <c r="DC519" s="1655"/>
      <c r="DD519" s="1655"/>
      <c r="DE519" s="1655"/>
      <c r="DF519" s="1655"/>
      <c r="DG519" s="1655"/>
      <c r="DH519" s="1655"/>
      <c r="DI519" s="1655"/>
      <c r="DJ519" s="1655"/>
      <c r="DK519" s="1655"/>
      <c r="DL519" s="1655"/>
      <c r="DM519" s="1655"/>
      <c r="DN519" s="1655"/>
      <c r="DO519" s="1655"/>
      <c r="DP519" s="1655"/>
      <c r="DQ519" s="1655"/>
      <c r="DR519" s="1655"/>
      <c r="DS519" s="1655"/>
      <c r="DT519" s="1655"/>
      <c r="DU519" s="1655"/>
      <c r="DV519" s="1655"/>
      <c r="DW519" s="1655"/>
      <c r="DX519" s="1655"/>
      <c r="DY519" s="1655"/>
      <c r="DZ519" s="1655"/>
      <c r="EA519" s="1655"/>
      <c r="EB519" s="1655"/>
      <c r="EC519" s="1655"/>
      <c r="ED519" s="1655"/>
      <c r="EE519" s="1655"/>
      <c r="EF519" s="1655"/>
      <c r="EG519" s="1655"/>
      <c r="EH519" s="1655"/>
      <c r="EI519" s="1655"/>
      <c r="EJ519" s="1655"/>
      <c r="EK519" s="1655"/>
      <c r="EL519" s="1655"/>
      <c r="EM519" s="1655"/>
      <c r="EN519" s="1655"/>
      <c r="EO519" s="1655"/>
      <c r="EP519" s="1655"/>
      <c r="EQ519" s="1655"/>
      <c r="ER519" s="1655"/>
      <c r="ES519" s="1655"/>
      <c r="ET519" s="1655"/>
      <c r="EU519" s="1655"/>
      <c r="EV519" s="1655"/>
      <c r="EW519" s="1655"/>
      <c r="EX519" s="1655"/>
      <c r="EY519" s="1655"/>
      <c r="EZ519" s="1655"/>
      <c r="FA519" s="1655"/>
      <c r="FB519" s="1655"/>
      <c r="FC519" s="1655"/>
      <c r="FD519" s="1655"/>
      <c r="FE519" s="1655"/>
      <c r="FF519" s="1655"/>
      <c r="FG519" s="1655"/>
      <c r="FH519" s="1655"/>
      <c r="FI519" s="1655"/>
    </row>
    <row r="520" spans="1:165">
      <c r="A520" s="1655"/>
      <c r="B520" s="1655"/>
      <c r="C520" s="1655"/>
      <c r="D520" s="1655"/>
      <c r="E520" s="1655"/>
      <c r="F520" s="1655"/>
      <c r="G520" s="1655"/>
      <c r="H520" s="1655"/>
      <c r="I520" s="1655"/>
      <c r="J520" s="1655"/>
      <c r="K520" s="1655"/>
      <c r="L520" s="1655"/>
      <c r="M520" s="1655"/>
      <c r="N520" s="1655"/>
      <c r="O520" s="1655"/>
      <c r="P520" s="1655"/>
      <c r="Q520" s="1655"/>
      <c r="R520" s="1655"/>
      <c r="S520" s="1655"/>
      <c r="T520" s="1655"/>
      <c r="U520" s="1655"/>
      <c r="V520" s="1655"/>
      <c r="W520" s="1655"/>
      <c r="X520" s="1655"/>
      <c r="Y520" s="1655"/>
      <c r="Z520" s="1655"/>
      <c r="AA520" s="1655"/>
      <c r="AB520" s="1655"/>
      <c r="AC520" s="1655"/>
      <c r="AD520" s="1655"/>
      <c r="AE520" s="1655"/>
      <c r="AF520" s="1655"/>
      <c r="AG520" s="1655"/>
      <c r="AH520" s="1655"/>
      <c r="AI520" s="1655"/>
      <c r="AJ520" s="1655"/>
      <c r="AK520" s="1655"/>
      <c r="AL520" s="1655"/>
      <c r="AM520" s="1655"/>
      <c r="AN520" s="1655"/>
      <c r="AO520" s="1655"/>
      <c r="AP520" s="1655"/>
      <c r="AQ520" s="1655"/>
      <c r="AR520" s="1655"/>
      <c r="AS520" s="1655"/>
      <c r="AT520" s="1655"/>
      <c r="AU520" s="1655"/>
      <c r="AV520" s="1655"/>
      <c r="AW520" s="1655"/>
      <c r="AX520" s="1655"/>
      <c r="AY520" s="1655"/>
      <c r="AZ520" s="1655"/>
      <c r="BA520" s="1655"/>
      <c r="BB520" s="1655"/>
      <c r="BC520" s="1655"/>
      <c r="BD520" s="1655"/>
      <c r="BE520" s="1655"/>
      <c r="BF520" s="1655"/>
      <c r="BG520" s="1655"/>
      <c r="BH520" s="1655"/>
      <c r="BI520" s="1655"/>
      <c r="BJ520" s="1655"/>
      <c r="BK520" s="1655"/>
      <c r="BL520" s="1655"/>
      <c r="BM520" s="1655"/>
      <c r="BN520" s="1655"/>
      <c r="BO520" s="1655"/>
      <c r="BP520" s="1655"/>
      <c r="BQ520" s="1655"/>
      <c r="BR520" s="1655"/>
      <c r="BS520" s="1655"/>
      <c r="BT520" s="1655"/>
      <c r="BU520" s="1655"/>
      <c r="BV520" s="1655"/>
      <c r="BW520" s="1655"/>
      <c r="BX520" s="1655"/>
      <c r="BY520" s="1655"/>
      <c r="BZ520" s="1655"/>
      <c r="CA520" s="1655"/>
      <c r="CB520" s="1655"/>
      <c r="CC520" s="1655"/>
      <c r="CD520" s="1655"/>
      <c r="CE520" s="1655"/>
      <c r="CF520" s="1655"/>
      <c r="CG520" s="1655"/>
      <c r="CH520" s="1655"/>
      <c r="CI520" s="1655"/>
      <c r="CJ520" s="1655"/>
      <c r="CK520" s="1655"/>
      <c r="CL520" s="1655"/>
      <c r="CM520" s="1655"/>
      <c r="CN520" s="1655"/>
      <c r="CO520" s="1655"/>
      <c r="CP520" s="1655"/>
      <c r="CQ520" s="1655"/>
      <c r="CR520" s="1655"/>
      <c r="CS520" s="1655"/>
      <c r="CT520" s="1655"/>
      <c r="CU520" s="1655"/>
      <c r="CV520" s="1655"/>
      <c r="CW520" s="1655"/>
      <c r="CX520" s="1655"/>
      <c r="CY520" s="1655"/>
      <c r="CZ520" s="1655"/>
      <c r="DA520" s="1655"/>
      <c r="DB520" s="1655"/>
      <c r="DC520" s="1655"/>
      <c r="DD520" s="1655"/>
      <c r="DE520" s="1655"/>
      <c r="DF520" s="1655"/>
      <c r="DG520" s="1655"/>
      <c r="DH520" s="1655"/>
      <c r="DI520" s="1655"/>
      <c r="DJ520" s="1655"/>
      <c r="DK520" s="1655"/>
      <c r="DL520" s="1655"/>
      <c r="DM520" s="1655"/>
      <c r="DN520" s="1655"/>
      <c r="DO520" s="1655"/>
      <c r="DP520" s="1655"/>
      <c r="DQ520" s="1655"/>
      <c r="DR520" s="1655"/>
      <c r="DS520" s="1655"/>
      <c r="DT520" s="1655"/>
      <c r="DU520" s="1655"/>
      <c r="DV520" s="1655"/>
      <c r="DW520" s="1655"/>
      <c r="DX520" s="1655"/>
      <c r="DY520" s="1655"/>
      <c r="DZ520" s="1655"/>
      <c r="EA520" s="1655"/>
      <c r="EB520" s="1655"/>
      <c r="EC520" s="1655"/>
      <c r="ED520" s="1655"/>
      <c r="EE520" s="1655"/>
      <c r="EF520" s="1655"/>
      <c r="EG520" s="1655"/>
      <c r="EH520" s="1655"/>
      <c r="EI520" s="1655"/>
      <c r="EJ520" s="1655"/>
      <c r="EK520" s="1655"/>
      <c r="EL520" s="1655"/>
      <c r="EM520" s="1655"/>
      <c r="EN520" s="1655"/>
      <c r="EO520" s="1655"/>
      <c r="EP520" s="1655"/>
      <c r="EQ520" s="1655"/>
      <c r="ER520" s="1655"/>
      <c r="ES520" s="1655"/>
      <c r="ET520" s="1655"/>
      <c r="EU520" s="1655"/>
      <c r="EV520" s="1655"/>
      <c r="EW520" s="1655"/>
      <c r="EX520" s="1655"/>
      <c r="EY520" s="1655"/>
      <c r="EZ520" s="1655"/>
      <c r="FA520" s="1655"/>
      <c r="FB520" s="1655"/>
      <c r="FC520" s="1655"/>
      <c r="FD520" s="1655"/>
      <c r="FE520" s="1655"/>
      <c r="FF520" s="1655"/>
      <c r="FG520" s="1655"/>
      <c r="FH520" s="1655"/>
      <c r="FI520" s="1655"/>
    </row>
    <row r="521" spans="1:165">
      <c r="A521" s="1655"/>
      <c r="B521" s="1655"/>
      <c r="C521" s="1655"/>
      <c r="D521" s="1655"/>
      <c r="E521" s="1655"/>
      <c r="F521" s="1655"/>
      <c r="G521" s="1655"/>
      <c r="H521" s="1655"/>
      <c r="I521" s="1655"/>
      <c r="J521" s="1655"/>
      <c r="K521" s="1655"/>
      <c r="L521" s="1655"/>
      <c r="M521" s="1655"/>
      <c r="N521" s="1655"/>
      <c r="O521" s="1655"/>
      <c r="P521" s="1655"/>
      <c r="Q521" s="1655"/>
      <c r="R521" s="1655"/>
      <c r="S521" s="1655"/>
      <c r="T521" s="1655"/>
      <c r="U521" s="1655"/>
      <c r="V521" s="1655"/>
      <c r="W521" s="1655"/>
      <c r="X521" s="1655"/>
      <c r="Y521" s="1655"/>
      <c r="Z521" s="1655"/>
      <c r="AA521" s="1655"/>
      <c r="AB521" s="1655"/>
      <c r="AC521" s="1655"/>
      <c r="AD521" s="1655"/>
      <c r="AE521" s="1655"/>
      <c r="AF521" s="1655"/>
      <c r="AG521" s="1655"/>
      <c r="AH521" s="1655"/>
      <c r="AI521" s="1655"/>
      <c r="AJ521" s="1655"/>
      <c r="AK521" s="1655"/>
      <c r="AL521" s="1655"/>
      <c r="AM521" s="1655"/>
      <c r="AN521" s="1655"/>
      <c r="AO521" s="1655"/>
      <c r="AP521" s="1655"/>
      <c r="AQ521" s="1655"/>
      <c r="AR521" s="1655"/>
      <c r="AS521" s="1655"/>
      <c r="AT521" s="1655"/>
      <c r="AU521" s="1655"/>
      <c r="AV521" s="1655"/>
      <c r="AW521" s="1655"/>
      <c r="AX521" s="1655"/>
      <c r="AY521" s="1655"/>
      <c r="AZ521" s="1655"/>
      <c r="BA521" s="1655"/>
      <c r="BB521" s="1655"/>
      <c r="BC521" s="1655"/>
      <c r="BD521" s="1655"/>
      <c r="BE521" s="1655"/>
      <c r="BF521" s="1655"/>
      <c r="BG521" s="1655"/>
      <c r="BH521" s="1655"/>
      <c r="BI521" s="1655"/>
      <c r="BJ521" s="1655"/>
      <c r="BK521" s="1655"/>
      <c r="BL521" s="1655"/>
      <c r="BM521" s="1655"/>
      <c r="BN521" s="1655"/>
      <c r="BO521" s="1655"/>
      <c r="BP521" s="1655"/>
      <c r="BQ521" s="1655"/>
      <c r="BR521" s="1655"/>
      <c r="BS521" s="1655"/>
      <c r="BT521" s="1655"/>
      <c r="BU521" s="1655"/>
      <c r="BV521" s="1655"/>
      <c r="BW521" s="1655"/>
      <c r="BX521" s="1655"/>
      <c r="BY521" s="1655"/>
      <c r="BZ521" s="1655"/>
      <c r="CA521" s="1655"/>
      <c r="CB521" s="1655"/>
      <c r="CC521" s="1655"/>
      <c r="CD521" s="1655"/>
      <c r="CE521" s="1655"/>
      <c r="CF521" s="1655"/>
      <c r="CG521" s="1655"/>
      <c r="CH521" s="1655"/>
      <c r="CI521" s="1655"/>
      <c r="CJ521" s="1655"/>
      <c r="CK521" s="1655"/>
      <c r="CL521" s="1655"/>
      <c r="CM521" s="1655"/>
      <c r="CN521" s="1655"/>
      <c r="CO521" s="1655"/>
      <c r="CP521" s="1655"/>
      <c r="CQ521" s="1655"/>
      <c r="CR521" s="1655"/>
      <c r="CS521" s="1655"/>
      <c r="CT521" s="1655"/>
      <c r="CU521" s="1655"/>
      <c r="CV521" s="1655"/>
      <c r="CW521" s="1655"/>
      <c r="CX521" s="1655"/>
      <c r="CY521" s="1655"/>
      <c r="CZ521" s="1655"/>
      <c r="DA521" s="1655"/>
      <c r="DB521" s="1655"/>
      <c r="DC521" s="1655"/>
      <c r="DD521" s="1655"/>
      <c r="DE521" s="1655"/>
      <c r="DF521" s="1655"/>
      <c r="DG521" s="1655"/>
      <c r="DH521" s="1655"/>
      <c r="DI521" s="1655"/>
      <c r="DJ521" s="1655"/>
      <c r="DK521" s="1655"/>
      <c r="DL521" s="1655"/>
      <c r="DM521" s="1655"/>
      <c r="DN521" s="1655"/>
      <c r="DO521" s="1655"/>
      <c r="DP521" s="1655"/>
      <c r="DQ521" s="1655"/>
      <c r="DR521" s="1655"/>
      <c r="DS521" s="1655"/>
      <c r="DT521" s="1655"/>
      <c r="DU521" s="1655"/>
      <c r="DV521" s="1655"/>
      <c r="DW521" s="1655"/>
      <c r="DX521" s="1655"/>
      <c r="DY521" s="1655"/>
      <c r="DZ521" s="1655"/>
      <c r="EA521" s="1655"/>
      <c r="EB521" s="1655"/>
      <c r="EC521" s="1655"/>
      <c r="ED521" s="1655"/>
      <c r="EE521" s="1655"/>
      <c r="EF521" s="1655"/>
      <c r="EG521" s="1655"/>
      <c r="EH521" s="1655"/>
      <c r="EI521" s="1655"/>
      <c r="EJ521" s="1655"/>
      <c r="EK521" s="1655"/>
      <c r="EL521" s="1655"/>
      <c r="EM521" s="1655"/>
      <c r="EN521" s="1655"/>
      <c r="EO521" s="1655"/>
      <c r="EP521" s="1655"/>
      <c r="EQ521" s="1655"/>
      <c r="ER521" s="1655"/>
      <c r="ES521" s="1655"/>
      <c r="ET521" s="1655"/>
      <c r="EU521" s="1655"/>
      <c r="EV521" s="1655"/>
      <c r="EW521" s="1655"/>
      <c r="EX521" s="1655"/>
      <c r="EY521" s="1655"/>
      <c r="EZ521" s="1655"/>
      <c r="FA521" s="1655"/>
      <c r="FB521" s="1655"/>
      <c r="FC521" s="1655"/>
      <c r="FD521" s="1655"/>
      <c r="FE521" s="1655"/>
      <c r="FF521" s="1655"/>
      <c r="FG521" s="1655"/>
      <c r="FH521" s="1655"/>
      <c r="FI521" s="1655"/>
    </row>
    <row r="522" spans="1:165">
      <c r="A522" s="1655"/>
      <c r="B522" s="1655"/>
      <c r="C522" s="1655"/>
      <c r="D522" s="1655"/>
      <c r="E522" s="1655"/>
      <c r="F522" s="1655"/>
      <c r="G522" s="1655"/>
      <c r="H522" s="1655"/>
      <c r="I522" s="1655"/>
      <c r="J522" s="1655"/>
      <c r="K522" s="1655"/>
      <c r="L522" s="1655"/>
      <c r="M522" s="1655"/>
      <c r="N522" s="1655"/>
      <c r="O522" s="1655"/>
      <c r="P522" s="1655"/>
      <c r="Q522" s="1655"/>
      <c r="R522" s="1655"/>
      <c r="S522" s="1655"/>
      <c r="T522" s="1655"/>
      <c r="U522" s="1655"/>
      <c r="V522" s="1655"/>
      <c r="W522" s="1655"/>
      <c r="X522" s="1655"/>
      <c r="Y522" s="1655"/>
      <c r="Z522" s="1655"/>
      <c r="AA522" s="1655"/>
      <c r="AB522" s="1655"/>
      <c r="AC522" s="1655"/>
      <c r="AD522" s="1655"/>
      <c r="AE522" s="1655"/>
      <c r="AF522" s="1655"/>
      <c r="AG522" s="1655"/>
      <c r="AH522" s="1655"/>
      <c r="AI522" s="1655"/>
      <c r="AJ522" s="1655"/>
      <c r="AK522" s="1655"/>
      <c r="AL522" s="1655"/>
      <c r="AM522" s="1655"/>
      <c r="AN522" s="1655"/>
      <c r="AO522" s="1655"/>
      <c r="AP522" s="1655"/>
      <c r="AQ522" s="1655"/>
      <c r="AR522" s="1655"/>
      <c r="AS522" s="1655"/>
      <c r="AT522" s="1655"/>
      <c r="AU522" s="1655"/>
      <c r="AV522" s="1655"/>
      <c r="AW522" s="1655"/>
      <c r="AX522" s="1655"/>
      <c r="AY522" s="1655"/>
      <c r="AZ522" s="1655"/>
      <c r="BA522" s="1655"/>
      <c r="BB522" s="1655"/>
      <c r="BC522" s="1655"/>
      <c r="BD522" s="1655"/>
      <c r="BE522" s="1655"/>
      <c r="BF522" s="1655"/>
      <c r="BG522" s="1655"/>
      <c r="BH522" s="1655"/>
      <c r="BI522" s="1655"/>
      <c r="BJ522" s="1655"/>
      <c r="BK522" s="1655"/>
      <c r="BL522" s="1655"/>
      <c r="BM522" s="1655"/>
      <c r="BN522" s="1655"/>
      <c r="BO522" s="1655"/>
      <c r="BP522" s="1655"/>
      <c r="BQ522" s="1655"/>
      <c r="BR522" s="1655"/>
      <c r="BS522" s="1655"/>
      <c r="BT522" s="1655"/>
      <c r="BU522" s="1655"/>
      <c r="BV522" s="1655"/>
      <c r="BW522" s="1655"/>
      <c r="BX522" s="1655"/>
      <c r="BY522" s="1655"/>
      <c r="BZ522" s="1655"/>
      <c r="CA522" s="1655"/>
      <c r="CB522" s="1655"/>
      <c r="CC522" s="1655"/>
      <c r="CD522" s="1655"/>
      <c r="CE522" s="1655"/>
      <c r="CF522" s="1655"/>
      <c r="CG522" s="1655"/>
      <c r="CH522" s="1655"/>
      <c r="CI522" s="1655"/>
      <c r="CJ522" s="1655"/>
      <c r="CK522" s="1655"/>
      <c r="CL522" s="1655"/>
      <c r="CM522" s="1655"/>
      <c r="CN522" s="1655"/>
      <c r="CO522" s="1655"/>
      <c r="CP522" s="1655"/>
      <c r="CQ522" s="1655"/>
      <c r="CR522" s="1655"/>
      <c r="CS522" s="1655"/>
      <c r="CT522" s="1655"/>
      <c r="CU522" s="1655"/>
      <c r="CV522" s="1655"/>
      <c r="CW522" s="1655"/>
      <c r="CX522" s="1655"/>
      <c r="CY522" s="1655"/>
      <c r="CZ522" s="1655"/>
      <c r="DA522" s="1655"/>
      <c r="DB522" s="1655"/>
      <c r="DC522" s="1655"/>
      <c r="DD522" s="1655"/>
      <c r="DE522" s="1655"/>
      <c r="DF522" s="1655"/>
      <c r="DG522" s="1655"/>
      <c r="DH522" s="1655"/>
      <c r="DI522" s="1655"/>
      <c r="DJ522" s="1655"/>
      <c r="DK522" s="1655"/>
      <c r="DL522" s="1655"/>
      <c r="DM522" s="1655"/>
      <c r="DN522" s="1655"/>
      <c r="DO522" s="1655"/>
      <c r="DP522" s="1655"/>
      <c r="DQ522" s="1655"/>
      <c r="DR522" s="1655"/>
      <c r="DS522" s="1655"/>
      <c r="DT522" s="1655"/>
      <c r="DU522" s="1655"/>
      <c r="DV522" s="1655"/>
      <c r="DW522" s="1655"/>
      <c r="DX522" s="1655"/>
      <c r="DY522" s="1655"/>
      <c r="DZ522" s="1655"/>
      <c r="EA522" s="1655"/>
      <c r="EB522" s="1655"/>
      <c r="EC522" s="1655"/>
      <c r="ED522" s="1655"/>
      <c r="EE522" s="1655"/>
      <c r="EF522" s="1655"/>
      <c r="EG522" s="1655"/>
      <c r="EH522" s="1655"/>
      <c r="EI522" s="1655"/>
      <c r="EJ522" s="1655"/>
      <c r="EK522" s="1655"/>
      <c r="EL522" s="1655"/>
      <c r="EM522" s="1655"/>
      <c r="EN522" s="1655"/>
      <c r="EO522" s="1655"/>
      <c r="EP522" s="1655"/>
      <c r="EQ522" s="1655"/>
      <c r="ER522" s="1655"/>
      <c r="ES522" s="1655"/>
      <c r="ET522" s="1655"/>
      <c r="EU522" s="1655"/>
      <c r="EV522" s="1655"/>
      <c r="EW522" s="1655"/>
      <c r="EX522" s="1655"/>
      <c r="EY522" s="1655"/>
      <c r="EZ522" s="1655"/>
      <c r="FA522" s="1655"/>
      <c r="FB522" s="1655"/>
      <c r="FC522" s="1655"/>
      <c r="FD522" s="1655"/>
      <c r="FE522" s="1655"/>
      <c r="FF522" s="1655"/>
      <c r="FG522" s="1655"/>
      <c r="FH522" s="1655"/>
      <c r="FI522" s="1655"/>
    </row>
    <row r="523" spans="1:165">
      <c r="A523" s="1655"/>
      <c r="B523" s="1655"/>
      <c r="C523" s="1655"/>
      <c r="D523" s="1655"/>
      <c r="E523" s="1655"/>
      <c r="F523" s="1655"/>
      <c r="G523" s="1655"/>
      <c r="H523" s="1655"/>
      <c r="I523" s="1655"/>
      <c r="J523" s="1655"/>
      <c r="K523" s="1655"/>
      <c r="L523" s="1655"/>
      <c r="M523" s="1655"/>
      <c r="N523" s="1655"/>
      <c r="O523" s="1655"/>
      <c r="P523" s="1655"/>
      <c r="Q523" s="1655"/>
      <c r="R523" s="1655"/>
      <c r="S523" s="1655"/>
      <c r="T523" s="1655"/>
      <c r="U523" s="1655"/>
      <c r="V523" s="1655"/>
      <c r="W523" s="1655"/>
      <c r="X523" s="1655"/>
      <c r="Y523" s="1655"/>
      <c r="Z523" s="1655"/>
      <c r="AA523" s="1655"/>
      <c r="AB523" s="1655"/>
      <c r="AC523" s="1655"/>
      <c r="AD523" s="1655"/>
      <c r="AE523" s="1655"/>
      <c r="AF523" s="1655"/>
      <c r="AG523" s="1655"/>
      <c r="AH523" s="1655"/>
      <c r="AI523" s="1655"/>
      <c r="AJ523" s="1655"/>
      <c r="AK523" s="1655"/>
      <c r="AL523" s="1655"/>
      <c r="AM523" s="1655"/>
      <c r="AN523" s="1655"/>
      <c r="AO523" s="1655"/>
      <c r="AP523" s="1655"/>
      <c r="AQ523" s="1655"/>
      <c r="AR523" s="1655"/>
      <c r="AS523" s="1655"/>
      <c r="AT523" s="1655"/>
      <c r="AU523" s="1655"/>
      <c r="AV523" s="1655"/>
      <c r="AW523" s="1655"/>
      <c r="AX523" s="1655"/>
      <c r="AY523" s="1655"/>
      <c r="AZ523" s="1655"/>
      <c r="BA523" s="1655"/>
      <c r="BB523" s="1655"/>
      <c r="BC523" s="1655"/>
      <c r="BD523" s="1655"/>
      <c r="BE523" s="1655"/>
      <c r="BF523" s="1655"/>
      <c r="BG523" s="1655"/>
      <c r="BH523" s="1655"/>
      <c r="BI523" s="1655"/>
      <c r="BJ523" s="1655"/>
      <c r="BK523" s="1655"/>
      <c r="BL523" s="1655"/>
      <c r="BM523" s="1655"/>
      <c r="BN523" s="1655"/>
      <c r="BO523" s="1655"/>
      <c r="BP523" s="1655"/>
      <c r="BQ523" s="1655"/>
      <c r="BR523" s="1655"/>
      <c r="BS523" s="1655"/>
      <c r="BT523" s="1655"/>
      <c r="BU523" s="1655"/>
      <c r="BV523" s="1655"/>
      <c r="BW523" s="1655"/>
      <c r="BX523" s="1655"/>
      <c r="BY523" s="1655"/>
      <c r="BZ523" s="1655"/>
      <c r="CA523" s="1655"/>
      <c r="CB523" s="1655"/>
      <c r="CC523" s="1655"/>
      <c r="CD523" s="1655"/>
      <c r="CE523" s="1655"/>
      <c r="CF523" s="1655"/>
      <c r="CG523" s="1655"/>
      <c r="CH523" s="1655"/>
      <c r="CI523" s="1655"/>
      <c r="CJ523" s="1655"/>
      <c r="CK523" s="1655"/>
      <c r="CL523" s="1655"/>
      <c r="CM523" s="1655"/>
      <c r="CN523" s="1655"/>
      <c r="CO523" s="1655"/>
      <c r="CP523" s="1655"/>
      <c r="CQ523" s="1655"/>
      <c r="CR523" s="1655"/>
      <c r="CS523" s="1655"/>
      <c r="CT523" s="1655"/>
      <c r="CU523" s="1655"/>
      <c r="CV523" s="1655"/>
      <c r="CW523" s="1655"/>
      <c r="CX523" s="1655"/>
      <c r="CY523" s="1655"/>
      <c r="CZ523" s="1655"/>
      <c r="DA523" s="1655"/>
      <c r="DB523" s="1655"/>
      <c r="DC523" s="1655"/>
      <c r="DD523" s="1655"/>
      <c r="DE523" s="1655"/>
      <c r="DF523" s="1655"/>
      <c r="DG523" s="1655"/>
      <c r="DH523" s="1655"/>
      <c r="DI523" s="1655"/>
      <c r="DJ523" s="1655"/>
      <c r="DK523" s="1655"/>
      <c r="DL523" s="1655"/>
      <c r="DM523" s="1655"/>
      <c r="DN523" s="1655"/>
      <c r="DO523" s="1655"/>
      <c r="DP523" s="1655"/>
      <c r="DQ523" s="1655"/>
      <c r="DR523" s="1655"/>
      <c r="DS523" s="1655"/>
      <c r="DT523" s="1655"/>
      <c r="DU523" s="1655"/>
      <c r="DV523" s="1655"/>
      <c r="DW523" s="1655"/>
      <c r="DX523" s="1655"/>
      <c r="DY523" s="1655"/>
      <c r="DZ523" s="1655"/>
      <c r="EA523" s="1655"/>
      <c r="EB523" s="1655"/>
      <c r="EC523" s="1655"/>
      <c r="ED523" s="1655"/>
      <c r="EE523" s="1655"/>
      <c r="EF523" s="1655"/>
      <c r="EG523" s="1655"/>
      <c r="EH523" s="1655"/>
      <c r="EI523" s="1655"/>
      <c r="EJ523" s="1655"/>
      <c r="EK523" s="1655"/>
      <c r="EL523" s="1655"/>
      <c r="EM523" s="1655"/>
      <c r="EN523" s="1655"/>
      <c r="EO523" s="1655"/>
      <c r="EP523" s="1655"/>
      <c r="EQ523" s="1655"/>
      <c r="ER523" s="1655"/>
      <c r="ES523" s="1655"/>
      <c r="ET523" s="1655"/>
      <c r="EU523" s="1655"/>
      <c r="EV523" s="1655"/>
      <c r="EW523" s="1655"/>
      <c r="EX523" s="1655"/>
      <c r="EY523" s="1655"/>
      <c r="EZ523" s="1655"/>
      <c r="FA523" s="1655"/>
      <c r="FB523" s="1655"/>
      <c r="FC523" s="1655"/>
      <c r="FD523" s="1655"/>
      <c r="FE523" s="1655"/>
      <c r="FF523" s="1655"/>
      <c r="FG523" s="1655"/>
      <c r="FH523" s="1655"/>
      <c r="FI523" s="1655"/>
    </row>
    <row r="524" spans="1:165">
      <c r="A524" s="1655"/>
      <c r="B524" s="1655"/>
      <c r="C524" s="1655"/>
      <c r="D524" s="1655"/>
      <c r="E524" s="1655"/>
      <c r="F524" s="1655"/>
      <c r="G524" s="1655"/>
      <c r="H524" s="1655"/>
      <c r="I524" s="1655"/>
      <c r="J524" s="1655"/>
      <c r="K524" s="1655"/>
      <c r="L524" s="1655"/>
      <c r="M524" s="1655"/>
      <c r="N524" s="1655"/>
      <c r="O524" s="1655"/>
      <c r="P524" s="1655"/>
      <c r="Q524" s="1655"/>
      <c r="R524" s="1655"/>
      <c r="S524" s="1655"/>
      <c r="T524" s="1655"/>
      <c r="U524" s="1655"/>
      <c r="V524" s="1655"/>
      <c r="W524" s="1655"/>
      <c r="X524" s="1655"/>
      <c r="Y524" s="1655"/>
      <c r="Z524" s="1655"/>
      <c r="AA524" s="1655"/>
      <c r="AB524" s="1655"/>
      <c r="AC524" s="1655"/>
      <c r="AD524" s="1655"/>
      <c r="AE524" s="1655"/>
      <c r="AF524" s="1655"/>
      <c r="AG524" s="1655"/>
      <c r="AH524" s="1655"/>
      <c r="AI524" s="1655"/>
      <c r="AJ524" s="1655"/>
      <c r="AK524" s="1655"/>
      <c r="AL524" s="1655"/>
      <c r="AM524" s="1655"/>
      <c r="AN524" s="1655"/>
      <c r="AO524" s="1655"/>
      <c r="AP524" s="1655"/>
      <c r="AQ524" s="1655"/>
      <c r="AR524" s="1655"/>
      <c r="AS524" s="1655"/>
      <c r="AT524" s="1655"/>
      <c r="AU524" s="1655"/>
      <c r="AV524" s="1655"/>
      <c r="AW524" s="1655"/>
      <c r="AX524" s="1655"/>
      <c r="AY524" s="1655"/>
      <c r="AZ524" s="1655"/>
      <c r="BA524" s="1655"/>
      <c r="BB524" s="1655"/>
      <c r="BC524" s="1655"/>
      <c r="BD524" s="1655"/>
      <c r="BE524" s="1655"/>
      <c r="BF524" s="1655"/>
      <c r="BG524" s="1655"/>
      <c r="BH524" s="1655"/>
      <c r="BI524" s="1655"/>
      <c r="BJ524" s="1655"/>
      <c r="BK524" s="1655"/>
      <c r="BL524" s="1655"/>
      <c r="BM524" s="1655"/>
      <c r="BN524" s="1655"/>
      <c r="BO524" s="1655"/>
      <c r="BP524" s="1655"/>
      <c r="BQ524" s="1655"/>
      <c r="BR524" s="1655"/>
      <c r="BS524" s="1655"/>
      <c r="BT524" s="1655"/>
      <c r="BU524" s="1655"/>
      <c r="BV524" s="1655"/>
      <c r="BW524" s="1655"/>
      <c r="BX524" s="1655"/>
      <c r="BY524" s="1655"/>
      <c r="BZ524" s="1655"/>
      <c r="CA524" s="1655"/>
      <c r="CB524" s="1655"/>
      <c r="CC524" s="1655"/>
      <c r="CD524" s="1655"/>
      <c r="CE524" s="1655"/>
      <c r="CF524" s="1655"/>
      <c r="CG524" s="1655"/>
      <c r="CH524" s="1655"/>
      <c r="CI524" s="1655"/>
      <c r="CJ524" s="1655"/>
      <c r="CK524" s="1655"/>
      <c r="CL524" s="1655"/>
      <c r="CM524" s="1655"/>
      <c r="CN524" s="1655"/>
      <c r="CO524" s="1655"/>
      <c r="CP524" s="1655"/>
      <c r="CQ524" s="1655"/>
      <c r="CR524" s="1655"/>
      <c r="CS524" s="1655"/>
      <c r="CT524" s="1655"/>
      <c r="CU524" s="1655"/>
      <c r="CV524" s="1655"/>
      <c r="CW524" s="1655"/>
      <c r="CX524" s="1655"/>
      <c r="CY524" s="1655"/>
      <c r="CZ524" s="1655"/>
      <c r="DA524" s="1655"/>
      <c r="DB524" s="1655"/>
      <c r="DC524" s="1655"/>
      <c r="DD524" s="1655"/>
      <c r="DE524" s="1655"/>
      <c r="DF524" s="1655"/>
      <c r="DG524" s="1655"/>
      <c r="DH524" s="1655"/>
      <c r="DI524" s="1655"/>
      <c r="DJ524" s="1655"/>
      <c r="DK524" s="1655"/>
      <c r="DL524" s="1655"/>
      <c r="DM524" s="1655"/>
      <c r="DN524" s="1655"/>
      <c r="DO524" s="1655"/>
      <c r="DP524" s="1655"/>
      <c r="DQ524" s="1655"/>
      <c r="DR524" s="1655"/>
      <c r="DS524" s="1655"/>
      <c r="DT524" s="1655"/>
      <c r="DU524" s="1655"/>
      <c r="DV524" s="1655"/>
      <c r="DW524" s="1655"/>
      <c r="DX524" s="1655"/>
      <c r="DY524" s="1655"/>
      <c r="DZ524" s="1655"/>
      <c r="EA524" s="1655"/>
      <c r="EB524" s="1655"/>
      <c r="EC524" s="1655"/>
      <c r="ED524" s="1655"/>
      <c r="EE524" s="1655"/>
      <c r="EF524" s="1655"/>
      <c r="EG524" s="1655"/>
      <c r="EH524" s="1655"/>
      <c r="EI524" s="1655"/>
      <c r="EJ524" s="1655"/>
      <c r="EK524" s="1655"/>
      <c r="EL524" s="1655"/>
      <c r="EM524" s="1655"/>
      <c r="EN524" s="1655"/>
      <c r="EO524" s="1655"/>
      <c r="EP524" s="1655"/>
      <c r="EQ524" s="1655"/>
      <c r="ER524" s="1655"/>
      <c r="ES524" s="1655"/>
      <c r="ET524" s="1655"/>
      <c r="EU524" s="1655"/>
      <c r="EV524" s="1655"/>
      <c r="EW524" s="1655"/>
      <c r="EX524" s="1655"/>
      <c r="EY524" s="1655"/>
      <c r="EZ524" s="1655"/>
      <c r="FA524" s="1655"/>
      <c r="FB524" s="1655"/>
      <c r="FC524" s="1655"/>
      <c r="FD524" s="1655"/>
      <c r="FE524" s="1655"/>
      <c r="FF524" s="1655"/>
      <c r="FG524" s="1655"/>
      <c r="FH524" s="1655"/>
      <c r="FI524" s="1655"/>
    </row>
    <row r="525" spans="1:165">
      <c r="A525" s="1655"/>
      <c r="B525" s="1655"/>
      <c r="C525" s="1655"/>
      <c r="D525" s="1655"/>
      <c r="E525" s="1655"/>
      <c r="F525" s="1655"/>
      <c r="G525" s="1655"/>
      <c r="H525" s="1655"/>
      <c r="I525" s="1655"/>
      <c r="J525" s="1655"/>
      <c r="K525" s="1655"/>
      <c r="L525" s="1655"/>
      <c r="M525" s="1655"/>
      <c r="N525" s="1655"/>
      <c r="O525" s="1655"/>
      <c r="P525" s="1655"/>
      <c r="Q525" s="1655"/>
      <c r="R525" s="1655"/>
      <c r="S525" s="1655"/>
      <c r="T525" s="1655"/>
      <c r="U525" s="1655"/>
      <c r="V525" s="1655"/>
      <c r="W525" s="1655"/>
      <c r="X525" s="1655"/>
      <c r="Y525" s="1655"/>
      <c r="Z525" s="1655"/>
      <c r="AA525" s="1655"/>
      <c r="AB525" s="1655"/>
      <c r="AC525" s="1655"/>
      <c r="AD525" s="1655"/>
      <c r="AE525" s="1655"/>
      <c r="AF525" s="1655"/>
      <c r="AG525" s="1655"/>
      <c r="AH525" s="1655"/>
      <c r="AI525" s="1655"/>
      <c r="AJ525" s="1655"/>
      <c r="AK525" s="1655"/>
      <c r="AL525" s="1655"/>
      <c r="AM525" s="1655"/>
      <c r="AN525" s="1655"/>
      <c r="AO525" s="1655"/>
      <c r="AP525" s="1655"/>
      <c r="AQ525" s="1655"/>
      <c r="AR525" s="1655"/>
      <c r="AS525" s="1655"/>
      <c r="AT525" s="1655"/>
      <c r="AU525" s="1655"/>
      <c r="AV525" s="1655"/>
      <c r="AW525" s="1655"/>
      <c r="AX525" s="1655"/>
      <c r="AY525" s="1655"/>
      <c r="AZ525" s="1655"/>
      <c r="BA525" s="1655"/>
      <c r="BB525" s="1655"/>
      <c r="BC525" s="1655"/>
      <c r="BD525" s="1655"/>
      <c r="BE525" s="1655"/>
      <c r="BF525" s="1655"/>
      <c r="BG525" s="1655"/>
      <c r="BH525" s="1655"/>
      <c r="BI525" s="1655"/>
      <c r="BJ525" s="1655"/>
      <c r="BK525" s="1655"/>
      <c r="BL525" s="1655"/>
      <c r="BM525" s="1655"/>
      <c r="BN525" s="1655"/>
      <c r="BO525" s="1655"/>
      <c r="BP525" s="1655"/>
      <c r="BQ525" s="1655"/>
      <c r="BR525" s="1655"/>
      <c r="BS525" s="1655"/>
      <c r="BT525" s="1655"/>
      <c r="BU525" s="1655"/>
      <c r="BV525" s="1655"/>
      <c r="BW525" s="1655"/>
      <c r="BX525" s="1655"/>
      <c r="BY525" s="1655"/>
      <c r="BZ525" s="1655"/>
      <c r="CA525" s="1655"/>
      <c r="CB525" s="1655"/>
      <c r="CC525" s="1655"/>
      <c r="CD525" s="1655"/>
      <c r="CE525" s="1655"/>
      <c r="CF525" s="1655"/>
      <c r="CG525" s="1655"/>
      <c r="CH525" s="1655"/>
      <c r="CI525" s="1655"/>
      <c r="CJ525" s="1655"/>
      <c r="CK525" s="1655"/>
      <c r="CL525" s="1655"/>
      <c r="CM525" s="1655"/>
      <c r="CN525" s="1655"/>
      <c r="CO525" s="1655"/>
      <c r="CP525" s="1655"/>
      <c r="CQ525" s="1655"/>
      <c r="CR525" s="1655"/>
      <c r="CS525" s="1655"/>
      <c r="CT525" s="1655"/>
      <c r="CU525" s="1655"/>
      <c r="CV525" s="1655"/>
      <c r="CW525" s="1655"/>
      <c r="CX525" s="1655"/>
      <c r="CY525" s="1655"/>
      <c r="CZ525" s="1655"/>
      <c r="DA525" s="1655"/>
      <c r="DB525" s="1655"/>
      <c r="DC525" s="1655"/>
      <c r="DD525" s="1655"/>
      <c r="DE525" s="1655"/>
      <c r="DF525" s="1655"/>
      <c r="DG525" s="1655"/>
      <c r="DH525" s="1655"/>
      <c r="DI525" s="1655"/>
      <c r="DJ525" s="1655"/>
      <c r="DK525" s="1655"/>
      <c r="DL525" s="1655"/>
      <c r="DM525" s="1655"/>
      <c r="DN525" s="1655"/>
      <c r="DO525" s="1655"/>
      <c r="DP525" s="1655"/>
      <c r="DQ525" s="1655"/>
      <c r="DR525" s="1655"/>
      <c r="DS525" s="1655"/>
      <c r="DT525" s="1655"/>
      <c r="DU525" s="1655"/>
      <c r="DV525" s="1655"/>
      <c r="DW525" s="1655"/>
      <c r="DX525" s="1655"/>
      <c r="DY525" s="1655"/>
      <c r="DZ525" s="1655"/>
      <c r="EA525" s="1655"/>
      <c r="EB525" s="1655"/>
      <c r="EC525" s="1655"/>
      <c r="ED525" s="1655"/>
      <c r="EE525" s="1655"/>
      <c r="EF525" s="1655"/>
      <c r="EG525" s="1655"/>
      <c r="EH525" s="1655"/>
      <c r="EI525" s="1655"/>
      <c r="EJ525" s="1655"/>
      <c r="EK525" s="1655"/>
      <c r="EL525" s="1655"/>
      <c r="EM525" s="1655"/>
      <c r="EN525" s="1655"/>
      <c r="EO525" s="1655"/>
      <c r="EP525" s="1655"/>
      <c r="EQ525" s="1655"/>
      <c r="ER525" s="1655"/>
      <c r="ES525" s="1655"/>
      <c r="ET525" s="1655"/>
      <c r="EU525" s="1655"/>
      <c r="EV525" s="1655"/>
      <c r="EW525" s="1655"/>
      <c r="EX525" s="1655"/>
      <c r="EY525" s="1655"/>
      <c r="EZ525" s="1655"/>
      <c r="FA525" s="1655"/>
      <c r="FB525" s="1655"/>
      <c r="FC525" s="1655"/>
      <c r="FD525" s="1655"/>
      <c r="FE525" s="1655"/>
      <c r="FF525" s="1655"/>
      <c r="FG525" s="1655"/>
      <c r="FH525" s="1655"/>
      <c r="FI525" s="1655"/>
    </row>
    <row r="526" spans="1:165">
      <c r="A526" s="1655"/>
      <c r="B526" s="1655"/>
      <c r="C526" s="1655"/>
      <c r="D526" s="1655"/>
      <c r="E526" s="1655"/>
      <c r="F526" s="1655"/>
      <c r="G526" s="1655"/>
      <c r="H526" s="1655"/>
      <c r="I526" s="1655"/>
      <c r="J526" s="1655"/>
      <c r="K526" s="1655"/>
      <c r="L526" s="1655"/>
      <c r="M526" s="1655"/>
      <c r="N526" s="1655"/>
      <c r="O526" s="1655"/>
      <c r="P526" s="1655"/>
      <c r="Q526" s="1655"/>
      <c r="R526" s="1655"/>
      <c r="S526" s="1655"/>
      <c r="T526" s="1655"/>
      <c r="U526" s="1655"/>
      <c r="V526" s="1655"/>
      <c r="W526" s="1655"/>
      <c r="X526" s="1655"/>
      <c r="Y526" s="1655"/>
      <c r="Z526" s="1655"/>
      <c r="AA526" s="1655"/>
      <c r="AB526" s="1655"/>
      <c r="AC526" s="1655"/>
      <c r="AD526" s="1655"/>
      <c r="AE526" s="1655"/>
      <c r="AF526" s="1655"/>
      <c r="AG526" s="1655"/>
      <c r="AH526" s="1655"/>
      <c r="AI526" s="1655"/>
      <c r="AJ526" s="1655"/>
      <c r="AK526" s="1655"/>
      <c r="AL526" s="1655"/>
      <c r="AM526" s="1655"/>
      <c r="AN526" s="1655"/>
      <c r="AO526" s="1655"/>
      <c r="AP526" s="1655"/>
      <c r="AQ526" s="1655"/>
      <c r="AR526" s="1655"/>
      <c r="AS526" s="1655"/>
      <c r="AT526" s="1655"/>
      <c r="AU526" s="1655"/>
      <c r="AV526" s="1655"/>
      <c r="AW526" s="1655"/>
      <c r="AX526" s="1655"/>
      <c r="AY526" s="1655"/>
      <c r="AZ526" s="1655"/>
      <c r="BA526" s="1655"/>
      <c r="BB526" s="1655"/>
      <c r="BC526" s="1655"/>
      <c r="BD526" s="1655"/>
      <c r="BE526" s="1655"/>
      <c r="BF526" s="1655"/>
      <c r="BG526" s="1655"/>
      <c r="BH526" s="1655"/>
      <c r="BI526" s="1655"/>
      <c r="BJ526" s="1655"/>
      <c r="BK526" s="1655"/>
      <c r="BL526" s="1655"/>
      <c r="BM526" s="1655"/>
      <c r="BN526" s="1655"/>
      <c r="BO526" s="1655"/>
      <c r="BP526" s="1655"/>
      <c r="BQ526" s="1655"/>
      <c r="BR526" s="1655"/>
      <c r="BS526" s="1655"/>
      <c r="BT526" s="1655"/>
      <c r="BU526" s="1655"/>
      <c r="BV526" s="1655"/>
      <c r="BW526" s="1655"/>
      <c r="BX526" s="1655"/>
      <c r="BY526" s="1655"/>
      <c r="BZ526" s="1655"/>
      <c r="CA526" s="1655"/>
      <c r="CB526" s="1655"/>
      <c r="CC526" s="1655"/>
      <c r="CD526" s="1655"/>
      <c r="CE526" s="1655"/>
      <c r="CF526" s="1655"/>
      <c r="CG526" s="1655"/>
      <c r="CH526" s="1655"/>
      <c r="CI526" s="1655"/>
      <c r="CJ526" s="1655"/>
      <c r="CK526" s="1655"/>
      <c r="CL526" s="1655"/>
      <c r="CM526" s="1655"/>
      <c r="CN526" s="1655"/>
      <c r="CO526" s="1655"/>
      <c r="CP526" s="1655"/>
      <c r="CQ526" s="1655"/>
      <c r="CR526" s="1655"/>
      <c r="CS526" s="1655"/>
      <c r="CT526" s="1655"/>
      <c r="CU526" s="1655"/>
      <c r="CV526" s="1655"/>
      <c r="CW526" s="1655"/>
      <c r="CX526" s="1655"/>
      <c r="CY526" s="1655"/>
      <c r="CZ526" s="1655"/>
      <c r="DA526" s="1655"/>
      <c r="DB526" s="1655"/>
      <c r="DC526" s="1655"/>
      <c r="DD526" s="1655"/>
      <c r="DE526" s="1655"/>
      <c r="DF526" s="1655"/>
      <c r="DG526" s="1655"/>
      <c r="DH526" s="1655"/>
      <c r="DI526" s="1655"/>
      <c r="DJ526" s="1655"/>
      <c r="DK526" s="1655"/>
      <c r="DL526" s="1655"/>
      <c r="DM526" s="1655"/>
      <c r="DN526" s="1655"/>
      <c r="DO526" s="1655"/>
      <c r="DP526" s="1655"/>
      <c r="DQ526" s="1655"/>
      <c r="DR526" s="1655"/>
      <c r="DS526" s="1655"/>
      <c r="DT526" s="1655"/>
      <c r="DU526" s="1655"/>
      <c r="DV526" s="1655"/>
      <c r="DW526" s="1655"/>
      <c r="DX526" s="1655"/>
      <c r="DY526" s="1655"/>
      <c r="DZ526" s="1655"/>
      <c r="EA526" s="1655"/>
      <c r="EB526" s="1655"/>
      <c r="EC526" s="1655"/>
      <c r="ED526" s="1655"/>
      <c r="EE526" s="1655"/>
      <c r="EF526" s="1655"/>
      <c r="EG526" s="1655"/>
      <c r="EH526" s="1655"/>
      <c r="EI526" s="1655"/>
      <c r="EJ526" s="1655"/>
      <c r="EK526" s="1655"/>
      <c r="EL526" s="1655"/>
      <c r="EM526" s="1655"/>
      <c r="EN526" s="1655"/>
      <c r="EO526" s="1655"/>
      <c r="EP526" s="1655"/>
      <c r="EQ526" s="1655"/>
      <c r="ER526" s="1655"/>
      <c r="ES526" s="1655"/>
      <c r="ET526" s="1655"/>
      <c r="EU526" s="1655"/>
      <c r="EV526" s="1655"/>
      <c r="EW526" s="1655"/>
      <c r="EX526" s="1655"/>
      <c r="EY526" s="1655"/>
      <c r="EZ526" s="1655"/>
      <c r="FA526" s="1655"/>
      <c r="FB526" s="1655"/>
      <c r="FC526" s="1655"/>
      <c r="FD526" s="1655"/>
      <c r="FE526" s="1655"/>
      <c r="FF526" s="1655"/>
      <c r="FG526" s="1655"/>
      <c r="FH526" s="1655"/>
      <c r="FI526" s="1655"/>
    </row>
    <row r="527" spans="1:165">
      <c r="A527" s="1655"/>
      <c r="B527" s="1655"/>
      <c r="C527" s="1655"/>
      <c r="D527" s="1655"/>
      <c r="E527" s="1655"/>
      <c r="F527" s="1655"/>
      <c r="G527" s="1655"/>
      <c r="H527" s="1655"/>
      <c r="I527" s="1655"/>
      <c r="J527" s="1655"/>
      <c r="K527" s="1655"/>
      <c r="L527" s="1655"/>
      <c r="M527" s="1655"/>
      <c r="N527" s="1655"/>
      <c r="O527" s="1655"/>
      <c r="P527" s="1655"/>
      <c r="Q527" s="1655"/>
      <c r="R527" s="1655"/>
      <c r="S527" s="1655"/>
      <c r="T527" s="1655"/>
      <c r="U527" s="1655"/>
      <c r="V527" s="1655"/>
      <c r="W527" s="1655"/>
      <c r="X527" s="1655"/>
      <c r="Y527" s="1655"/>
      <c r="Z527" s="1655"/>
      <c r="AA527" s="1655"/>
      <c r="AB527" s="1655"/>
      <c r="AC527" s="1655"/>
      <c r="AD527" s="1655"/>
      <c r="AE527" s="1655"/>
      <c r="AF527" s="1655"/>
      <c r="AG527" s="1655"/>
      <c r="AH527" s="1655"/>
      <c r="AI527" s="1655"/>
      <c r="AJ527" s="1655"/>
      <c r="AK527" s="1655"/>
      <c r="AL527" s="1655"/>
      <c r="AM527" s="1655"/>
      <c r="AN527" s="1655"/>
      <c r="AO527" s="1655"/>
      <c r="AP527" s="1655"/>
      <c r="AQ527" s="1655"/>
      <c r="AR527" s="1655"/>
      <c r="AS527" s="1655"/>
      <c r="AT527" s="1655"/>
      <c r="AU527" s="1655"/>
      <c r="AV527" s="1655"/>
      <c r="AW527" s="1655"/>
      <c r="AX527" s="1655"/>
      <c r="AY527" s="1655"/>
      <c r="AZ527" s="1655"/>
      <c r="BA527" s="1655"/>
      <c r="BB527" s="1655"/>
      <c r="BC527" s="1655"/>
      <c r="BD527" s="1655"/>
      <c r="BE527" s="1655"/>
      <c r="BF527" s="1655"/>
      <c r="BG527" s="1655"/>
      <c r="BH527" s="1655"/>
      <c r="BI527" s="1655"/>
      <c r="BJ527" s="1655"/>
      <c r="BK527" s="1655"/>
      <c r="BL527" s="1655"/>
      <c r="BM527" s="1655"/>
      <c r="BN527" s="1655"/>
      <c r="BO527" s="1655"/>
      <c r="BP527" s="1655"/>
      <c r="BQ527" s="1655"/>
      <c r="BR527" s="1655"/>
      <c r="BS527" s="1655"/>
      <c r="BT527" s="1655"/>
      <c r="BU527" s="1655"/>
      <c r="BV527" s="1655"/>
      <c r="BW527" s="1655"/>
      <c r="BX527" s="1655"/>
      <c r="BY527" s="1655"/>
      <c r="BZ527" s="1655"/>
      <c r="CA527" s="1655"/>
      <c r="CB527" s="1655"/>
      <c r="CC527" s="1655"/>
      <c r="CD527" s="1655"/>
      <c r="CE527" s="1655"/>
      <c r="CF527" s="1655"/>
      <c r="CG527" s="1655"/>
      <c r="CH527" s="1655"/>
      <c r="CI527" s="1655"/>
      <c r="CJ527" s="1655"/>
      <c r="CK527" s="1655"/>
      <c r="CL527" s="1655"/>
      <c r="CM527" s="1655"/>
      <c r="CN527" s="1655"/>
      <c r="CO527" s="1655"/>
      <c r="CP527" s="1655"/>
      <c r="CQ527" s="1655"/>
      <c r="CR527" s="1655"/>
      <c r="CS527" s="1655"/>
      <c r="CT527" s="1655"/>
      <c r="CU527" s="1655"/>
      <c r="CV527" s="1655"/>
      <c r="CW527" s="1655"/>
      <c r="CX527" s="1655"/>
      <c r="CY527" s="1655"/>
      <c r="CZ527" s="1655"/>
      <c r="DA527" s="1655"/>
      <c r="DB527" s="1655"/>
      <c r="DC527" s="1655"/>
      <c r="DD527" s="1655"/>
      <c r="DE527" s="1655"/>
      <c r="DF527" s="1655"/>
      <c r="DG527" s="1655"/>
      <c r="DH527" s="1655"/>
      <c r="DI527" s="1655"/>
      <c r="DJ527" s="1655"/>
      <c r="DK527" s="1655"/>
      <c r="DL527" s="1655"/>
      <c r="DM527" s="1655"/>
      <c r="DN527" s="1655"/>
      <c r="DO527" s="1655"/>
      <c r="DP527" s="1655"/>
      <c r="DQ527" s="1655"/>
      <c r="DR527" s="1655"/>
      <c r="DS527" s="1655"/>
      <c r="DT527" s="1655"/>
      <c r="DU527" s="1655"/>
      <c r="DV527" s="1655"/>
      <c r="DW527" s="1655"/>
      <c r="DX527" s="1655"/>
      <c r="DY527" s="1655"/>
      <c r="DZ527" s="1655"/>
      <c r="EA527" s="1655"/>
      <c r="EB527" s="1655"/>
      <c r="EC527" s="1655"/>
      <c r="ED527" s="1655"/>
      <c r="EE527" s="1655"/>
      <c r="EF527" s="1655"/>
      <c r="EG527" s="1655"/>
      <c r="EH527" s="1655"/>
      <c r="EI527" s="1655"/>
      <c r="EJ527" s="1655"/>
      <c r="EK527" s="1655"/>
      <c r="EL527" s="1655"/>
      <c r="EM527" s="1655"/>
      <c r="EN527" s="1655"/>
      <c r="EO527" s="1655"/>
      <c r="EP527" s="1655"/>
      <c r="EQ527" s="1655"/>
      <c r="ER527" s="1655"/>
      <c r="ES527" s="1655"/>
      <c r="ET527" s="1655"/>
      <c r="EU527" s="1655"/>
      <c r="EV527" s="1655"/>
      <c r="EW527" s="1655"/>
      <c r="EX527" s="1655"/>
      <c r="EY527" s="1655"/>
      <c r="EZ527" s="1655"/>
      <c r="FA527" s="1655"/>
      <c r="FB527" s="1655"/>
      <c r="FC527" s="1655"/>
      <c r="FD527" s="1655"/>
      <c r="FE527" s="1655"/>
      <c r="FF527" s="1655"/>
      <c r="FG527" s="1655"/>
      <c r="FH527" s="1655"/>
      <c r="FI527" s="1655"/>
    </row>
    <row r="528" spans="1:165">
      <c r="A528" s="1655"/>
      <c r="B528" s="1655"/>
      <c r="C528" s="1655"/>
      <c r="D528" s="1655"/>
      <c r="E528" s="1655"/>
      <c r="F528" s="1655"/>
      <c r="G528" s="1655"/>
      <c r="H528" s="1655"/>
      <c r="I528" s="1655"/>
      <c r="J528" s="1655"/>
      <c r="K528" s="1655"/>
      <c r="L528" s="1655"/>
      <c r="M528" s="1655"/>
      <c r="N528" s="1655"/>
      <c r="O528" s="1655"/>
      <c r="P528" s="1655"/>
      <c r="Q528" s="1655"/>
      <c r="R528" s="1655"/>
      <c r="S528" s="1655"/>
      <c r="T528" s="1655"/>
      <c r="U528" s="1655"/>
      <c r="V528" s="1655"/>
      <c r="W528" s="1655"/>
      <c r="X528" s="1655"/>
      <c r="Y528" s="1655"/>
      <c r="Z528" s="1655"/>
      <c r="AA528" s="1655"/>
      <c r="AB528" s="1655"/>
      <c r="AC528" s="1655"/>
      <c r="AD528" s="1655"/>
      <c r="AE528" s="1655"/>
      <c r="AF528" s="1655"/>
      <c r="AG528" s="1655"/>
      <c r="AH528" s="1655"/>
      <c r="AI528" s="1655"/>
      <c r="AJ528" s="1655"/>
      <c r="AK528" s="1655"/>
      <c r="AL528" s="1655"/>
      <c r="AM528" s="1655"/>
      <c r="AN528" s="1655"/>
      <c r="AO528" s="1655"/>
      <c r="AP528" s="1655"/>
      <c r="AQ528" s="1655"/>
      <c r="AR528" s="1655"/>
      <c r="AS528" s="1655"/>
      <c r="AT528" s="1655"/>
      <c r="AU528" s="1655"/>
      <c r="AV528" s="1655"/>
      <c r="AW528" s="1655"/>
      <c r="AX528" s="1655"/>
      <c r="AY528" s="1655"/>
      <c r="AZ528" s="1655"/>
      <c r="BA528" s="1655"/>
      <c r="BB528" s="1655"/>
      <c r="BC528" s="1655"/>
      <c r="BD528" s="1655"/>
      <c r="BE528" s="1655"/>
      <c r="BF528" s="1655"/>
      <c r="BG528" s="1655"/>
      <c r="BH528" s="1655"/>
      <c r="BI528" s="1655"/>
      <c r="BJ528" s="1655"/>
      <c r="BK528" s="1655"/>
      <c r="BL528" s="1655"/>
      <c r="BM528" s="1655"/>
      <c r="BN528" s="1655"/>
      <c r="BO528" s="1655"/>
      <c r="BP528" s="1655"/>
      <c r="BQ528" s="1655"/>
      <c r="BR528" s="1655"/>
      <c r="BS528" s="1655"/>
      <c r="BT528" s="1655"/>
      <c r="BU528" s="1655"/>
      <c r="BV528" s="1655"/>
      <c r="BW528" s="1655"/>
      <c r="BX528" s="1655"/>
      <c r="BY528" s="1655"/>
      <c r="BZ528" s="1655"/>
      <c r="CA528" s="1655"/>
      <c r="CB528" s="1655"/>
      <c r="CC528" s="1655"/>
      <c r="CD528" s="1655"/>
      <c r="CE528" s="1655"/>
      <c r="CF528" s="1655"/>
      <c r="CG528" s="1655"/>
      <c r="CH528" s="1655"/>
      <c r="CI528" s="1655"/>
      <c r="CJ528" s="1655"/>
      <c r="CK528" s="1655"/>
      <c r="CL528" s="1655"/>
      <c r="CM528" s="1655"/>
      <c r="CN528" s="1655"/>
      <c r="CO528" s="1655"/>
      <c r="CP528" s="1655"/>
      <c r="CQ528" s="1655"/>
      <c r="CR528" s="1655"/>
      <c r="CS528" s="1655"/>
      <c r="CT528" s="1655"/>
      <c r="CU528" s="1655"/>
      <c r="CV528" s="1655"/>
      <c r="CW528" s="1655"/>
      <c r="CX528" s="1655"/>
      <c r="CY528" s="1655"/>
      <c r="CZ528" s="1655"/>
      <c r="DA528" s="1655"/>
      <c r="DB528" s="1655"/>
      <c r="DC528" s="1655"/>
      <c r="DD528" s="1655"/>
      <c r="DE528" s="1655"/>
      <c r="DF528" s="1655"/>
      <c r="DG528" s="1655"/>
      <c r="DH528" s="1655"/>
      <c r="DI528" s="1655"/>
      <c r="DJ528" s="1655"/>
      <c r="DK528" s="1655"/>
      <c r="DL528" s="1655"/>
      <c r="DM528" s="1655"/>
      <c r="DN528" s="1655"/>
      <c r="DO528" s="1655"/>
      <c r="DP528" s="1655"/>
      <c r="DQ528" s="1655"/>
      <c r="DR528" s="1655"/>
      <c r="DS528" s="1655"/>
      <c r="DT528" s="1655"/>
      <c r="DU528" s="1655"/>
      <c r="DV528" s="1655"/>
      <c r="DW528" s="1655"/>
      <c r="DX528" s="1655"/>
      <c r="DY528" s="1655"/>
      <c r="DZ528" s="1655"/>
      <c r="EA528" s="1655"/>
      <c r="EB528" s="1655"/>
      <c r="EC528" s="1655"/>
      <c r="ED528" s="1655"/>
      <c r="EE528" s="1655"/>
      <c r="EF528" s="1655"/>
      <c r="EG528" s="1655"/>
      <c r="EH528" s="1655"/>
      <c r="EI528" s="1655"/>
      <c r="EJ528" s="1655"/>
      <c r="EK528" s="1655"/>
      <c r="EL528" s="1655"/>
      <c r="EM528" s="1655"/>
      <c r="EN528" s="1655"/>
      <c r="EO528" s="1655"/>
      <c r="EP528" s="1655"/>
      <c r="EQ528" s="1655"/>
      <c r="ER528" s="1655"/>
      <c r="ES528" s="1655"/>
      <c r="ET528" s="1655"/>
      <c r="EU528" s="1655"/>
      <c r="EV528" s="1655"/>
      <c r="EW528" s="1655"/>
      <c r="EX528" s="1655"/>
      <c r="EY528" s="1655"/>
      <c r="EZ528" s="1655"/>
      <c r="FA528" s="1655"/>
      <c r="FB528" s="1655"/>
      <c r="FC528" s="1655"/>
      <c r="FD528" s="1655"/>
      <c r="FE528" s="1655"/>
      <c r="FF528" s="1655"/>
      <c r="FG528" s="1655"/>
      <c r="FH528" s="1655"/>
      <c r="FI528" s="1655"/>
    </row>
    <row r="529" spans="1:165">
      <c r="A529" s="1655"/>
      <c r="B529" s="1655"/>
      <c r="C529" s="1655"/>
      <c r="D529" s="1655"/>
      <c r="E529" s="1655"/>
      <c r="F529" s="1655"/>
      <c r="G529" s="1655"/>
      <c r="H529" s="1655"/>
      <c r="I529" s="1655"/>
      <c r="J529" s="1655"/>
      <c r="K529" s="1655"/>
      <c r="L529" s="1655"/>
      <c r="M529" s="1655"/>
      <c r="N529" s="1655"/>
      <c r="O529" s="1655"/>
      <c r="P529" s="1655"/>
      <c r="Q529" s="1655"/>
      <c r="R529" s="1655"/>
      <c r="S529" s="1655"/>
      <c r="T529" s="1655"/>
      <c r="U529" s="1655"/>
      <c r="V529" s="1655"/>
      <c r="W529" s="1655"/>
      <c r="X529" s="1655"/>
      <c r="Y529" s="1655"/>
      <c r="Z529" s="1655"/>
      <c r="AA529" s="1655"/>
      <c r="AB529" s="1655"/>
      <c r="AC529" s="1655"/>
      <c r="AD529" s="1655"/>
      <c r="AE529" s="1655"/>
      <c r="AF529" s="1655"/>
      <c r="AG529" s="1655"/>
      <c r="AH529" s="1655"/>
      <c r="AI529" s="1655"/>
      <c r="AJ529" s="1655"/>
      <c r="AK529" s="1655"/>
      <c r="AL529" s="1655"/>
      <c r="AM529" s="1655"/>
      <c r="AN529" s="1655"/>
      <c r="AO529" s="1655"/>
      <c r="AP529" s="1655"/>
      <c r="AQ529" s="1655"/>
      <c r="AR529" s="1655"/>
      <c r="AS529" s="1655"/>
      <c r="AT529" s="1655"/>
      <c r="AU529" s="1655"/>
      <c r="AV529" s="1655"/>
      <c r="AW529" s="1655"/>
      <c r="AX529" s="1655"/>
      <c r="AY529" s="1655"/>
      <c r="AZ529" s="1655"/>
      <c r="BA529" s="1655"/>
      <c r="BB529" s="1655"/>
      <c r="BC529" s="1655"/>
      <c r="BD529" s="1655"/>
      <c r="BE529" s="1655"/>
      <c r="BF529" s="1655"/>
      <c r="BG529" s="1655"/>
      <c r="BH529" s="1655"/>
      <c r="BI529" s="1655"/>
      <c r="BJ529" s="1655"/>
      <c r="BK529" s="1655"/>
      <c r="BL529" s="1655"/>
      <c r="BM529" s="1655"/>
      <c r="BN529" s="1655"/>
      <c r="BO529" s="1655"/>
      <c r="BP529" s="1655"/>
      <c r="BQ529" s="1655"/>
      <c r="BR529" s="1655"/>
      <c r="BS529" s="1655"/>
      <c r="BT529" s="1655"/>
      <c r="BU529" s="1655"/>
      <c r="BV529" s="1655"/>
      <c r="BW529" s="1655"/>
      <c r="BX529" s="1655"/>
      <c r="BY529" s="1655"/>
      <c r="BZ529" s="1655"/>
      <c r="CA529" s="1655"/>
      <c r="CB529" s="1655"/>
      <c r="CC529" s="1655"/>
      <c r="CD529" s="1655"/>
      <c r="CE529" s="1655"/>
      <c r="CF529" s="1655"/>
      <c r="CG529" s="1655"/>
      <c r="CH529" s="1655"/>
      <c r="CI529" s="1655"/>
      <c r="CJ529" s="1655"/>
      <c r="CK529" s="1655"/>
      <c r="CL529" s="1655"/>
      <c r="CM529" s="1655"/>
      <c r="CN529" s="1655"/>
      <c r="CO529" s="1655"/>
      <c r="CP529" s="1655"/>
      <c r="CQ529" s="1655"/>
      <c r="CR529" s="1655"/>
      <c r="CS529" s="1655"/>
      <c r="CT529" s="1655"/>
      <c r="CU529" s="1655"/>
      <c r="CV529" s="1655"/>
      <c r="CW529" s="1655"/>
      <c r="CX529" s="1655"/>
      <c r="CY529" s="1655"/>
      <c r="CZ529" s="1655"/>
      <c r="DA529" s="1655"/>
      <c r="DB529" s="1655"/>
      <c r="DC529" s="1655"/>
      <c r="DD529" s="1655"/>
      <c r="DE529" s="1655"/>
      <c r="DF529" s="1655"/>
      <c r="DG529" s="1655"/>
      <c r="DH529" s="1655"/>
      <c r="DI529" s="1655"/>
      <c r="DJ529" s="1655"/>
      <c r="DK529" s="1655"/>
      <c r="DL529" s="1655"/>
      <c r="DM529" s="1655"/>
      <c r="DN529" s="1655"/>
      <c r="DO529" s="1655"/>
      <c r="DP529" s="1655"/>
      <c r="DQ529" s="1655"/>
      <c r="DR529" s="1655"/>
      <c r="DS529" s="1655"/>
      <c r="DT529" s="1655"/>
      <c r="DU529" s="1655"/>
      <c r="DV529" s="1655"/>
      <c r="DW529" s="1655"/>
      <c r="DX529" s="1655"/>
      <c r="DY529" s="1655"/>
      <c r="DZ529" s="1655"/>
      <c r="EA529" s="1655"/>
      <c r="EB529" s="1655"/>
      <c r="EC529" s="1655"/>
      <c r="ED529" s="1655"/>
      <c r="EE529" s="1655"/>
      <c r="EF529" s="1655"/>
      <c r="EG529" s="1655"/>
      <c r="EH529" s="1655"/>
      <c r="EI529" s="1655"/>
      <c r="EJ529" s="1655"/>
      <c r="EK529" s="1655"/>
      <c r="EL529" s="1655"/>
      <c r="EM529" s="1655"/>
      <c r="EN529" s="1655"/>
      <c r="EO529" s="1655"/>
      <c r="EP529" s="1655"/>
      <c r="EQ529" s="1655"/>
      <c r="ER529" s="1655"/>
      <c r="ES529" s="1655"/>
      <c r="ET529" s="1655"/>
      <c r="EU529" s="1655"/>
      <c r="EV529" s="1655"/>
      <c r="EW529" s="1655"/>
      <c r="EX529" s="1655"/>
      <c r="EY529" s="1655"/>
      <c r="EZ529" s="1655"/>
      <c r="FA529" s="1655"/>
      <c r="FB529" s="1655"/>
      <c r="FC529" s="1655"/>
      <c r="FD529" s="1655"/>
      <c r="FE529" s="1655"/>
      <c r="FF529" s="1655"/>
      <c r="FG529" s="1655"/>
      <c r="FH529" s="1655"/>
      <c r="FI529" s="1655"/>
    </row>
    <row r="530" spans="1:165">
      <c r="A530" s="1655"/>
      <c r="B530" s="1655"/>
      <c r="C530" s="1655"/>
      <c r="D530" s="1655"/>
      <c r="E530" s="1655"/>
      <c r="F530" s="1655"/>
      <c r="G530" s="1655"/>
      <c r="H530" s="1655"/>
      <c r="I530" s="1655"/>
      <c r="J530" s="1655"/>
      <c r="K530" s="1655"/>
      <c r="L530" s="1655"/>
      <c r="M530" s="1655"/>
      <c r="N530" s="1655"/>
      <c r="O530" s="1655"/>
      <c r="P530" s="1655"/>
      <c r="Q530" s="1655"/>
      <c r="R530" s="1655"/>
      <c r="S530" s="1655"/>
      <c r="T530" s="1655"/>
      <c r="U530" s="1655"/>
      <c r="V530" s="1655"/>
      <c r="W530" s="1655"/>
      <c r="X530" s="1655"/>
      <c r="Y530" s="1655"/>
      <c r="Z530" s="1655"/>
      <c r="AA530" s="1655"/>
      <c r="AB530" s="1655"/>
      <c r="AC530" s="1655"/>
      <c r="AD530" s="1655"/>
      <c r="AE530" s="1655"/>
      <c r="AF530" s="1655"/>
      <c r="AG530" s="1655"/>
      <c r="AH530" s="1655"/>
      <c r="AI530" s="1655"/>
      <c r="AJ530" s="1655"/>
      <c r="AK530" s="1655"/>
      <c r="AL530" s="1655"/>
      <c r="AM530" s="1655"/>
      <c r="AN530" s="1655"/>
      <c r="AO530" s="1655"/>
      <c r="AP530" s="1655"/>
      <c r="AQ530" s="1655"/>
      <c r="AR530" s="1655"/>
      <c r="AS530" s="1655"/>
      <c r="AT530" s="1655"/>
      <c r="AU530" s="1655"/>
      <c r="AV530" s="1655"/>
      <c r="AW530" s="1655"/>
      <c r="AX530" s="1655"/>
      <c r="AY530" s="1655"/>
      <c r="AZ530" s="1655"/>
      <c r="BA530" s="1655"/>
      <c r="BB530" s="1655"/>
      <c r="BC530" s="1655"/>
      <c r="BD530" s="1655"/>
      <c r="BE530" s="1655"/>
      <c r="BF530" s="1655"/>
      <c r="BG530" s="1655"/>
      <c r="BH530" s="1655"/>
      <c r="BI530" s="1655"/>
      <c r="BJ530" s="1655"/>
      <c r="BK530" s="1655"/>
      <c r="BL530" s="1655"/>
      <c r="BM530" s="1655"/>
      <c r="BN530" s="1655"/>
      <c r="BO530" s="1655"/>
      <c r="BP530" s="1655"/>
      <c r="BQ530" s="1655"/>
      <c r="BR530" s="1655"/>
      <c r="BS530" s="1655"/>
      <c r="BT530" s="1655"/>
      <c r="BU530" s="1655"/>
      <c r="BV530" s="1655"/>
      <c r="BW530" s="1655"/>
      <c r="BX530" s="1655"/>
      <c r="BY530" s="1655"/>
      <c r="BZ530" s="1655"/>
      <c r="CA530" s="1655"/>
      <c r="CB530" s="1655"/>
      <c r="CC530" s="1655"/>
      <c r="CD530" s="1655"/>
      <c r="CE530" s="1655"/>
      <c r="CF530" s="1655"/>
      <c r="CG530" s="1655"/>
      <c r="CH530" s="1655"/>
      <c r="CI530" s="1655"/>
      <c r="CJ530" s="1655"/>
      <c r="CK530" s="1655"/>
      <c r="CL530" s="1655"/>
      <c r="CM530" s="1655"/>
      <c r="CN530" s="1655"/>
      <c r="CO530" s="1655"/>
      <c r="CP530" s="1655"/>
      <c r="CQ530" s="1655"/>
      <c r="CR530" s="1655"/>
      <c r="CS530" s="1655"/>
      <c r="CT530" s="1655"/>
      <c r="CU530" s="1655"/>
      <c r="CV530" s="1655"/>
      <c r="CW530" s="1655"/>
      <c r="CX530" s="1655"/>
      <c r="CY530" s="1655"/>
      <c r="CZ530" s="1655"/>
      <c r="DA530" s="1655"/>
      <c r="DB530" s="1655"/>
      <c r="DC530" s="1655"/>
      <c r="DD530" s="1655"/>
      <c r="DE530" s="1655"/>
      <c r="DF530" s="1655"/>
      <c r="DG530" s="1655"/>
      <c r="DH530" s="1655"/>
      <c r="DI530" s="1655"/>
      <c r="DJ530" s="1655"/>
      <c r="DK530" s="1655"/>
      <c r="DL530" s="1655"/>
      <c r="DM530" s="1655"/>
      <c r="DN530" s="1655"/>
      <c r="DO530" s="1655"/>
      <c r="DP530" s="1655"/>
      <c r="DQ530" s="1655"/>
      <c r="DR530" s="1655"/>
      <c r="DS530" s="1655"/>
      <c r="DT530" s="1655"/>
      <c r="DU530" s="1655"/>
      <c r="DV530" s="1655"/>
      <c r="DW530" s="1655"/>
      <c r="DX530" s="1655"/>
      <c r="DY530" s="1655"/>
      <c r="DZ530" s="1655"/>
      <c r="EA530" s="1655"/>
      <c r="EB530" s="1655"/>
      <c r="EC530" s="1655"/>
      <c r="ED530" s="1655"/>
      <c r="EE530" s="1655"/>
      <c r="EF530" s="1655"/>
      <c r="EG530" s="1655"/>
      <c r="EH530" s="1655"/>
      <c r="EI530" s="1655"/>
      <c r="EJ530" s="1655"/>
      <c r="EK530" s="1655"/>
      <c r="EL530" s="1655"/>
      <c r="EM530" s="1655"/>
      <c r="EN530" s="1655"/>
      <c r="EO530" s="1655"/>
      <c r="EP530" s="1655"/>
      <c r="EQ530" s="1655"/>
      <c r="ER530" s="1655"/>
      <c r="ES530" s="1655"/>
      <c r="ET530" s="1655"/>
      <c r="EU530" s="1655"/>
      <c r="EV530" s="1655"/>
      <c r="EW530" s="1655"/>
      <c r="EX530" s="1655"/>
      <c r="EY530" s="1655"/>
      <c r="EZ530" s="1655"/>
      <c r="FA530" s="1655"/>
      <c r="FB530" s="1655"/>
      <c r="FC530" s="1655"/>
      <c r="FD530" s="1655"/>
      <c r="FE530" s="1655"/>
      <c r="FF530" s="1655"/>
      <c r="FG530" s="1655"/>
      <c r="FH530" s="1655"/>
      <c r="FI530" s="1655"/>
    </row>
    <row r="531" spans="1:165">
      <c r="A531" s="1655"/>
      <c r="B531" s="1655"/>
      <c r="C531" s="1655"/>
      <c r="D531" s="1655"/>
      <c r="E531" s="1655"/>
      <c r="F531" s="1655"/>
      <c r="G531" s="1655"/>
      <c r="H531" s="1655"/>
      <c r="I531" s="1655"/>
      <c r="J531" s="1655"/>
      <c r="K531" s="1655"/>
      <c r="L531" s="1655"/>
      <c r="M531" s="1655"/>
      <c r="N531" s="1655"/>
      <c r="O531" s="1655"/>
      <c r="P531" s="1655"/>
      <c r="Q531" s="1655"/>
      <c r="R531" s="1655"/>
      <c r="S531" s="1655"/>
      <c r="T531" s="1655"/>
      <c r="U531" s="1655"/>
      <c r="V531" s="1655"/>
      <c r="W531" s="1655"/>
      <c r="X531" s="1655"/>
      <c r="Y531" s="1655"/>
      <c r="Z531" s="1655"/>
      <c r="AA531" s="1655"/>
      <c r="AB531" s="1655"/>
      <c r="AC531" s="1655"/>
      <c r="AD531" s="1655"/>
      <c r="AE531" s="1655"/>
      <c r="AF531" s="1655"/>
      <c r="AG531" s="1655"/>
      <c r="AH531" s="1655"/>
      <c r="AI531" s="1655"/>
      <c r="AJ531" s="1655"/>
      <c r="AK531" s="1655"/>
      <c r="AL531" s="1655"/>
      <c r="AM531" s="1655"/>
      <c r="AN531" s="1655"/>
      <c r="AO531" s="1655"/>
      <c r="AP531" s="1655"/>
      <c r="AQ531" s="1655"/>
      <c r="AR531" s="1655"/>
      <c r="AS531" s="1655"/>
      <c r="AT531" s="1655"/>
      <c r="AU531" s="1655"/>
      <c r="AV531" s="1655"/>
      <c r="AW531" s="1655"/>
      <c r="AX531" s="1655"/>
      <c r="AY531" s="1655"/>
      <c r="AZ531" s="1655"/>
      <c r="BA531" s="1655"/>
      <c r="BB531" s="1655"/>
      <c r="BC531" s="1655"/>
      <c r="BD531" s="1655"/>
      <c r="BE531" s="1655"/>
      <c r="BF531" s="1655"/>
      <c r="BG531" s="1655"/>
      <c r="BH531" s="1655"/>
      <c r="BI531" s="1655"/>
      <c r="BJ531" s="1655"/>
      <c r="BK531" s="1655"/>
      <c r="BL531" s="1655"/>
      <c r="BM531" s="1655"/>
      <c r="BN531" s="1655"/>
      <c r="BO531" s="1655"/>
      <c r="BP531" s="1655"/>
      <c r="BQ531" s="1655"/>
      <c r="BR531" s="1655"/>
      <c r="BS531" s="1655"/>
      <c r="BT531" s="1655"/>
      <c r="BU531" s="1655"/>
      <c r="BV531" s="1655"/>
      <c r="BW531" s="1655"/>
      <c r="BX531" s="1655"/>
      <c r="BY531" s="1655"/>
      <c r="BZ531" s="1655"/>
      <c r="CA531" s="1655"/>
      <c r="CB531" s="1655"/>
      <c r="CC531" s="1655"/>
      <c r="CD531" s="1655"/>
      <c r="CE531" s="1655"/>
      <c r="CF531" s="1655"/>
      <c r="CG531" s="1655"/>
      <c r="CH531" s="1655"/>
      <c r="CI531" s="1655"/>
      <c r="CJ531" s="1655"/>
      <c r="CK531" s="1655"/>
      <c r="CL531" s="1655"/>
      <c r="CM531" s="1655"/>
      <c r="CN531" s="1655"/>
      <c r="CO531" s="1655"/>
      <c r="CP531" s="1655"/>
      <c r="CQ531" s="1655"/>
      <c r="CR531" s="1655"/>
      <c r="CS531" s="1655"/>
      <c r="CT531" s="1655"/>
      <c r="CU531" s="1655"/>
      <c r="CV531" s="1655"/>
      <c r="CW531" s="1655"/>
      <c r="CX531" s="1655"/>
      <c r="CY531" s="1655"/>
      <c r="CZ531" s="1655"/>
      <c r="DA531" s="1655"/>
      <c r="DB531" s="1655"/>
      <c r="DC531" s="1655"/>
      <c r="DD531" s="1655"/>
      <c r="DE531" s="1655"/>
      <c r="DF531" s="1655"/>
      <c r="DG531" s="1655"/>
      <c r="DH531" s="1655"/>
      <c r="DI531" s="1655"/>
      <c r="DJ531" s="1655"/>
      <c r="DK531" s="1655"/>
      <c r="DL531" s="1655"/>
      <c r="DM531" s="1655"/>
      <c r="DN531" s="1655"/>
      <c r="DO531" s="1655"/>
      <c r="DP531" s="1655"/>
      <c r="DQ531" s="1655"/>
      <c r="DR531" s="1655"/>
      <c r="DS531" s="1655"/>
      <c r="DT531" s="1655"/>
      <c r="DU531" s="1655"/>
      <c r="DV531" s="1655"/>
      <c r="DW531" s="1655"/>
      <c r="DX531" s="1655"/>
      <c r="DY531" s="1655"/>
      <c r="DZ531" s="1655"/>
      <c r="EA531" s="1655"/>
      <c r="EB531" s="1655"/>
      <c r="EC531" s="1655"/>
      <c r="ED531" s="1655"/>
      <c r="EE531" s="1655"/>
      <c r="EF531" s="1655"/>
      <c r="EG531" s="1655"/>
      <c r="EH531" s="1655"/>
      <c r="EI531" s="1655"/>
      <c r="EJ531" s="1655"/>
      <c r="EK531" s="1655"/>
      <c r="EL531" s="1655"/>
      <c r="EM531" s="1655"/>
      <c r="EN531" s="1655"/>
      <c r="EO531" s="1655"/>
      <c r="EP531" s="1655"/>
      <c r="EQ531" s="1655"/>
      <c r="ER531" s="1655"/>
      <c r="ES531" s="1655"/>
      <c r="ET531" s="1655"/>
      <c r="EU531" s="1655"/>
      <c r="EV531" s="1655"/>
      <c r="EW531" s="1655"/>
      <c r="EX531" s="1655"/>
      <c r="EY531" s="1655"/>
      <c r="EZ531" s="1655"/>
      <c r="FA531" s="1655"/>
      <c r="FB531" s="1655"/>
      <c r="FC531" s="1655"/>
      <c r="FD531" s="1655"/>
      <c r="FE531" s="1655"/>
      <c r="FF531" s="1655"/>
      <c r="FG531" s="1655"/>
      <c r="FH531" s="1655"/>
      <c r="FI531" s="1655"/>
    </row>
    <row r="532" spans="1:165">
      <c r="A532" s="1655"/>
      <c r="B532" s="1655"/>
      <c r="C532" s="1655"/>
      <c r="D532" s="1655"/>
      <c r="E532" s="1655"/>
      <c r="F532" s="1655"/>
      <c r="G532" s="1655"/>
      <c r="H532" s="1655"/>
      <c r="I532" s="1655"/>
      <c r="J532" s="1655"/>
      <c r="K532" s="1655"/>
      <c r="L532" s="1655"/>
      <c r="M532" s="1655"/>
      <c r="N532" s="1655"/>
      <c r="O532" s="1655"/>
      <c r="P532" s="1655"/>
      <c r="Q532" s="1655"/>
      <c r="R532" s="1655"/>
      <c r="S532" s="1655"/>
      <c r="T532" s="1655"/>
      <c r="U532" s="1655"/>
      <c r="V532" s="1655"/>
      <c r="W532" s="1655"/>
      <c r="X532" s="1655"/>
      <c r="Y532" s="1655"/>
      <c r="Z532" s="1655"/>
      <c r="AA532" s="1655"/>
      <c r="AB532" s="1655"/>
      <c r="AC532" s="1655"/>
      <c r="AD532" s="1655"/>
      <c r="AE532" s="1655"/>
      <c r="AF532" s="1655"/>
      <c r="AG532" s="1655"/>
      <c r="AH532" s="1655"/>
      <c r="AI532" s="1655"/>
      <c r="AJ532" s="1655"/>
      <c r="AK532" s="1655"/>
      <c r="AL532" s="1655"/>
      <c r="AM532" s="1655"/>
      <c r="AN532" s="1655"/>
      <c r="AO532" s="1655"/>
      <c r="AP532" s="1655"/>
      <c r="AQ532" s="1655"/>
      <c r="AR532" s="1655"/>
      <c r="AS532" s="1655"/>
      <c r="AT532" s="1655"/>
      <c r="AU532" s="1655"/>
      <c r="AV532" s="1655"/>
      <c r="AW532" s="1655"/>
      <c r="AX532" s="1655"/>
      <c r="AY532" s="1655"/>
      <c r="AZ532" s="1655"/>
      <c r="BA532" s="1655"/>
      <c r="BB532" s="1655"/>
      <c r="BC532" s="1655"/>
      <c r="BD532" s="1655"/>
      <c r="BE532" s="1655"/>
      <c r="BF532" s="1655"/>
      <c r="BG532" s="1655"/>
      <c r="BH532" s="1655"/>
      <c r="BI532" s="1655"/>
      <c r="BJ532" s="1655"/>
      <c r="BK532" s="1655"/>
      <c r="BL532" s="1655"/>
      <c r="BM532" s="1655"/>
      <c r="BN532" s="1655"/>
      <c r="BO532" s="1655"/>
      <c r="BP532" s="1655"/>
      <c r="BQ532" s="1655"/>
      <c r="BR532" s="1655"/>
      <c r="BS532" s="1655"/>
      <c r="BT532" s="1655"/>
      <c r="BU532" s="1655"/>
      <c r="BV532" s="1655"/>
      <c r="BW532" s="1655"/>
      <c r="BX532" s="1655"/>
      <c r="BY532" s="1655"/>
      <c r="BZ532" s="1655"/>
      <c r="CA532" s="1655"/>
      <c r="CB532" s="1655"/>
      <c r="CC532" s="1655"/>
      <c r="CD532" s="1655"/>
      <c r="CE532" s="1655"/>
      <c r="CF532" s="1655"/>
      <c r="CG532" s="1655"/>
      <c r="CH532" s="1655"/>
      <c r="CI532" s="1655"/>
      <c r="CJ532" s="1655"/>
      <c r="CK532" s="1655"/>
      <c r="CL532" s="1655"/>
      <c r="CM532" s="1655"/>
      <c r="CN532" s="1655"/>
      <c r="CO532" s="1655"/>
      <c r="CP532" s="1655"/>
      <c r="CQ532" s="1655"/>
      <c r="CR532" s="1655"/>
      <c r="CS532" s="1655"/>
      <c r="CT532" s="1655"/>
      <c r="CU532" s="1655"/>
      <c r="CV532" s="1655"/>
      <c r="CW532" s="1655"/>
      <c r="CX532" s="1655"/>
      <c r="CY532" s="1655"/>
      <c r="CZ532" s="1655"/>
      <c r="DA532" s="1655"/>
      <c r="DB532" s="1655"/>
      <c r="DC532" s="1655"/>
      <c r="DD532" s="1655"/>
      <c r="DE532" s="1655"/>
      <c r="DF532" s="1655"/>
      <c r="DG532" s="1655"/>
      <c r="DH532" s="1655"/>
      <c r="DI532" s="1655"/>
      <c r="DJ532" s="1655"/>
      <c r="DK532" s="1655"/>
      <c r="DL532" s="1655"/>
      <c r="DM532" s="1655"/>
      <c r="DN532" s="1655"/>
      <c r="DO532" s="1655"/>
      <c r="DP532" s="1655"/>
      <c r="DQ532" s="1655"/>
      <c r="DR532" s="1655"/>
      <c r="DS532" s="1655"/>
      <c r="DT532" s="1655"/>
      <c r="DU532" s="1655"/>
      <c r="DV532" s="1655"/>
      <c r="DW532" s="1655"/>
      <c r="DX532" s="1655"/>
      <c r="DY532" s="1655"/>
      <c r="DZ532" s="1655"/>
      <c r="EA532" s="1655"/>
      <c r="EB532" s="1655"/>
      <c r="EC532" s="1655"/>
      <c r="ED532" s="1655"/>
      <c r="EE532" s="1655"/>
      <c r="EF532" s="1655"/>
      <c r="EG532" s="1655"/>
      <c r="EH532" s="1655"/>
      <c r="EI532" s="1655"/>
      <c r="EJ532" s="1655"/>
      <c r="EK532" s="1655"/>
      <c r="EL532" s="1655"/>
      <c r="EM532" s="1655"/>
      <c r="EN532" s="1655"/>
      <c r="EO532" s="1655"/>
      <c r="EP532" s="1655"/>
      <c r="EQ532" s="1655"/>
      <c r="ER532" s="1655"/>
      <c r="ES532" s="1655"/>
      <c r="ET532" s="1655"/>
      <c r="EU532" s="1655"/>
      <c r="EV532" s="1655"/>
      <c r="EW532" s="1655"/>
      <c r="EX532" s="1655"/>
      <c r="EY532" s="1655"/>
      <c r="EZ532" s="1655"/>
      <c r="FA532" s="1655"/>
      <c r="FB532" s="1655"/>
      <c r="FC532" s="1655"/>
      <c r="FD532" s="1655"/>
      <c r="FE532" s="1655"/>
      <c r="FF532" s="1655"/>
      <c r="FG532" s="1655"/>
      <c r="FH532" s="1655"/>
      <c r="FI532" s="1655"/>
    </row>
    <row r="533" spans="1:165">
      <c r="A533" s="1655"/>
      <c r="B533" s="1655"/>
      <c r="C533" s="1655"/>
      <c r="D533" s="1655"/>
      <c r="E533" s="1655"/>
      <c r="F533" s="1655"/>
      <c r="G533" s="1655"/>
      <c r="H533" s="1655"/>
      <c r="I533" s="1655"/>
      <c r="J533" s="1655"/>
      <c r="K533" s="1655"/>
      <c r="L533" s="1655"/>
      <c r="M533" s="1655"/>
      <c r="N533" s="1655"/>
      <c r="O533" s="1655"/>
      <c r="P533" s="1655"/>
      <c r="Q533" s="1655"/>
      <c r="R533" s="1655"/>
      <c r="S533" s="1655"/>
      <c r="T533" s="1655"/>
      <c r="U533" s="1655"/>
      <c r="V533" s="1655"/>
      <c r="W533" s="1655"/>
      <c r="X533" s="1655"/>
      <c r="Y533" s="1655"/>
      <c r="Z533" s="1655"/>
      <c r="AA533" s="1655"/>
      <c r="AB533" s="1655"/>
      <c r="AC533" s="1655"/>
      <c r="AD533" s="1655"/>
      <c r="AE533" s="1655"/>
      <c r="AF533" s="1655"/>
      <c r="AG533" s="1655"/>
      <c r="AH533" s="1655"/>
      <c r="AI533" s="1655"/>
      <c r="AJ533" s="1655"/>
      <c r="AK533" s="1655"/>
      <c r="AL533" s="1655"/>
      <c r="AM533" s="1655"/>
      <c r="AN533" s="1655"/>
      <c r="AO533" s="1655"/>
      <c r="AP533" s="1655"/>
      <c r="AQ533" s="1655"/>
      <c r="AR533" s="1655"/>
      <c r="AS533" s="1655"/>
      <c r="AT533" s="1655"/>
      <c r="AU533" s="1655"/>
      <c r="AV533" s="1655"/>
      <c r="AW533" s="1655"/>
      <c r="AX533" s="1655"/>
      <c r="AY533" s="1655"/>
      <c r="AZ533" s="1655"/>
      <c r="BA533" s="1655"/>
      <c r="BB533" s="1655"/>
      <c r="BC533" s="1655"/>
      <c r="BD533" s="1655"/>
      <c r="BE533" s="1655"/>
      <c r="BF533" s="1655"/>
      <c r="BG533" s="1655"/>
      <c r="BH533" s="1655"/>
      <c r="BI533" s="1655"/>
      <c r="BJ533" s="1655"/>
      <c r="BK533" s="1655"/>
      <c r="BL533" s="1655"/>
      <c r="BM533" s="1655"/>
      <c r="BN533" s="1655"/>
      <c r="BO533" s="1655"/>
      <c r="BP533" s="1655"/>
      <c r="BQ533" s="1655"/>
      <c r="BR533" s="1655"/>
      <c r="BS533" s="1655"/>
      <c r="BT533" s="1655"/>
      <c r="BU533" s="1655"/>
      <c r="BV533" s="1655"/>
      <c r="BW533" s="1655"/>
      <c r="BX533" s="1655"/>
      <c r="BY533" s="1655"/>
      <c r="BZ533" s="1655"/>
      <c r="CA533" s="1655"/>
      <c r="CB533" s="1655"/>
      <c r="CC533" s="1655"/>
      <c r="CD533" s="1655"/>
      <c r="CE533" s="1655"/>
      <c r="CF533" s="1655"/>
      <c r="CG533" s="1655"/>
      <c r="CH533" s="1655"/>
      <c r="CI533" s="1655"/>
      <c r="CJ533" s="1655"/>
      <c r="CK533" s="1655"/>
      <c r="CL533" s="1655"/>
      <c r="CM533" s="1655"/>
      <c r="CN533" s="1655"/>
      <c r="CO533" s="1655"/>
      <c r="CP533" s="1655"/>
      <c r="CQ533" s="1655"/>
      <c r="CR533" s="1655"/>
      <c r="CS533" s="1655"/>
      <c r="CT533" s="1655"/>
      <c r="CU533" s="1655"/>
      <c r="CV533" s="1655"/>
      <c r="CW533" s="1655"/>
      <c r="CX533" s="1655"/>
      <c r="CY533" s="1655"/>
      <c r="CZ533" s="1655"/>
      <c r="DA533" s="1655"/>
      <c r="DB533" s="1655"/>
      <c r="DC533" s="1655"/>
      <c r="DD533" s="1655"/>
      <c r="DE533" s="1655"/>
      <c r="DF533" s="1655"/>
      <c r="DG533" s="1655"/>
      <c r="DH533" s="1655"/>
      <c r="DI533" s="1655"/>
      <c r="DJ533" s="1655"/>
      <c r="DK533" s="1655"/>
      <c r="DL533" s="1655"/>
      <c r="DM533" s="1655"/>
      <c r="DN533" s="1655"/>
      <c r="DO533" s="1655"/>
      <c r="DP533" s="1655"/>
      <c r="DQ533" s="1655"/>
      <c r="DR533" s="1655"/>
      <c r="DS533" s="1655"/>
      <c r="DT533" s="1655"/>
      <c r="DU533" s="1655"/>
      <c r="DV533" s="1655"/>
      <c r="DW533" s="1655"/>
      <c r="DX533" s="1655"/>
      <c r="DY533" s="1655"/>
      <c r="DZ533" s="1655"/>
      <c r="EA533" s="1655"/>
      <c r="EB533" s="1655"/>
      <c r="EC533" s="1655"/>
      <c r="ED533" s="1655"/>
      <c r="EE533" s="1655"/>
      <c r="EF533" s="1655"/>
      <c r="EG533" s="1655"/>
      <c r="EH533" s="1655"/>
      <c r="EI533" s="1655"/>
      <c r="EJ533" s="1655"/>
      <c r="EK533" s="1655"/>
      <c r="EL533" s="1655"/>
      <c r="EM533" s="1655"/>
      <c r="EN533" s="1655"/>
      <c r="EO533" s="1655"/>
      <c r="EP533" s="1655"/>
      <c r="EQ533" s="1655"/>
      <c r="ER533" s="1655"/>
      <c r="ES533" s="1655"/>
      <c r="ET533" s="1655"/>
      <c r="EU533" s="1655"/>
      <c r="EV533" s="1655"/>
      <c r="EW533" s="1655"/>
      <c r="EX533" s="1655"/>
      <c r="EY533" s="1655"/>
      <c r="EZ533" s="1655"/>
      <c r="FA533" s="1655"/>
      <c r="FB533" s="1655"/>
      <c r="FC533" s="1655"/>
      <c r="FD533" s="1655"/>
      <c r="FE533" s="1655"/>
      <c r="FF533" s="1655"/>
      <c r="FG533" s="1655"/>
      <c r="FH533" s="1655"/>
      <c r="FI533" s="1655"/>
    </row>
    <row r="534" spans="1:165">
      <c r="A534" s="1655"/>
      <c r="B534" s="1655"/>
      <c r="C534" s="1655"/>
      <c r="D534" s="1655"/>
      <c r="E534" s="1655"/>
      <c r="F534" s="1655"/>
      <c r="G534" s="1655"/>
      <c r="H534" s="1655"/>
      <c r="I534" s="1655"/>
      <c r="J534" s="1655"/>
      <c r="K534" s="1655"/>
      <c r="L534" s="1655"/>
      <c r="M534" s="1655"/>
      <c r="N534" s="1655"/>
      <c r="O534" s="1655"/>
      <c r="P534" s="1655"/>
      <c r="Q534" s="1655"/>
      <c r="R534" s="1655"/>
      <c r="S534" s="1655"/>
      <c r="T534" s="1655"/>
      <c r="U534" s="1655"/>
      <c r="V534" s="1655"/>
      <c r="W534" s="1655"/>
      <c r="X534" s="1655"/>
      <c r="Y534" s="1655"/>
      <c r="Z534" s="1655"/>
      <c r="AA534" s="1655"/>
      <c r="AB534" s="1655"/>
      <c r="AC534" s="1655"/>
      <c r="AD534" s="1655"/>
      <c r="AE534" s="1655"/>
      <c r="AF534" s="1655"/>
      <c r="AG534" s="1655"/>
      <c r="AH534" s="1655"/>
      <c r="AI534" s="1655"/>
      <c r="AJ534" s="1655"/>
      <c r="AK534" s="1655"/>
      <c r="AL534" s="1655"/>
      <c r="AM534" s="1655"/>
      <c r="AN534" s="1655"/>
      <c r="AO534" s="1655"/>
      <c r="AP534" s="1655"/>
      <c r="AQ534" s="1655"/>
      <c r="AR534" s="1655"/>
      <c r="AS534" s="1655"/>
      <c r="AT534" s="1655"/>
      <c r="AU534" s="1655"/>
      <c r="AV534" s="1655"/>
      <c r="AW534" s="1655"/>
      <c r="AX534" s="1655"/>
      <c r="AY534" s="1655"/>
      <c r="AZ534" s="1655"/>
      <c r="BA534" s="1655"/>
      <c r="BB534" s="1655"/>
      <c r="BC534" s="1655"/>
      <c r="BD534" s="1655"/>
      <c r="BE534" s="1655"/>
      <c r="BF534" s="1655"/>
      <c r="BG534" s="1655"/>
      <c r="BH534" s="1655"/>
      <c r="BI534" s="1655"/>
      <c r="BJ534" s="1655"/>
      <c r="BK534" s="1655"/>
      <c r="BL534" s="1655"/>
      <c r="BM534" s="1655"/>
      <c r="BN534" s="1655"/>
      <c r="BO534" s="1655"/>
      <c r="BP534" s="1655"/>
      <c r="BQ534" s="1655"/>
      <c r="BR534" s="1655"/>
      <c r="BS534" s="1655"/>
      <c r="BT534" s="1655"/>
      <c r="BU534" s="1655"/>
      <c r="BV534" s="1655"/>
      <c r="BW534" s="1655"/>
      <c r="BX534" s="1655"/>
      <c r="BY534" s="1655"/>
      <c r="BZ534" s="1655"/>
      <c r="CA534" s="1655"/>
      <c r="CB534" s="1655"/>
      <c r="CC534" s="1655"/>
      <c r="CD534" s="1655"/>
      <c r="CE534" s="1655"/>
      <c r="CF534" s="1655"/>
      <c r="CG534" s="1655"/>
      <c r="CH534" s="1655"/>
      <c r="CI534" s="1655"/>
      <c r="CJ534" s="1655"/>
      <c r="CK534" s="1655"/>
      <c r="CL534" s="1655"/>
      <c r="CM534" s="1655"/>
      <c r="CN534" s="1655"/>
      <c r="CO534" s="1655"/>
      <c r="CP534" s="1655"/>
      <c r="CQ534" s="1655"/>
      <c r="CR534" s="1655"/>
      <c r="CS534" s="1655"/>
      <c r="CT534" s="1655"/>
      <c r="CU534" s="1655"/>
      <c r="CV534" s="1655"/>
      <c r="CW534" s="1655"/>
      <c r="CX534" s="1655"/>
      <c r="CY534" s="1655"/>
      <c r="CZ534" s="1655"/>
      <c r="DA534" s="1655"/>
      <c r="DB534" s="1655"/>
      <c r="DC534" s="1655"/>
      <c r="DD534" s="1655"/>
      <c r="DE534" s="1655"/>
      <c r="DF534" s="1655"/>
      <c r="DG534" s="1655"/>
      <c r="DH534" s="1655"/>
      <c r="DI534" s="1655"/>
      <c r="DJ534" s="1655"/>
      <c r="DK534" s="1655"/>
      <c r="DL534" s="1655"/>
      <c r="DM534" s="1655"/>
      <c r="DN534" s="1655"/>
      <c r="DO534" s="1655"/>
      <c r="DP534" s="1655"/>
      <c r="DQ534" s="1655"/>
      <c r="DR534" s="1655"/>
      <c r="DS534" s="1655"/>
      <c r="DT534" s="1655"/>
      <c r="DU534" s="1655"/>
      <c r="DV534" s="1655"/>
      <c r="DW534" s="1655"/>
      <c r="DX534" s="1655"/>
      <c r="DY534" s="1655"/>
      <c r="DZ534" s="1655"/>
      <c r="EA534" s="1655"/>
      <c r="EB534" s="1655"/>
      <c r="EC534" s="1655"/>
      <c r="ED534" s="1655"/>
      <c r="EE534" s="1655"/>
      <c r="EF534" s="1655"/>
      <c r="EG534" s="1655"/>
      <c r="EH534" s="1655"/>
      <c r="EI534" s="1655"/>
      <c r="EJ534" s="1655"/>
      <c r="EK534" s="1655"/>
      <c r="EL534" s="1655"/>
      <c r="EM534" s="1655"/>
      <c r="EN534" s="1655"/>
      <c r="EO534" s="1655"/>
      <c r="EP534" s="1655"/>
      <c r="EQ534" s="1655"/>
      <c r="ER534" s="1655"/>
      <c r="ES534" s="1655"/>
      <c r="ET534" s="1655"/>
      <c r="EU534" s="1655"/>
      <c r="EV534" s="1655"/>
      <c r="EW534" s="1655"/>
      <c r="EX534" s="1655"/>
      <c r="EY534" s="1655"/>
      <c r="EZ534" s="1655"/>
      <c r="FA534" s="1655"/>
      <c r="FB534" s="1655"/>
      <c r="FC534" s="1655"/>
      <c r="FD534" s="1655"/>
      <c r="FE534" s="1655"/>
      <c r="FF534" s="1655"/>
      <c r="FG534" s="1655"/>
      <c r="FH534" s="1655"/>
      <c r="FI534" s="1655"/>
    </row>
    <row r="535" spans="1:165">
      <c r="A535" s="1655"/>
      <c r="B535" s="1655"/>
      <c r="C535" s="1655"/>
      <c r="D535" s="1655"/>
      <c r="E535" s="1655"/>
      <c r="F535" s="1655"/>
      <c r="G535" s="1655"/>
      <c r="H535" s="1655"/>
      <c r="I535" s="1655"/>
      <c r="J535" s="1655"/>
      <c r="K535" s="1655"/>
      <c r="L535" s="1655"/>
      <c r="M535" s="1655"/>
      <c r="N535" s="1655"/>
      <c r="O535" s="1655"/>
      <c r="P535" s="1655"/>
      <c r="Q535" s="1655"/>
      <c r="R535" s="1655"/>
      <c r="S535" s="1655"/>
      <c r="T535" s="1655"/>
      <c r="U535" s="1655"/>
      <c r="V535" s="1655"/>
      <c r="W535" s="1655"/>
      <c r="X535" s="1655"/>
      <c r="Y535" s="1655"/>
      <c r="Z535" s="1655"/>
      <c r="AA535" s="1655"/>
      <c r="AB535" s="1655"/>
      <c r="AC535" s="1655"/>
      <c r="AD535" s="1655"/>
      <c r="AE535" s="1655"/>
      <c r="AF535" s="1655"/>
      <c r="AG535" s="1655"/>
      <c r="AH535" s="1655"/>
      <c r="AI535" s="1655"/>
      <c r="AJ535" s="1655"/>
      <c r="AK535" s="1655"/>
      <c r="AL535" s="1655"/>
      <c r="AM535" s="1655"/>
      <c r="AN535" s="1655"/>
      <c r="AO535" s="1655"/>
      <c r="AP535" s="1655"/>
      <c r="AQ535" s="1655"/>
      <c r="AR535" s="1655"/>
      <c r="AS535" s="1655"/>
      <c r="AT535" s="1655"/>
      <c r="AU535" s="1655"/>
      <c r="AV535" s="1655"/>
      <c r="AW535" s="1655"/>
      <c r="AX535" s="1655"/>
      <c r="AY535" s="1655"/>
      <c r="AZ535" s="1655"/>
      <c r="BA535" s="1655"/>
      <c r="BB535" s="1655"/>
      <c r="BC535" s="1655"/>
      <c r="BD535" s="1655"/>
      <c r="BE535" s="1655"/>
      <c r="BF535" s="1655"/>
      <c r="BG535" s="1655"/>
      <c r="BH535" s="1655"/>
      <c r="BI535" s="1655"/>
      <c r="BJ535" s="1655"/>
      <c r="BK535" s="1655"/>
      <c r="BL535" s="1655"/>
      <c r="BM535" s="1655"/>
      <c r="BN535" s="1655"/>
      <c r="BO535" s="1655"/>
      <c r="BP535" s="1655"/>
      <c r="BQ535" s="1655"/>
      <c r="BR535" s="1655"/>
      <c r="BS535" s="1655"/>
      <c r="BT535" s="1655"/>
      <c r="BU535" s="1655"/>
      <c r="BV535" s="1655"/>
      <c r="BW535" s="1655"/>
      <c r="BX535" s="1655"/>
      <c r="BY535" s="1655"/>
      <c r="BZ535" s="1655"/>
      <c r="CA535" s="1655"/>
      <c r="CB535" s="1655"/>
      <c r="CC535" s="1655"/>
      <c r="CD535" s="1655"/>
      <c r="CE535" s="1655"/>
      <c r="CF535" s="1655"/>
      <c r="CG535" s="1655"/>
      <c r="CH535" s="1655"/>
      <c r="CI535" s="1655"/>
      <c r="CJ535" s="1655"/>
      <c r="CK535" s="1655"/>
      <c r="CL535" s="1655"/>
      <c r="CM535" s="1655"/>
      <c r="CN535" s="1655"/>
      <c r="CO535" s="1655"/>
      <c r="CP535" s="1655"/>
      <c r="CQ535" s="1655"/>
      <c r="CR535" s="1655"/>
      <c r="CS535" s="1655"/>
      <c r="CT535" s="1655"/>
      <c r="CU535" s="1655"/>
      <c r="CV535" s="1655"/>
      <c r="CW535" s="1655"/>
      <c r="CX535" s="1655"/>
      <c r="CY535" s="1655"/>
      <c r="CZ535" s="1655"/>
      <c r="DA535" s="1655"/>
      <c r="DB535" s="1655"/>
      <c r="DC535" s="1655"/>
      <c r="DD535" s="1655"/>
      <c r="DE535" s="1655"/>
      <c r="DF535" s="1655"/>
      <c r="DG535" s="1655"/>
      <c r="DH535" s="1655"/>
      <c r="DI535" s="1655"/>
      <c r="DJ535" s="1655"/>
      <c r="DK535" s="1655"/>
      <c r="DL535" s="1655"/>
      <c r="DM535" s="1655"/>
      <c r="DN535" s="1655"/>
      <c r="DO535" s="1655"/>
      <c r="DP535" s="1655"/>
      <c r="DQ535" s="1655"/>
      <c r="DR535" s="1655"/>
      <c r="DS535" s="1655"/>
      <c r="DT535" s="1655"/>
      <c r="DU535" s="1655"/>
      <c r="DV535" s="1655"/>
      <c r="DW535" s="1655"/>
      <c r="DX535" s="1655"/>
      <c r="DY535" s="1655"/>
      <c r="DZ535" s="1655"/>
      <c r="EA535" s="1655"/>
      <c r="EB535" s="1655"/>
      <c r="EC535" s="1655"/>
      <c r="ED535" s="1655"/>
      <c r="EE535" s="1655"/>
      <c r="EF535" s="1655"/>
      <c r="EG535" s="1655"/>
      <c r="EH535" s="1655"/>
      <c r="EI535" s="1655"/>
      <c r="EJ535" s="1655"/>
      <c r="EK535" s="1655"/>
      <c r="EL535" s="1655"/>
      <c r="EM535" s="1655"/>
      <c r="EN535" s="1655"/>
      <c r="EO535" s="1655"/>
      <c r="EP535" s="1655"/>
      <c r="EQ535" s="1655"/>
      <c r="ER535" s="1655"/>
      <c r="ES535" s="1655"/>
      <c r="ET535" s="1655"/>
      <c r="EU535" s="1655"/>
      <c r="EV535" s="1655"/>
      <c r="EW535" s="1655"/>
      <c r="EX535" s="1655"/>
      <c r="EY535" s="1655"/>
      <c r="EZ535" s="1655"/>
      <c r="FA535" s="1655"/>
      <c r="FB535" s="1655"/>
      <c r="FC535" s="1655"/>
      <c r="FD535" s="1655"/>
      <c r="FE535" s="1655"/>
      <c r="FF535" s="1655"/>
      <c r="FG535" s="1655"/>
      <c r="FH535" s="1655"/>
      <c r="FI535" s="1655"/>
    </row>
    <row r="536" spans="1:165">
      <c r="A536" s="1655"/>
      <c r="B536" s="1655"/>
      <c r="C536" s="1655"/>
      <c r="D536" s="1655"/>
      <c r="E536" s="1655"/>
      <c r="F536" s="1655"/>
      <c r="G536" s="1655"/>
      <c r="H536" s="1655"/>
      <c r="I536" s="1655"/>
      <c r="J536" s="1655"/>
      <c r="K536" s="1655"/>
      <c r="L536" s="1655"/>
      <c r="M536" s="1655"/>
      <c r="N536" s="1655"/>
      <c r="O536" s="1655"/>
      <c r="P536" s="1655"/>
      <c r="Q536" s="1655"/>
      <c r="R536" s="1655"/>
      <c r="S536" s="1655"/>
      <c r="T536" s="1655"/>
      <c r="U536" s="1655"/>
      <c r="V536" s="1655"/>
      <c r="W536" s="1655"/>
      <c r="X536" s="1655"/>
      <c r="Y536" s="1655"/>
      <c r="Z536" s="1655"/>
      <c r="AA536" s="1655"/>
      <c r="AB536" s="1655"/>
      <c r="AC536" s="1655"/>
      <c r="AD536" s="1655"/>
      <c r="AE536" s="1655"/>
      <c r="AF536" s="1655"/>
      <c r="AG536" s="1655"/>
      <c r="AH536" s="1655"/>
      <c r="AI536" s="1655"/>
      <c r="AJ536" s="1655"/>
      <c r="AK536" s="1655"/>
      <c r="AL536" s="1655"/>
      <c r="AM536" s="1655"/>
      <c r="AN536" s="1655"/>
      <c r="AO536" s="1655"/>
      <c r="AP536" s="1655"/>
      <c r="AQ536" s="1655"/>
      <c r="AR536" s="1655"/>
      <c r="AS536" s="1655"/>
      <c r="AT536" s="1655"/>
      <c r="AU536" s="1655"/>
      <c r="AV536" s="1655"/>
      <c r="AW536" s="1655"/>
      <c r="AX536" s="1655"/>
      <c r="AY536" s="1655"/>
      <c r="AZ536" s="1655"/>
      <c r="BA536" s="1655"/>
      <c r="BB536" s="1655"/>
      <c r="BC536" s="1655"/>
      <c r="BD536" s="1655"/>
      <c r="BE536" s="1655"/>
      <c r="BF536" s="1655"/>
      <c r="BG536" s="1655"/>
      <c r="BH536" s="1655"/>
      <c r="BI536" s="1655"/>
      <c r="BJ536" s="1655"/>
      <c r="BK536" s="1655"/>
      <c r="BL536" s="1655"/>
      <c r="BM536" s="1655"/>
      <c r="BN536" s="1655"/>
      <c r="BO536" s="1655"/>
      <c r="BP536" s="1655"/>
      <c r="BQ536" s="1655"/>
      <c r="BR536" s="1655"/>
      <c r="BS536" s="1655"/>
      <c r="BT536" s="1655"/>
      <c r="BU536" s="1655"/>
      <c r="BV536" s="1655"/>
      <c r="BW536" s="1655"/>
      <c r="BX536" s="1655"/>
      <c r="BY536" s="1655"/>
      <c r="BZ536" s="1655"/>
      <c r="CA536" s="1655"/>
      <c r="CB536" s="1655"/>
      <c r="CC536" s="1655"/>
      <c r="CD536" s="1655"/>
      <c r="CE536" s="1655"/>
      <c r="CF536" s="1655"/>
      <c r="CG536" s="1655"/>
      <c r="CH536" s="1655"/>
      <c r="CI536" s="1655"/>
      <c r="CJ536" s="1655"/>
      <c r="CK536" s="1655"/>
      <c r="CL536" s="1655"/>
      <c r="CM536" s="1655"/>
      <c r="CN536" s="1655"/>
      <c r="CO536" s="1655"/>
      <c r="CP536" s="1655"/>
      <c r="CQ536" s="1655"/>
      <c r="CR536" s="1655"/>
      <c r="CS536" s="1655"/>
      <c r="CT536" s="1655"/>
      <c r="CU536" s="1655"/>
      <c r="CV536" s="1655"/>
      <c r="CW536" s="1655"/>
      <c r="CX536" s="1655"/>
      <c r="CY536" s="1655"/>
      <c r="CZ536" s="1655"/>
      <c r="DA536" s="1655"/>
      <c r="DB536" s="1655"/>
      <c r="DC536" s="1655"/>
      <c r="DD536" s="1655"/>
      <c r="DE536" s="1655"/>
      <c r="DF536" s="1655"/>
      <c r="DG536" s="1655"/>
      <c r="DH536" s="1655"/>
      <c r="DI536" s="1655"/>
      <c r="DJ536" s="1655"/>
      <c r="DK536" s="1655"/>
      <c r="DL536" s="1655"/>
      <c r="DM536" s="1655"/>
      <c r="DN536" s="1655"/>
      <c r="DO536" s="1655"/>
      <c r="DP536" s="1655"/>
      <c r="DQ536" s="1655"/>
      <c r="DR536" s="1655"/>
      <c r="DS536" s="1655"/>
      <c r="DT536" s="1655"/>
      <c r="DU536" s="1655"/>
      <c r="DV536" s="1655"/>
      <c r="DW536" s="1655"/>
      <c r="DX536" s="1655"/>
      <c r="DY536" s="1655"/>
      <c r="DZ536" s="1655"/>
      <c r="EA536" s="1655"/>
      <c r="EB536" s="1655"/>
      <c r="EC536" s="1655"/>
      <c r="ED536" s="1655"/>
      <c r="EE536" s="1655"/>
      <c r="EF536" s="1655"/>
      <c r="EG536" s="1655"/>
      <c r="EH536" s="1655"/>
      <c r="EI536" s="1655"/>
      <c r="EJ536" s="1655"/>
      <c r="EK536" s="1655"/>
      <c r="EL536" s="1655"/>
      <c r="EM536" s="1655"/>
      <c r="EN536" s="1655"/>
      <c r="EO536" s="1655"/>
      <c r="EP536" s="1655"/>
      <c r="EQ536" s="1655"/>
      <c r="ER536" s="1655"/>
      <c r="ES536" s="1655"/>
      <c r="ET536" s="1655"/>
      <c r="EU536" s="1655"/>
      <c r="EV536" s="1655"/>
      <c r="EW536" s="1655"/>
      <c r="EX536" s="1655"/>
      <c r="EY536" s="1655"/>
      <c r="EZ536" s="1655"/>
      <c r="FA536" s="1655"/>
      <c r="FB536" s="1655"/>
      <c r="FC536" s="1655"/>
      <c r="FD536" s="1655"/>
      <c r="FE536" s="1655"/>
      <c r="FF536" s="1655"/>
      <c r="FG536" s="1655"/>
      <c r="FH536" s="1655"/>
      <c r="FI536" s="1655"/>
    </row>
    <row r="537" spans="1:165">
      <c r="A537" s="1655"/>
      <c r="B537" s="1655"/>
      <c r="C537" s="1655"/>
      <c r="D537" s="1655"/>
      <c r="E537" s="1655"/>
      <c r="F537" s="1655"/>
      <c r="G537" s="1655"/>
      <c r="H537" s="1655"/>
      <c r="I537" s="1655"/>
      <c r="J537" s="1655"/>
      <c r="K537" s="1655"/>
      <c r="L537" s="1655"/>
      <c r="M537" s="1655"/>
      <c r="N537" s="1655"/>
      <c r="O537" s="1655"/>
      <c r="P537" s="1655"/>
      <c r="Q537" s="1655"/>
      <c r="R537" s="1655"/>
      <c r="S537" s="1655"/>
      <c r="T537" s="1655"/>
      <c r="U537" s="1655"/>
      <c r="V537" s="1655"/>
      <c r="W537" s="1655"/>
      <c r="X537" s="1655"/>
      <c r="Y537" s="1655"/>
      <c r="Z537" s="1655"/>
      <c r="AA537" s="1655"/>
      <c r="AB537" s="1655"/>
      <c r="AC537" s="1655"/>
      <c r="AD537" s="1655"/>
      <c r="AE537" s="1655"/>
      <c r="AF537" s="1655"/>
      <c r="AG537" s="1655"/>
      <c r="AH537" s="1655"/>
      <c r="AI537" s="1655"/>
      <c r="AJ537" s="1655"/>
      <c r="AK537" s="1655"/>
      <c r="AL537" s="1655"/>
      <c r="AM537" s="1655"/>
      <c r="AN537" s="1655"/>
      <c r="AO537" s="1655"/>
      <c r="AP537" s="1655"/>
      <c r="AQ537" s="1655"/>
      <c r="AR537" s="1655"/>
      <c r="AS537" s="1655"/>
      <c r="AT537" s="1655"/>
      <c r="AU537" s="1655"/>
      <c r="AV537" s="1655"/>
      <c r="AW537" s="1655"/>
      <c r="AX537" s="1655"/>
      <c r="AY537" s="1655"/>
      <c r="AZ537" s="1655"/>
      <c r="BA537" s="1655"/>
      <c r="BB537" s="1655"/>
      <c r="BC537" s="1655"/>
      <c r="BD537" s="1655"/>
      <c r="BE537" s="1655"/>
      <c r="BF537" s="1655"/>
      <c r="BG537" s="1655"/>
      <c r="BH537" s="1655"/>
      <c r="BI537" s="1655"/>
      <c r="BJ537" s="1655"/>
      <c r="BK537" s="1655"/>
      <c r="BL537" s="1655"/>
      <c r="BM537" s="1655"/>
      <c r="BN537" s="1655"/>
      <c r="BO537" s="1655"/>
      <c r="BP537" s="1655"/>
      <c r="BQ537" s="1655"/>
      <c r="BR537" s="1655"/>
      <c r="BS537" s="1655"/>
      <c r="BT537" s="1655"/>
      <c r="BU537" s="1655"/>
      <c r="BV537" s="1655"/>
      <c r="BW537" s="1655"/>
      <c r="BX537" s="1655"/>
      <c r="BY537" s="1655"/>
      <c r="BZ537" s="1655"/>
      <c r="CA537" s="1655"/>
      <c r="CB537" s="1655"/>
      <c r="CC537" s="1655"/>
      <c r="CD537" s="1655"/>
      <c r="CE537" s="1655"/>
      <c r="CF537" s="1655"/>
      <c r="CG537" s="1655"/>
      <c r="CH537" s="1655"/>
      <c r="CI537" s="1655"/>
      <c r="CJ537" s="1655"/>
      <c r="CK537" s="1655"/>
      <c r="CL537" s="1655"/>
      <c r="CM537" s="1655"/>
      <c r="CN537" s="1655"/>
      <c r="CO537" s="1655"/>
      <c r="CP537" s="1655"/>
      <c r="CQ537" s="1655"/>
      <c r="CR537" s="1655"/>
      <c r="CS537" s="1655"/>
      <c r="CT537" s="1655"/>
      <c r="CU537" s="1655"/>
      <c r="CV537" s="1655"/>
      <c r="CW537" s="1655"/>
      <c r="CX537" s="1655"/>
      <c r="CY537" s="1655"/>
      <c r="CZ537" s="1655"/>
      <c r="DA537" s="1655"/>
      <c r="DB537" s="1655"/>
      <c r="DC537" s="1655"/>
      <c r="DD537" s="1655"/>
      <c r="DE537" s="1655"/>
      <c r="DF537" s="1655"/>
      <c r="DG537" s="1655"/>
      <c r="DH537" s="1655"/>
      <c r="DI537" s="1655"/>
      <c r="DJ537" s="1655"/>
      <c r="DK537" s="1655"/>
      <c r="DL537" s="1655"/>
      <c r="DM537" s="1655"/>
      <c r="DN537" s="1655"/>
      <c r="DO537" s="1655"/>
      <c r="DP537" s="1655"/>
      <c r="DQ537" s="1655"/>
      <c r="DR537" s="1655"/>
      <c r="DS537" s="1655"/>
      <c r="DT537" s="1655"/>
      <c r="DU537" s="1655"/>
      <c r="DV537" s="1655"/>
      <c r="DW537" s="1655"/>
      <c r="DX537" s="1655"/>
      <c r="DY537" s="1655"/>
      <c r="DZ537" s="1655"/>
      <c r="EA537" s="1655"/>
      <c r="EB537" s="1655"/>
      <c r="EC537" s="1655"/>
      <c r="ED537" s="1655"/>
      <c r="EE537" s="1655"/>
      <c r="EF537" s="1655"/>
      <c r="EG537" s="1655"/>
      <c r="EH537" s="1655"/>
      <c r="EI537" s="1655"/>
      <c r="EJ537" s="1655"/>
      <c r="EK537" s="1655"/>
      <c r="EL537" s="1655"/>
      <c r="EM537" s="1655"/>
      <c r="EN537" s="1655"/>
      <c r="EO537" s="1655"/>
      <c r="EP537" s="1655"/>
      <c r="EQ537" s="1655"/>
      <c r="ER537" s="1655"/>
      <c r="ES537" s="1655"/>
      <c r="ET537" s="1655"/>
      <c r="EU537" s="1655"/>
      <c r="EV537" s="1655"/>
      <c r="EW537" s="1655"/>
      <c r="EX537" s="1655"/>
      <c r="EY537" s="1655"/>
      <c r="EZ537" s="1655"/>
      <c r="FA537" s="1655"/>
      <c r="FB537" s="1655"/>
      <c r="FC537" s="1655"/>
      <c r="FD537" s="1655"/>
      <c r="FE537" s="1655"/>
      <c r="FF537" s="1655"/>
      <c r="FG537" s="1655"/>
      <c r="FH537" s="1655"/>
      <c r="FI537" s="1655"/>
    </row>
    <row r="538" spans="1:165">
      <c r="A538" s="1655"/>
      <c r="B538" s="1655"/>
      <c r="C538" s="1655"/>
      <c r="D538" s="1655"/>
      <c r="E538" s="1655"/>
      <c r="F538" s="1655"/>
      <c r="G538" s="1655"/>
      <c r="H538" s="1655"/>
      <c r="I538" s="1655"/>
      <c r="J538" s="1655"/>
      <c r="K538" s="1655"/>
      <c r="L538" s="1655"/>
      <c r="M538" s="1655"/>
      <c r="N538" s="1655"/>
      <c r="O538" s="1655"/>
      <c r="P538" s="1655"/>
      <c r="Q538" s="1655"/>
      <c r="R538" s="1655"/>
      <c r="S538" s="1655"/>
      <c r="T538" s="1655"/>
      <c r="U538" s="1655"/>
      <c r="V538" s="1655"/>
      <c r="W538" s="1655"/>
      <c r="X538" s="1655"/>
      <c r="Y538" s="1655"/>
      <c r="Z538" s="1655"/>
      <c r="AA538" s="1655"/>
      <c r="AB538" s="1655"/>
      <c r="AC538" s="1655"/>
      <c r="AD538" s="1655"/>
      <c r="AE538" s="1655"/>
      <c r="AF538" s="1655"/>
      <c r="AG538" s="1655"/>
      <c r="AH538" s="1655"/>
      <c r="AI538" s="1655"/>
      <c r="AJ538" s="1655"/>
      <c r="AK538" s="1655"/>
      <c r="AL538" s="1655"/>
      <c r="AM538" s="1655"/>
      <c r="AN538" s="1655"/>
      <c r="AO538" s="1655"/>
      <c r="AP538" s="1655"/>
      <c r="AQ538" s="1655"/>
      <c r="AR538" s="1655"/>
      <c r="AS538" s="1655"/>
      <c r="AT538" s="1655"/>
      <c r="AU538" s="1655"/>
      <c r="AV538" s="1655"/>
      <c r="AW538" s="1655"/>
      <c r="AX538" s="1655"/>
      <c r="AY538" s="1655"/>
      <c r="AZ538" s="1655"/>
      <c r="BA538" s="1655"/>
      <c r="BB538" s="1655"/>
      <c r="BC538" s="1655"/>
      <c r="BD538" s="1655"/>
      <c r="BE538" s="1655"/>
      <c r="BF538" s="1655"/>
      <c r="BG538" s="1655"/>
      <c r="BH538" s="1655"/>
      <c r="BI538" s="1655"/>
      <c r="BJ538" s="1655"/>
      <c r="BK538" s="1655"/>
      <c r="BL538" s="1655"/>
      <c r="BM538" s="1655"/>
      <c r="BN538" s="1655"/>
      <c r="BO538" s="1655"/>
      <c r="BP538" s="1655"/>
      <c r="BQ538" s="1655"/>
      <c r="BR538" s="1655"/>
      <c r="BS538" s="1655"/>
      <c r="BT538" s="1655"/>
      <c r="BU538" s="1655"/>
      <c r="BV538" s="1655"/>
      <c r="BW538" s="1655"/>
      <c r="BX538" s="1655"/>
      <c r="BY538" s="1655"/>
      <c r="BZ538" s="1655"/>
      <c r="CA538" s="1655"/>
      <c r="CB538" s="1655"/>
      <c r="CC538" s="1655"/>
      <c r="CD538" s="1655"/>
      <c r="CE538" s="1655"/>
      <c r="CF538" s="1655"/>
      <c r="CG538" s="1655"/>
      <c r="CH538" s="1655"/>
      <c r="CI538" s="1655"/>
      <c r="CJ538" s="1655"/>
      <c r="CK538" s="1655"/>
      <c r="CL538" s="1655"/>
      <c r="CM538" s="1655"/>
      <c r="CN538" s="1655"/>
      <c r="CO538" s="1655"/>
      <c r="CP538" s="1655"/>
      <c r="CQ538" s="1655"/>
      <c r="CR538" s="1655"/>
      <c r="CS538" s="1655"/>
      <c r="CT538" s="1655"/>
      <c r="CU538" s="1655"/>
      <c r="CV538" s="1655"/>
      <c r="CW538" s="1655"/>
      <c r="CX538" s="1655"/>
      <c r="CY538" s="1655"/>
      <c r="CZ538" s="1655"/>
      <c r="DA538" s="1655"/>
      <c r="DB538" s="1655"/>
      <c r="DC538" s="1655"/>
      <c r="DD538" s="1655"/>
      <c r="DE538" s="1655"/>
      <c r="DF538" s="1655"/>
      <c r="DG538" s="1655"/>
      <c r="DH538" s="1655"/>
      <c r="DI538" s="1655"/>
      <c r="DJ538" s="1655"/>
      <c r="DK538" s="1655"/>
      <c r="DL538" s="1655"/>
      <c r="DM538" s="1655"/>
      <c r="DN538" s="1655"/>
      <c r="DO538" s="1655"/>
      <c r="DP538" s="1655"/>
      <c r="DQ538" s="1655"/>
      <c r="DR538" s="1655"/>
      <c r="DS538" s="1655"/>
      <c r="DT538" s="1655"/>
      <c r="DU538" s="1655"/>
      <c r="DV538" s="1655"/>
      <c r="DW538" s="1655"/>
      <c r="DX538" s="1655"/>
      <c r="DY538" s="1655"/>
      <c r="DZ538" s="1655"/>
      <c r="EA538" s="1655"/>
      <c r="EB538" s="1655"/>
      <c r="EC538" s="1655"/>
      <c r="ED538" s="1655"/>
      <c r="EE538" s="1655"/>
      <c r="EF538" s="1655"/>
      <c r="EG538" s="1655"/>
      <c r="EH538" s="1655"/>
      <c r="EI538" s="1655"/>
      <c r="EJ538" s="1655"/>
      <c r="EK538" s="1655"/>
      <c r="EL538" s="1655"/>
      <c r="EM538" s="1655"/>
      <c r="EN538" s="1655"/>
      <c r="EO538" s="1655"/>
      <c r="EP538" s="1655"/>
      <c r="EQ538" s="1655"/>
      <c r="ER538" s="1655"/>
      <c r="ES538" s="1655"/>
      <c r="ET538" s="1655"/>
      <c r="EU538" s="1655"/>
      <c r="EV538" s="1655"/>
      <c r="EW538" s="1655"/>
      <c r="EX538" s="1655"/>
      <c r="EY538" s="1655"/>
      <c r="EZ538" s="1655"/>
      <c r="FA538" s="1655"/>
      <c r="FB538" s="1655"/>
      <c r="FC538" s="1655"/>
      <c r="FD538" s="1655"/>
      <c r="FE538" s="1655"/>
      <c r="FF538" s="1655"/>
      <c r="FG538" s="1655"/>
      <c r="FH538" s="1655"/>
      <c r="FI538" s="1655"/>
    </row>
    <row r="539" spans="1:165">
      <c r="A539" s="1655"/>
      <c r="B539" s="1655"/>
      <c r="C539" s="1655"/>
      <c r="D539" s="1655"/>
      <c r="E539" s="1655"/>
      <c r="F539" s="1655"/>
      <c r="G539" s="1655"/>
      <c r="H539" s="1655"/>
      <c r="I539" s="1655"/>
      <c r="J539" s="1655"/>
      <c r="K539" s="1655"/>
      <c r="L539" s="1655"/>
      <c r="M539" s="1655"/>
      <c r="N539" s="1655"/>
      <c r="O539" s="1655"/>
      <c r="P539" s="1655"/>
      <c r="Q539" s="1655"/>
      <c r="R539" s="1655"/>
      <c r="S539" s="1655"/>
      <c r="T539" s="1655"/>
      <c r="U539" s="1655"/>
      <c r="V539" s="1655"/>
      <c r="W539" s="1655"/>
      <c r="X539" s="1655"/>
      <c r="Y539" s="1655"/>
      <c r="Z539" s="1655"/>
      <c r="AA539" s="1655"/>
      <c r="AB539" s="1655"/>
      <c r="AC539" s="1655"/>
      <c r="AD539" s="1655"/>
      <c r="AE539" s="1655"/>
      <c r="AF539" s="1655"/>
      <c r="AG539" s="1655"/>
      <c r="AH539" s="1655"/>
      <c r="AI539" s="1655"/>
      <c r="AJ539" s="1655"/>
      <c r="AK539" s="1655"/>
      <c r="AL539" s="1655"/>
      <c r="AM539" s="1655"/>
      <c r="AN539" s="1655"/>
      <c r="AO539" s="1655"/>
      <c r="AP539" s="1655"/>
      <c r="AQ539" s="1655"/>
      <c r="AR539" s="1655"/>
      <c r="AS539" s="1655"/>
      <c r="AT539" s="1655"/>
      <c r="AU539" s="1655"/>
      <c r="AV539" s="1655"/>
      <c r="AW539" s="1655"/>
      <c r="AX539" s="1655"/>
      <c r="AY539" s="1655"/>
      <c r="AZ539" s="1655"/>
      <c r="BA539" s="1655"/>
      <c r="BB539" s="1655"/>
      <c r="BC539" s="1655"/>
      <c r="BD539" s="1655"/>
      <c r="BE539" s="1655"/>
      <c r="BF539" s="1655"/>
      <c r="BG539" s="1655"/>
      <c r="BH539" s="1655"/>
      <c r="BI539" s="1655"/>
      <c r="BJ539" s="1655"/>
      <c r="BK539" s="1655"/>
      <c r="BL539" s="1655"/>
      <c r="BM539" s="1655"/>
      <c r="BN539" s="1655"/>
      <c r="BO539" s="1655"/>
      <c r="BP539" s="1655"/>
      <c r="BQ539" s="1655"/>
      <c r="BR539" s="1655"/>
      <c r="BS539" s="1655"/>
      <c r="BT539" s="1655"/>
      <c r="BU539" s="1655"/>
      <c r="BV539" s="1655"/>
      <c r="BW539" s="1655"/>
      <c r="BX539" s="1655"/>
      <c r="BY539" s="1655"/>
      <c r="BZ539" s="1655"/>
      <c r="CA539" s="1655"/>
      <c r="CB539" s="1655"/>
      <c r="CC539" s="1655"/>
      <c r="CD539" s="1655"/>
      <c r="CE539" s="1655"/>
      <c r="CF539" s="1655"/>
      <c r="CG539" s="1655"/>
      <c r="CH539" s="1655"/>
      <c r="CI539" s="1655"/>
      <c r="CJ539" s="1655"/>
      <c r="CK539" s="1655"/>
      <c r="CL539" s="1655"/>
      <c r="CM539" s="1655"/>
      <c r="CN539" s="1655"/>
      <c r="CO539" s="1655"/>
      <c r="CP539" s="1655"/>
      <c r="CQ539" s="1655"/>
      <c r="CR539" s="1655"/>
      <c r="CS539" s="1655"/>
      <c r="CT539" s="1655"/>
      <c r="CU539" s="1655"/>
      <c r="CV539" s="1655"/>
      <c r="CW539" s="1655"/>
      <c r="CX539" s="1655"/>
      <c r="CY539" s="1655"/>
      <c r="CZ539" s="1655"/>
      <c r="DA539" s="1655"/>
      <c r="DB539" s="1655"/>
      <c r="DC539" s="1655"/>
      <c r="DD539" s="1655"/>
      <c r="DE539" s="1655"/>
      <c r="DF539" s="1655"/>
      <c r="DG539" s="1655"/>
      <c r="DH539" s="1655"/>
      <c r="DI539" s="1655"/>
      <c r="DJ539" s="1655"/>
      <c r="DK539" s="1655"/>
      <c r="DL539" s="1655"/>
      <c r="DM539" s="1655"/>
      <c r="DN539" s="1655"/>
      <c r="DO539" s="1655"/>
      <c r="DP539" s="1655"/>
      <c r="DQ539" s="1655"/>
      <c r="DR539" s="1655"/>
      <c r="DS539" s="1655"/>
      <c r="DT539" s="1655"/>
      <c r="DU539" s="1655"/>
      <c r="DV539" s="1655"/>
      <c r="DW539" s="1655"/>
      <c r="DX539" s="1655"/>
      <c r="DY539" s="1655"/>
      <c r="DZ539" s="1655"/>
      <c r="EA539" s="1655"/>
      <c r="EB539" s="1655"/>
      <c r="EC539" s="1655"/>
      <c r="ED539" s="1655"/>
      <c r="EE539" s="1655"/>
      <c r="EF539" s="1655"/>
      <c r="EG539" s="1655"/>
      <c r="EH539" s="1655"/>
      <c r="EI539" s="1655"/>
      <c r="EJ539" s="1655"/>
      <c r="EK539" s="1655"/>
      <c r="EL539" s="1655"/>
      <c r="EM539" s="1655"/>
      <c r="EN539" s="1655"/>
      <c r="EO539" s="1655"/>
      <c r="EP539" s="1655"/>
      <c r="EQ539" s="1655"/>
      <c r="ER539" s="1655"/>
      <c r="ES539" s="1655"/>
      <c r="ET539" s="1655"/>
      <c r="EU539" s="1655"/>
      <c r="EV539" s="1655"/>
      <c r="EW539" s="1655"/>
      <c r="EX539" s="1655"/>
      <c r="EY539" s="1655"/>
      <c r="EZ539" s="1655"/>
      <c r="FA539" s="1655"/>
      <c r="FB539" s="1655"/>
      <c r="FC539" s="1655"/>
      <c r="FD539" s="1655"/>
      <c r="FE539" s="1655"/>
      <c r="FF539" s="1655"/>
      <c r="FG539" s="1655"/>
      <c r="FH539" s="1655"/>
      <c r="FI539" s="1655"/>
    </row>
    <row r="540" spans="1:165">
      <c r="A540" s="1655"/>
      <c r="B540" s="1655"/>
      <c r="C540" s="1655"/>
      <c r="D540" s="1655"/>
      <c r="E540" s="1655"/>
      <c r="F540" s="1655"/>
      <c r="G540" s="1655"/>
      <c r="H540" s="1655"/>
      <c r="I540" s="1655"/>
      <c r="J540" s="1655"/>
      <c r="K540" s="1655"/>
      <c r="L540" s="1655"/>
      <c r="M540" s="1655"/>
      <c r="N540" s="1655"/>
      <c r="O540" s="1655"/>
      <c r="P540" s="1655"/>
      <c r="Q540" s="1655"/>
      <c r="R540" s="1655"/>
      <c r="S540" s="1655"/>
      <c r="T540" s="1655"/>
      <c r="U540" s="1655"/>
      <c r="V540" s="1655"/>
      <c r="W540" s="1655"/>
      <c r="X540" s="1655"/>
      <c r="Y540" s="1655"/>
      <c r="Z540" s="1655"/>
      <c r="AA540" s="1655"/>
      <c r="AB540" s="1655"/>
      <c r="AC540" s="1655"/>
      <c r="AD540" s="1655"/>
      <c r="AE540" s="1655"/>
      <c r="AF540" s="1655"/>
      <c r="AG540" s="1655"/>
      <c r="AH540" s="1655"/>
      <c r="AI540" s="1655"/>
      <c r="AJ540" s="1655"/>
      <c r="AK540" s="1655"/>
      <c r="AL540" s="1655"/>
      <c r="AM540" s="1655"/>
      <c r="AN540" s="1655"/>
      <c r="AO540" s="1655"/>
      <c r="AP540" s="1655"/>
      <c r="AQ540" s="1655"/>
      <c r="AR540" s="1655"/>
      <c r="AS540" s="1655"/>
      <c r="AT540" s="1655"/>
      <c r="AU540" s="1655"/>
      <c r="AV540" s="1655"/>
      <c r="AW540" s="1655"/>
      <c r="AX540" s="1655"/>
      <c r="AY540" s="1655"/>
      <c r="AZ540" s="1655"/>
      <c r="BA540" s="1655"/>
      <c r="BB540" s="1655"/>
      <c r="BC540" s="1655"/>
      <c r="BD540" s="1655"/>
      <c r="BE540" s="1655"/>
      <c r="BF540" s="1655"/>
      <c r="BG540" s="1655"/>
      <c r="BH540" s="1655"/>
      <c r="BI540" s="1655"/>
      <c r="BJ540" s="1655"/>
      <c r="BK540" s="1655"/>
      <c r="BL540" s="1655"/>
      <c r="BM540" s="1655"/>
      <c r="BN540" s="1655"/>
      <c r="BO540" s="1655"/>
      <c r="BP540" s="1655"/>
      <c r="BQ540" s="1655"/>
      <c r="BR540" s="1655"/>
      <c r="BS540" s="1655"/>
      <c r="BT540" s="1655"/>
      <c r="BU540" s="1655"/>
      <c r="BV540" s="1655"/>
      <c r="BW540" s="1655"/>
      <c r="BX540" s="1655"/>
      <c r="BY540" s="1655"/>
      <c r="BZ540" s="1655"/>
      <c r="CA540" s="1655"/>
      <c r="CB540" s="1655"/>
      <c r="CC540" s="1655"/>
      <c r="CD540" s="1655"/>
      <c r="CE540" s="1655"/>
      <c r="CF540" s="1655"/>
      <c r="CG540" s="1655"/>
      <c r="CH540" s="1655"/>
      <c r="CI540" s="1655"/>
      <c r="CJ540" s="1655"/>
      <c r="CK540" s="1655"/>
      <c r="CL540" s="1655"/>
      <c r="CM540" s="1655"/>
      <c r="CN540" s="1655"/>
      <c r="CO540" s="1655"/>
      <c r="CP540" s="1655"/>
      <c r="CQ540" s="1655"/>
      <c r="CR540" s="1655"/>
      <c r="CS540" s="1655"/>
      <c r="CT540" s="1655"/>
      <c r="CU540" s="1655"/>
      <c r="CV540" s="1655"/>
      <c r="CW540" s="1655"/>
      <c r="CX540" s="1655"/>
      <c r="CY540" s="1655"/>
      <c r="CZ540" s="1655"/>
      <c r="DA540" s="1655"/>
      <c r="DB540" s="1655"/>
      <c r="DC540" s="1655"/>
      <c r="DD540" s="1655"/>
      <c r="DE540" s="1655"/>
      <c r="DF540" s="1655"/>
      <c r="DG540" s="1655"/>
      <c r="DH540" s="1655"/>
      <c r="DI540" s="1655"/>
      <c r="DJ540" s="1655"/>
      <c r="DK540" s="1655"/>
      <c r="DL540" s="1655"/>
      <c r="DM540" s="1655"/>
      <c r="DN540" s="1655"/>
      <c r="DO540" s="1655"/>
      <c r="DP540" s="1655"/>
      <c r="DQ540" s="1655"/>
      <c r="DR540" s="1655"/>
      <c r="DS540" s="1655"/>
      <c r="DT540" s="1655"/>
      <c r="DU540" s="1655"/>
      <c r="DV540" s="1655"/>
      <c r="DW540" s="1655"/>
      <c r="DX540" s="1655"/>
      <c r="DY540" s="1655"/>
      <c r="DZ540" s="1655"/>
      <c r="EA540" s="1655"/>
      <c r="EB540" s="1655"/>
      <c r="EC540" s="1655"/>
      <c r="ED540" s="1655"/>
      <c r="EE540" s="1655"/>
      <c r="EF540" s="1655"/>
      <c r="EG540" s="1655"/>
      <c r="EH540" s="1655"/>
      <c r="EI540" s="1655"/>
      <c r="EJ540" s="1655"/>
      <c r="EK540" s="1655"/>
      <c r="EL540" s="1655"/>
      <c r="EM540" s="1655"/>
      <c r="EN540" s="1655"/>
      <c r="EO540" s="1655"/>
      <c r="EP540" s="1655"/>
      <c r="EQ540" s="1655"/>
      <c r="ER540" s="1655"/>
      <c r="ES540" s="1655"/>
      <c r="ET540" s="1655"/>
      <c r="EU540" s="1655"/>
      <c r="EV540" s="1655"/>
      <c r="EW540" s="1655"/>
      <c r="EX540" s="1655"/>
      <c r="EY540" s="1655"/>
      <c r="EZ540" s="1655"/>
      <c r="FA540" s="1655"/>
      <c r="FB540" s="1655"/>
      <c r="FC540" s="1655"/>
      <c r="FD540" s="1655"/>
      <c r="FE540" s="1655"/>
      <c r="FF540" s="1655"/>
      <c r="FG540" s="1655"/>
      <c r="FH540" s="1655"/>
      <c r="FI540" s="1655"/>
    </row>
    <row r="541" spans="1:165">
      <c r="A541" s="1655"/>
      <c r="B541" s="1655"/>
      <c r="C541" s="1655"/>
      <c r="D541" s="1655"/>
      <c r="E541" s="1655"/>
      <c r="F541" s="1655"/>
      <c r="G541" s="1655"/>
      <c r="H541" s="1655"/>
      <c r="I541" s="1655"/>
      <c r="J541" s="1655"/>
      <c r="K541" s="1655"/>
      <c r="L541" s="1655"/>
      <c r="M541" s="1655"/>
      <c r="N541" s="1655"/>
      <c r="O541" s="1655"/>
      <c r="P541" s="1655"/>
      <c r="Q541" s="1655"/>
      <c r="R541" s="1655"/>
      <c r="S541" s="1655"/>
      <c r="T541" s="1655"/>
      <c r="U541" s="1655"/>
      <c r="V541" s="1655"/>
      <c r="W541" s="1655"/>
      <c r="X541" s="1655"/>
      <c r="Y541" s="1655"/>
      <c r="Z541" s="1655"/>
      <c r="AA541" s="1655"/>
      <c r="AB541" s="1655"/>
      <c r="AC541" s="1655"/>
      <c r="AD541" s="1655"/>
      <c r="AE541" s="1655"/>
      <c r="AF541" s="1655"/>
      <c r="AG541" s="1655"/>
      <c r="AH541" s="1655"/>
      <c r="AI541" s="1655"/>
      <c r="AJ541" s="1655"/>
      <c r="AK541" s="1655"/>
      <c r="AL541" s="1655"/>
      <c r="AM541" s="1655"/>
      <c r="AN541" s="1655"/>
      <c r="AO541" s="1655"/>
      <c r="AP541" s="1655"/>
      <c r="AQ541" s="1655"/>
      <c r="AR541" s="1655"/>
      <c r="AS541" s="1655"/>
      <c r="AT541" s="1655"/>
      <c r="AU541" s="1655"/>
      <c r="AV541" s="1655"/>
      <c r="AW541" s="1655"/>
      <c r="AX541" s="1655"/>
      <c r="AY541" s="1655"/>
      <c r="AZ541" s="1655"/>
      <c r="BA541" s="1655"/>
      <c r="BB541" s="1655"/>
      <c r="BC541" s="1655"/>
      <c r="BD541" s="1655"/>
      <c r="BE541" s="1655"/>
      <c r="BF541" s="1655"/>
      <c r="BG541" s="1655"/>
      <c r="BH541" s="1655"/>
      <c r="BI541" s="1655"/>
      <c r="BJ541" s="1655"/>
      <c r="BK541" s="1655"/>
      <c r="BL541" s="1655"/>
      <c r="BM541" s="1655"/>
      <c r="BN541" s="1655"/>
      <c r="BO541" s="1655"/>
      <c r="BP541" s="1655"/>
      <c r="BQ541" s="1655"/>
      <c r="BR541" s="1655"/>
      <c r="BS541" s="1655"/>
      <c r="BT541" s="1655"/>
      <c r="BU541" s="1655"/>
      <c r="BV541" s="1655"/>
      <c r="BW541" s="1655"/>
      <c r="BX541" s="1655"/>
      <c r="BY541" s="1655"/>
      <c r="BZ541" s="1655"/>
      <c r="CA541" s="1655"/>
      <c r="CB541" s="1655"/>
      <c r="CC541" s="1655"/>
      <c r="CD541" s="1655"/>
      <c r="CE541" s="1655"/>
      <c r="CF541" s="1655"/>
      <c r="CG541" s="1655"/>
      <c r="CH541" s="1655"/>
      <c r="CI541" s="1655"/>
      <c r="CJ541" s="1655"/>
      <c r="CK541" s="1655"/>
      <c r="CL541" s="1655"/>
      <c r="CM541" s="1655"/>
      <c r="CN541" s="1655"/>
      <c r="CO541" s="1655"/>
      <c r="CP541" s="1655"/>
      <c r="CQ541" s="1655"/>
      <c r="CR541" s="1655"/>
      <c r="CS541" s="1655"/>
      <c r="CT541" s="1655"/>
      <c r="CU541" s="1655"/>
      <c r="CV541" s="1655"/>
      <c r="CW541" s="1655"/>
      <c r="CX541" s="1655"/>
      <c r="CY541" s="1655"/>
      <c r="CZ541" s="1655"/>
      <c r="DA541" s="1655"/>
      <c r="DB541" s="1655"/>
      <c r="DC541" s="1655"/>
      <c r="DD541" s="1655"/>
      <c r="DE541" s="1655"/>
      <c r="DF541" s="1655"/>
      <c r="DG541" s="1655"/>
      <c r="DH541" s="1655"/>
      <c r="DI541" s="1655"/>
      <c r="DJ541" s="1655"/>
      <c r="DK541" s="1655"/>
      <c r="DL541" s="1655"/>
      <c r="DM541" s="1655"/>
      <c r="DN541" s="1655"/>
      <c r="DO541" s="1655"/>
      <c r="DP541" s="1655"/>
      <c r="DQ541" s="1655"/>
      <c r="DR541" s="1655"/>
      <c r="DS541" s="1655"/>
      <c r="DT541" s="1655"/>
      <c r="DU541" s="1655"/>
      <c r="DV541" s="1655"/>
      <c r="DW541" s="1655"/>
      <c r="DX541" s="1655"/>
      <c r="DY541" s="1655"/>
      <c r="DZ541" s="1655"/>
      <c r="EA541" s="1655"/>
      <c r="EB541" s="1655"/>
      <c r="EC541" s="1655"/>
      <c r="ED541" s="1655"/>
      <c r="EE541" s="1655"/>
      <c r="EF541" s="1655"/>
      <c r="EG541" s="1655"/>
      <c r="EH541" s="1655"/>
      <c r="EI541" s="1655"/>
      <c r="EJ541" s="1655"/>
      <c r="EK541" s="1655"/>
      <c r="EL541" s="1655"/>
      <c r="EM541" s="1655"/>
      <c r="EN541" s="1655"/>
      <c r="EO541" s="1655"/>
      <c r="EP541" s="1655"/>
      <c r="EQ541" s="1655"/>
      <c r="ER541" s="1655"/>
      <c r="ES541" s="1655"/>
      <c r="ET541" s="1655"/>
      <c r="EU541" s="1655"/>
      <c r="EV541" s="1655"/>
      <c r="EW541" s="1655"/>
      <c r="EX541" s="1655"/>
      <c r="EY541" s="1655"/>
      <c r="EZ541" s="1655"/>
      <c r="FA541" s="1655"/>
      <c r="FB541" s="1655"/>
      <c r="FC541" s="1655"/>
      <c r="FD541" s="1655"/>
      <c r="FE541" s="1655"/>
      <c r="FF541" s="1655"/>
      <c r="FG541" s="1655"/>
      <c r="FH541" s="1655"/>
      <c r="FI541" s="1655"/>
    </row>
    <row r="542" spans="1:165">
      <c r="A542" s="1655"/>
      <c r="B542" s="1655"/>
      <c r="C542" s="1655"/>
      <c r="D542" s="1655"/>
      <c r="E542" s="1655"/>
      <c r="F542" s="1655"/>
      <c r="G542" s="1655"/>
      <c r="H542" s="1655"/>
      <c r="I542" s="1655"/>
      <c r="J542" s="1655"/>
      <c r="K542" s="1655"/>
      <c r="L542" s="1655"/>
      <c r="M542" s="1655"/>
      <c r="N542" s="1655"/>
      <c r="O542" s="1655"/>
      <c r="P542" s="1655"/>
      <c r="Q542" s="1655"/>
      <c r="R542" s="1655"/>
      <c r="S542" s="1655"/>
      <c r="T542" s="1655"/>
      <c r="U542" s="1655"/>
      <c r="V542" s="1655"/>
      <c r="W542" s="1655"/>
      <c r="X542" s="1655"/>
      <c r="Y542" s="1655"/>
      <c r="Z542" s="1655"/>
      <c r="AA542" s="1655"/>
      <c r="AB542" s="1655"/>
      <c r="AC542" s="1655"/>
      <c r="AD542" s="1655"/>
      <c r="AE542" s="1655"/>
      <c r="AF542" s="1655"/>
      <c r="AG542" s="1655"/>
      <c r="AH542" s="1655"/>
      <c r="AI542" s="1655"/>
      <c r="AJ542" s="1655"/>
      <c r="AK542" s="1655"/>
      <c r="AL542" s="1655"/>
      <c r="AM542" s="1655"/>
      <c r="AN542" s="1655"/>
      <c r="AO542" s="1655"/>
      <c r="AP542" s="1655"/>
      <c r="AQ542" s="1655"/>
      <c r="AR542" s="1655"/>
      <c r="AS542" s="1655"/>
      <c r="AT542" s="1655"/>
      <c r="AU542" s="1655"/>
      <c r="AV542" s="1655"/>
      <c r="AW542" s="1655"/>
      <c r="AX542" s="1655"/>
      <c r="AY542" s="1655"/>
      <c r="AZ542" s="1655"/>
      <c r="BA542" s="1655"/>
      <c r="BB542" s="1655"/>
      <c r="BC542" s="1655"/>
      <c r="BD542" s="1655"/>
      <c r="BE542" s="1655"/>
      <c r="BF542" s="1655"/>
      <c r="BG542" s="1655"/>
      <c r="BH542" s="1655"/>
      <c r="BI542" s="1655"/>
      <c r="BJ542" s="1655"/>
      <c r="BK542" s="1655"/>
      <c r="BL542" s="1655"/>
      <c r="BM542" s="1655"/>
      <c r="BN542" s="1655"/>
      <c r="BO542" s="1655"/>
      <c r="BP542" s="1655"/>
      <c r="BQ542" s="1655"/>
      <c r="BR542" s="1655"/>
      <c r="BS542" s="1655"/>
      <c r="BT542" s="1655"/>
      <c r="BU542" s="1655"/>
      <c r="BV542" s="1655"/>
      <c r="BW542" s="1655"/>
      <c r="BX542" s="1655"/>
      <c r="BY542" s="1655"/>
      <c r="BZ542" s="1655"/>
      <c r="CA542" s="1655"/>
      <c r="CB542" s="1655"/>
      <c r="CC542" s="1655"/>
      <c r="CD542" s="1655"/>
      <c r="CE542" s="1655"/>
      <c r="CF542" s="1655"/>
      <c r="CG542" s="1655"/>
      <c r="CH542" s="1655"/>
      <c r="CI542" s="1655"/>
      <c r="CJ542" s="1655"/>
      <c r="CK542" s="1655"/>
      <c r="CL542" s="1655"/>
      <c r="CM542" s="1655"/>
      <c r="CN542" s="1655"/>
      <c r="CO542" s="1655"/>
      <c r="CP542" s="1655"/>
      <c r="CQ542" s="1655"/>
      <c r="CR542" s="1655"/>
      <c r="CS542" s="1655"/>
      <c r="CT542" s="1655"/>
      <c r="CU542" s="1655"/>
      <c r="CV542" s="1655"/>
      <c r="CW542" s="1655"/>
      <c r="CX542" s="1655"/>
      <c r="CY542" s="1655"/>
      <c r="CZ542" s="1655"/>
      <c r="DA542" s="1655"/>
      <c r="DB542" s="1655"/>
      <c r="DC542" s="1655"/>
      <c r="DD542" s="1655"/>
      <c r="DE542" s="1655"/>
      <c r="DF542" s="1655"/>
      <c r="DG542" s="1655"/>
      <c r="DH542" s="1655"/>
      <c r="DI542" s="1655"/>
      <c r="DJ542" s="1655"/>
      <c r="DK542" s="1655"/>
      <c r="DL542" s="1655"/>
      <c r="DM542" s="1655"/>
      <c r="DN542" s="1655"/>
      <c r="DO542" s="1655"/>
      <c r="DP542" s="1655"/>
      <c r="DQ542" s="1655"/>
      <c r="DR542" s="1655"/>
      <c r="DS542" s="1655"/>
      <c r="DT542" s="1655"/>
      <c r="DU542" s="1655"/>
      <c r="DV542" s="1655"/>
      <c r="DW542" s="1655"/>
      <c r="DX542" s="1655"/>
      <c r="DY542" s="1655"/>
      <c r="DZ542" s="1655"/>
      <c r="EA542" s="1655"/>
      <c r="EB542" s="1655"/>
      <c r="EC542" s="1655"/>
      <c r="ED542" s="1655"/>
      <c r="EE542" s="1655"/>
      <c r="EF542" s="1655"/>
      <c r="EG542" s="1655"/>
      <c r="EH542" s="1655"/>
      <c r="EI542" s="1655"/>
      <c r="EJ542" s="1655"/>
      <c r="EK542" s="1655"/>
      <c r="EL542" s="1655"/>
      <c r="EM542" s="1655"/>
      <c r="EN542" s="1655"/>
      <c r="EO542" s="1655"/>
      <c r="EP542" s="1655"/>
      <c r="EQ542" s="1655"/>
      <c r="ER542" s="1655"/>
      <c r="ES542" s="1655"/>
      <c r="ET542" s="1655"/>
      <c r="EU542" s="1655"/>
      <c r="EV542" s="1655"/>
      <c r="EW542" s="1655"/>
      <c r="EX542" s="1655"/>
      <c r="EY542" s="1655"/>
      <c r="EZ542" s="1655"/>
      <c r="FA542" s="1655"/>
      <c r="FB542" s="1655"/>
      <c r="FC542" s="1655"/>
      <c r="FD542" s="1655"/>
      <c r="FE542" s="1655"/>
      <c r="FF542" s="1655"/>
      <c r="FG542" s="1655"/>
      <c r="FH542" s="1655"/>
      <c r="FI542" s="1655"/>
    </row>
    <row r="543" spans="1:165">
      <c r="A543" s="1655"/>
      <c r="B543" s="1655"/>
      <c r="C543" s="1655"/>
      <c r="D543" s="1655"/>
      <c r="E543" s="1655"/>
      <c r="F543" s="1655"/>
      <c r="G543" s="1655"/>
      <c r="H543" s="1655"/>
      <c r="I543" s="1655"/>
      <c r="J543" s="1655"/>
      <c r="K543" s="1655"/>
      <c r="L543" s="1655"/>
      <c r="M543" s="1655"/>
      <c r="N543" s="1655"/>
      <c r="O543" s="1655"/>
      <c r="P543" s="1655"/>
      <c r="Q543" s="1655"/>
      <c r="R543" s="1655"/>
      <c r="S543" s="1655"/>
      <c r="T543" s="1655"/>
      <c r="U543" s="1655"/>
      <c r="V543" s="1655"/>
      <c r="W543" s="1655"/>
      <c r="X543" s="1655"/>
      <c r="Y543" s="1655"/>
      <c r="Z543" s="1655"/>
      <c r="AA543" s="1655"/>
      <c r="AB543" s="1655"/>
      <c r="AC543" s="1655"/>
      <c r="AD543" s="1655"/>
      <c r="AE543" s="1655"/>
      <c r="AF543" s="1655"/>
      <c r="AG543" s="1655"/>
      <c r="AH543" s="1655"/>
      <c r="AI543" s="1655"/>
      <c r="AJ543" s="1655"/>
      <c r="AK543" s="1655"/>
      <c r="AL543" s="1655"/>
      <c r="AM543" s="1655"/>
      <c r="AN543" s="1655"/>
      <c r="AO543" s="1655"/>
      <c r="AP543" s="1655"/>
      <c r="AQ543" s="1655"/>
      <c r="AR543" s="1655"/>
      <c r="AS543" s="1655"/>
      <c r="AT543" s="1655"/>
      <c r="AU543" s="1655"/>
      <c r="AV543" s="1655"/>
      <c r="AW543" s="1655"/>
      <c r="AX543" s="1655"/>
      <c r="AY543" s="1655"/>
      <c r="AZ543" s="1655"/>
      <c r="BA543" s="1655"/>
      <c r="BB543" s="1655"/>
      <c r="BC543" s="1655"/>
      <c r="BD543" s="1655"/>
      <c r="BE543" s="1655"/>
      <c r="BF543" s="1655"/>
      <c r="BG543" s="1655"/>
      <c r="BH543" s="1655"/>
      <c r="BI543" s="1655"/>
      <c r="BJ543" s="1655"/>
      <c r="BK543" s="1655"/>
      <c r="BL543" s="1655"/>
      <c r="BM543" s="1655"/>
      <c r="BN543" s="1655"/>
      <c r="BO543" s="1655"/>
      <c r="BP543" s="1655"/>
      <c r="BQ543" s="1655"/>
      <c r="BR543" s="1655"/>
      <c r="BS543" s="1655"/>
      <c r="BT543" s="1655"/>
      <c r="BU543" s="1655"/>
      <c r="BV543" s="1655"/>
      <c r="BW543" s="1655"/>
      <c r="BX543" s="1655"/>
      <c r="BY543" s="1655"/>
      <c r="BZ543" s="1655"/>
      <c r="CA543" s="1655"/>
      <c r="CB543" s="1655"/>
      <c r="CC543" s="1655"/>
      <c r="CD543" s="1655"/>
      <c r="CE543" s="1655"/>
      <c r="CF543" s="1655"/>
      <c r="CG543" s="1655"/>
      <c r="CH543" s="1655"/>
      <c r="CI543" s="1655"/>
      <c r="CJ543" s="1655"/>
      <c r="CK543" s="1655"/>
      <c r="CL543" s="1655"/>
      <c r="CM543" s="1655"/>
      <c r="CN543" s="1655"/>
      <c r="CO543" s="1655"/>
      <c r="CP543" s="1655"/>
      <c r="CQ543" s="1655"/>
      <c r="CR543" s="1655"/>
      <c r="CS543" s="1655"/>
      <c r="CT543" s="1655"/>
      <c r="CU543" s="1655"/>
      <c r="CV543" s="1655"/>
      <c r="CW543" s="1655"/>
      <c r="CX543" s="1655"/>
      <c r="CY543" s="1655"/>
      <c r="CZ543" s="1655"/>
      <c r="DA543" s="1655"/>
      <c r="DB543" s="1655"/>
      <c r="DC543" s="1655"/>
      <c r="DD543" s="1655"/>
      <c r="DE543" s="1655"/>
      <c r="DF543" s="1655"/>
      <c r="DG543" s="1655"/>
      <c r="DH543" s="1655"/>
      <c r="DI543" s="1655"/>
      <c r="DJ543" s="1655"/>
      <c r="DK543" s="1655"/>
      <c r="DL543" s="1655"/>
      <c r="DM543" s="1655"/>
      <c r="DN543" s="1655"/>
      <c r="DO543" s="1655"/>
      <c r="DP543" s="1655"/>
      <c r="DQ543" s="1655"/>
      <c r="DR543" s="1655"/>
      <c r="DS543" s="1655"/>
      <c r="DT543" s="1655"/>
      <c r="DU543" s="1655"/>
      <c r="DV543" s="1655"/>
      <c r="DW543" s="1655"/>
      <c r="DX543" s="1655"/>
      <c r="DY543" s="1655"/>
      <c r="DZ543" s="1655"/>
      <c r="EA543" s="1655"/>
      <c r="EB543" s="1655"/>
      <c r="EC543" s="1655"/>
      <c r="ED543" s="1655"/>
      <c r="EE543" s="1655"/>
      <c r="EF543" s="1655"/>
      <c r="EG543" s="1655"/>
      <c r="EH543" s="1655"/>
      <c r="EI543" s="1655"/>
      <c r="EJ543" s="1655"/>
      <c r="EK543" s="1655"/>
      <c r="EL543" s="1655"/>
      <c r="EM543" s="1655"/>
      <c r="EN543" s="1655"/>
      <c r="EO543" s="1655"/>
      <c r="EP543" s="1655"/>
      <c r="EQ543" s="1655"/>
      <c r="ER543" s="1655"/>
      <c r="ES543" s="1655"/>
      <c r="ET543" s="1655"/>
      <c r="EU543" s="1655"/>
      <c r="EV543" s="1655"/>
      <c r="EW543" s="1655"/>
      <c r="EX543" s="1655"/>
      <c r="EY543" s="1655"/>
      <c r="EZ543" s="1655"/>
      <c r="FA543" s="1655"/>
      <c r="FB543" s="1655"/>
      <c r="FC543" s="1655"/>
      <c r="FD543" s="1655"/>
      <c r="FE543" s="1655"/>
      <c r="FF543" s="1655"/>
      <c r="FG543" s="1655"/>
      <c r="FH543" s="1655"/>
      <c r="FI543" s="1655"/>
    </row>
    <row r="544" spans="1:165">
      <c r="A544" s="1655"/>
      <c r="B544" s="1655"/>
      <c r="C544" s="1655"/>
      <c r="D544" s="1655"/>
      <c r="E544" s="1655"/>
      <c r="F544" s="1655"/>
      <c r="G544" s="1655"/>
      <c r="H544" s="1655"/>
      <c r="I544" s="1655"/>
      <c r="J544" s="1655"/>
      <c r="K544" s="1655"/>
      <c r="L544" s="1655"/>
      <c r="M544" s="1655"/>
      <c r="N544" s="1655"/>
      <c r="O544" s="1655"/>
      <c r="P544" s="1655"/>
      <c r="Q544" s="1655"/>
      <c r="R544" s="1655"/>
      <c r="S544" s="1655"/>
      <c r="T544" s="1655"/>
      <c r="U544" s="1655"/>
      <c r="V544" s="1655"/>
      <c r="W544" s="1655"/>
      <c r="X544" s="1655"/>
      <c r="Y544" s="1655"/>
      <c r="Z544" s="1655"/>
      <c r="AA544" s="1655"/>
      <c r="AB544" s="1655"/>
      <c r="AC544" s="1655"/>
      <c r="AD544" s="1655"/>
      <c r="AE544" s="1655"/>
      <c r="AF544" s="1655"/>
      <c r="AG544" s="1655"/>
      <c r="AH544" s="1655"/>
      <c r="AI544" s="1655"/>
      <c r="AJ544" s="1655"/>
      <c r="AK544" s="1655"/>
      <c r="AL544" s="1655"/>
      <c r="AM544" s="1655"/>
      <c r="AN544" s="1655"/>
      <c r="AO544" s="1655"/>
      <c r="AP544" s="1655"/>
      <c r="AQ544" s="1655"/>
      <c r="AR544" s="1655"/>
      <c r="AS544" s="1655"/>
      <c r="AT544" s="1655"/>
      <c r="AU544" s="1655"/>
      <c r="AV544" s="1655"/>
      <c r="AW544" s="1655"/>
      <c r="AX544" s="1655"/>
      <c r="AY544" s="1655"/>
      <c r="AZ544" s="1655"/>
      <c r="BA544" s="1655"/>
      <c r="BB544" s="1655"/>
      <c r="BC544" s="1655"/>
      <c r="BD544" s="1655"/>
      <c r="BE544" s="1655"/>
      <c r="BF544" s="1655"/>
      <c r="BG544" s="1655"/>
      <c r="BH544" s="1655"/>
      <c r="BI544" s="1655"/>
      <c r="BJ544" s="1655"/>
      <c r="BK544" s="1655"/>
      <c r="BL544" s="1655"/>
      <c r="BM544" s="1655"/>
      <c r="BN544" s="1655"/>
      <c r="BO544" s="1655"/>
      <c r="BP544" s="1655"/>
      <c r="BQ544" s="1655"/>
      <c r="BR544" s="1655"/>
      <c r="BS544" s="1655"/>
      <c r="BT544" s="1655"/>
      <c r="BU544" s="1655"/>
      <c r="BV544" s="1655"/>
      <c r="BW544" s="1655"/>
      <c r="BX544" s="1655"/>
      <c r="BY544" s="1655"/>
      <c r="BZ544" s="1655"/>
      <c r="CA544" s="1655"/>
      <c r="CB544" s="1655"/>
      <c r="CC544" s="1655"/>
      <c r="CD544" s="1655"/>
      <c r="CE544" s="1655"/>
      <c r="CF544" s="1655"/>
      <c r="CG544" s="1655"/>
      <c r="CH544" s="1655"/>
      <c r="CI544" s="1655"/>
      <c r="CJ544" s="1655"/>
      <c r="CK544" s="1655"/>
      <c r="CL544" s="1655"/>
      <c r="CM544" s="1655"/>
      <c r="CN544" s="1655"/>
      <c r="CO544" s="1655"/>
      <c r="CP544" s="1655"/>
      <c r="CQ544" s="1655"/>
      <c r="CR544" s="1655"/>
      <c r="CS544" s="1655"/>
      <c r="CT544" s="1655"/>
      <c r="CU544" s="1655"/>
      <c r="CV544" s="1655"/>
      <c r="CW544" s="1655"/>
      <c r="CX544" s="1655"/>
      <c r="CY544" s="1655"/>
      <c r="CZ544" s="1655"/>
      <c r="DA544" s="1655"/>
      <c r="DB544" s="1655"/>
      <c r="DC544" s="1655"/>
      <c r="DD544" s="1655"/>
      <c r="DE544" s="1655"/>
      <c r="DF544" s="1655"/>
      <c r="DG544" s="1655"/>
      <c r="DH544" s="1655"/>
      <c r="DI544" s="1655"/>
      <c r="DJ544" s="1655"/>
      <c r="DK544" s="1655"/>
      <c r="DL544" s="1655"/>
      <c r="DM544" s="1655"/>
      <c r="DN544" s="1655"/>
      <c r="DO544" s="1655"/>
      <c r="DP544" s="1655"/>
      <c r="DQ544" s="1655"/>
      <c r="DR544" s="1655"/>
      <c r="DS544" s="1655"/>
      <c r="DT544" s="1655"/>
      <c r="DU544" s="1655"/>
      <c r="DV544" s="1655"/>
      <c r="DW544" s="1655"/>
      <c r="DX544" s="1655"/>
      <c r="DY544" s="1655"/>
      <c r="DZ544" s="1655"/>
      <c r="EA544" s="1655"/>
      <c r="EB544" s="1655"/>
      <c r="EC544" s="1655"/>
      <c r="ED544" s="1655"/>
      <c r="EE544" s="1655"/>
      <c r="EF544" s="1655"/>
      <c r="EG544" s="1655"/>
      <c r="EH544" s="1655"/>
      <c r="EI544" s="1655"/>
      <c r="EJ544" s="1655"/>
      <c r="EK544" s="1655"/>
      <c r="EL544" s="1655"/>
      <c r="EM544" s="1655"/>
      <c r="EN544" s="1655"/>
      <c r="EO544" s="1655"/>
      <c r="EP544" s="1655"/>
      <c r="EQ544" s="1655"/>
      <c r="ER544" s="1655"/>
      <c r="ES544" s="1655"/>
      <c r="ET544" s="1655"/>
      <c r="EU544" s="1655"/>
      <c r="EV544" s="1655"/>
      <c r="EW544" s="1655"/>
      <c r="EX544" s="1655"/>
      <c r="EY544" s="1655"/>
      <c r="EZ544" s="1655"/>
      <c r="FA544" s="1655"/>
      <c r="FB544" s="1655"/>
      <c r="FC544" s="1655"/>
      <c r="FD544" s="1655"/>
      <c r="FE544" s="1655"/>
      <c r="FF544" s="1655"/>
      <c r="FG544" s="1655"/>
      <c r="FH544" s="1655"/>
      <c r="FI544" s="1655"/>
    </row>
    <row r="545" spans="1:165">
      <c r="A545" s="1655"/>
      <c r="B545" s="1655"/>
      <c r="C545" s="1655"/>
      <c r="D545" s="1655"/>
      <c r="E545" s="1655"/>
      <c r="F545" s="1655"/>
      <c r="G545" s="1655"/>
      <c r="H545" s="1655"/>
      <c r="I545" s="1655"/>
      <c r="J545" s="1655"/>
      <c r="K545" s="1655"/>
      <c r="L545" s="1655"/>
      <c r="M545" s="1655"/>
      <c r="N545" s="1655"/>
      <c r="O545" s="1655"/>
      <c r="P545" s="1655"/>
      <c r="Q545" s="1655"/>
      <c r="R545" s="1655"/>
      <c r="S545" s="1655"/>
      <c r="T545" s="1655"/>
      <c r="U545" s="1655"/>
      <c r="V545" s="1655"/>
      <c r="W545" s="1655"/>
      <c r="X545" s="1655"/>
      <c r="Y545" s="1655"/>
      <c r="Z545" s="1655"/>
      <c r="AA545" s="1655"/>
      <c r="AB545" s="1655"/>
      <c r="AC545" s="1655"/>
      <c r="AD545" s="1655"/>
      <c r="AE545" s="1655"/>
      <c r="AF545" s="1655"/>
      <c r="AG545" s="1655"/>
      <c r="AH545" s="1655"/>
      <c r="AI545" s="1655"/>
      <c r="AJ545" s="1655"/>
      <c r="AK545" s="1655"/>
      <c r="AL545" s="1655"/>
      <c r="AM545" s="1655"/>
      <c r="AN545" s="1655"/>
      <c r="AO545" s="1655"/>
      <c r="AP545" s="1655"/>
      <c r="AQ545" s="1655"/>
      <c r="AR545" s="1655"/>
      <c r="AS545" s="1655"/>
      <c r="AT545" s="1655"/>
      <c r="AU545" s="1655"/>
      <c r="AV545" s="1655"/>
      <c r="AW545" s="1655"/>
      <c r="AX545" s="1655"/>
      <c r="AY545" s="1655"/>
      <c r="AZ545" s="1655"/>
      <c r="BA545" s="1655"/>
      <c r="BB545" s="1655"/>
      <c r="BC545" s="1655"/>
      <c r="BD545" s="1655"/>
      <c r="BE545" s="1655"/>
      <c r="BF545" s="1655"/>
      <c r="BG545" s="1655"/>
      <c r="BH545" s="1655"/>
      <c r="BI545" s="1655"/>
      <c r="BJ545" s="1655"/>
      <c r="BK545" s="1655"/>
      <c r="BL545" s="1655"/>
      <c r="BM545" s="1655"/>
      <c r="BN545" s="1655"/>
      <c r="BO545" s="1655"/>
      <c r="BP545" s="1655"/>
      <c r="BQ545" s="1655"/>
      <c r="BR545" s="1655"/>
      <c r="BS545" s="1655"/>
      <c r="BT545" s="1655"/>
      <c r="BU545" s="1655"/>
      <c r="BV545" s="1655"/>
      <c r="BW545" s="1655"/>
      <c r="BX545" s="1655"/>
      <c r="BY545" s="1655"/>
      <c r="BZ545" s="1655"/>
      <c r="CA545" s="1655"/>
      <c r="CB545" s="1655"/>
      <c r="CC545" s="1655"/>
      <c r="CD545" s="1655"/>
      <c r="CE545" s="1655"/>
      <c r="CF545" s="1655"/>
      <c r="CG545" s="1655"/>
      <c r="CH545" s="1655"/>
      <c r="CI545" s="1655"/>
      <c r="CJ545" s="1655"/>
      <c r="CK545" s="1655"/>
      <c r="CL545" s="1655"/>
      <c r="CM545" s="1655"/>
      <c r="CN545" s="1655"/>
      <c r="CO545" s="1655"/>
      <c r="CP545" s="1655"/>
      <c r="CQ545" s="1655"/>
      <c r="CR545" s="1655"/>
      <c r="CS545" s="1655"/>
      <c r="CT545" s="1655"/>
      <c r="CU545" s="1655"/>
      <c r="CV545" s="1655"/>
      <c r="CW545" s="1655"/>
      <c r="CX545" s="1655"/>
      <c r="CY545" s="1655"/>
      <c r="CZ545" s="1655"/>
      <c r="DA545" s="1655"/>
      <c r="DB545" s="1655"/>
      <c r="DC545" s="1655"/>
      <c r="DD545" s="1655"/>
      <c r="DE545" s="1655"/>
      <c r="DF545" s="1655"/>
      <c r="DG545" s="1655"/>
      <c r="DH545" s="1655"/>
      <c r="DI545" s="1655"/>
      <c r="DJ545" s="1655"/>
      <c r="DK545" s="1655"/>
      <c r="DL545" s="1655"/>
      <c r="DM545" s="1655"/>
      <c r="DN545" s="1655"/>
      <c r="DO545" s="1655"/>
      <c r="DP545" s="1655"/>
      <c r="DQ545" s="1655"/>
      <c r="DR545" s="1655"/>
      <c r="DS545" s="1655"/>
      <c r="DT545" s="1655"/>
      <c r="DU545" s="1655"/>
      <c r="DV545" s="1655"/>
      <c r="DW545" s="1655"/>
      <c r="DX545" s="1655"/>
      <c r="DY545" s="1655"/>
      <c r="DZ545" s="1655"/>
      <c r="EA545" s="1655"/>
      <c r="EB545" s="1655"/>
      <c r="EC545" s="1655"/>
      <c r="ED545" s="1655"/>
      <c r="EE545" s="1655"/>
      <c r="EF545" s="1655"/>
      <c r="EG545" s="1655"/>
      <c r="EH545" s="1655"/>
      <c r="EI545" s="1655"/>
      <c r="EJ545" s="1655"/>
      <c r="EK545" s="1655"/>
      <c r="EL545" s="1655"/>
      <c r="EM545" s="1655"/>
      <c r="EN545" s="1655"/>
      <c r="EO545" s="1655"/>
      <c r="EP545" s="1655"/>
      <c r="EQ545" s="1655"/>
      <c r="ER545" s="1655"/>
      <c r="ES545" s="1655"/>
      <c r="ET545" s="1655"/>
      <c r="EU545" s="1655"/>
      <c r="EV545" s="1655"/>
      <c r="EW545" s="1655"/>
      <c r="EX545" s="1655"/>
      <c r="EY545" s="1655"/>
      <c r="EZ545" s="1655"/>
      <c r="FA545" s="1655"/>
      <c r="FB545" s="1655"/>
      <c r="FC545" s="1655"/>
      <c r="FD545" s="1655"/>
      <c r="FE545" s="1655"/>
      <c r="FF545" s="1655"/>
      <c r="FG545" s="1655"/>
      <c r="FH545" s="1655"/>
      <c r="FI545" s="1655"/>
    </row>
    <row r="546" spans="1:165">
      <c r="A546" s="1655"/>
      <c r="B546" s="1655"/>
      <c r="C546" s="1655"/>
      <c r="D546" s="1655"/>
      <c r="E546" s="1655"/>
      <c r="F546" s="1655"/>
      <c r="G546" s="1655"/>
      <c r="H546" s="1655"/>
      <c r="I546" s="1655"/>
      <c r="J546" s="1655"/>
      <c r="K546" s="1655"/>
      <c r="L546" s="1655"/>
      <c r="M546" s="1655"/>
      <c r="N546" s="1655"/>
      <c r="O546" s="1655"/>
      <c r="P546" s="1655"/>
      <c r="Q546" s="1655"/>
      <c r="R546" s="1655"/>
      <c r="S546" s="1655"/>
      <c r="T546" s="1655"/>
      <c r="U546" s="1655"/>
      <c r="V546" s="1655"/>
      <c r="W546" s="1655"/>
      <c r="X546" s="1655"/>
      <c r="Y546" s="1655"/>
      <c r="Z546" s="1655"/>
      <c r="AA546" s="1655"/>
      <c r="AB546" s="1655"/>
      <c r="AC546" s="1655"/>
      <c r="AD546" s="1655"/>
      <c r="AE546" s="1655"/>
      <c r="AF546" s="1655"/>
      <c r="AG546" s="1655"/>
      <c r="AH546" s="1655"/>
      <c r="AI546" s="1655"/>
      <c r="AJ546" s="1655"/>
      <c r="AK546" s="1655"/>
      <c r="AL546" s="1655"/>
      <c r="AM546" s="1655"/>
      <c r="AN546" s="1655"/>
      <c r="AO546" s="1655"/>
      <c r="AP546" s="1655"/>
      <c r="AQ546" s="1655"/>
      <c r="AR546" s="1655"/>
      <c r="AS546" s="1655"/>
      <c r="AT546" s="1655"/>
      <c r="AU546" s="1655"/>
      <c r="AV546" s="1655"/>
      <c r="AW546" s="1655"/>
      <c r="AX546" s="1655"/>
      <c r="AY546" s="1655"/>
      <c r="AZ546" s="1655"/>
      <c r="BA546" s="1655"/>
      <c r="BB546" s="1655"/>
      <c r="BC546" s="1655"/>
      <c r="BD546" s="1655"/>
      <c r="BE546" s="1655"/>
      <c r="BF546" s="1655"/>
      <c r="BG546" s="1655"/>
      <c r="BH546" s="1655"/>
      <c r="BI546" s="1655"/>
      <c r="BJ546" s="1655"/>
      <c r="BK546" s="1655"/>
      <c r="BL546" s="1655"/>
      <c r="BM546" s="1655"/>
      <c r="BN546" s="1655"/>
      <c r="BO546" s="1655"/>
      <c r="BP546" s="1655"/>
      <c r="BQ546" s="1655"/>
      <c r="BR546" s="1655"/>
      <c r="BS546" s="1655"/>
      <c r="BT546" s="1655"/>
      <c r="BU546" s="1655"/>
      <c r="BV546" s="1655"/>
      <c r="BW546" s="1655"/>
      <c r="BX546" s="1655"/>
      <c r="BY546" s="1655"/>
      <c r="BZ546" s="1655"/>
      <c r="CA546" s="1655"/>
      <c r="CB546" s="1655"/>
      <c r="CC546" s="1655"/>
      <c r="CD546" s="1655"/>
      <c r="CE546" s="1655"/>
      <c r="CF546" s="1655"/>
      <c r="CG546" s="1655"/>
      <c r="CH546" s="1655"/>
      <c r="CI546" s="1655"/>
      <c r="CJ546" s="1655"/>
      <c r="CK546" s="1655"/>
      <c r="CL546" s="1655"/>
      <c r="CM546" s="1655"/>
      <c r="CN546" s="1655"/>
      <c r="CO546" s="1655"/>
      <c r="CP546" s="1655"/>
      <c r="CQ546" s="1655"/>
      <c r="CR546" s="1655"/>
      <c r="CS546" s="1655"/>
      <c r="CT546" s="1655"/>
      <c r="CU546" s="1655"/>
      <c r="CV546" s="1655"/>
      <c r="CW546" s="1655"/>
      <c r="CX546" s="1655"/>
      <c r="CY546" s="1655"/>
      <c r="CZ546" s="1655"/>
      <c r="DA546" s="1655"/>
      <c r="DB546" s="1655"/>
      <c r="DC546" s="1655"/>
      <c r="DD546" s="1655"/>
      <c r="DE546" s="1655"/>
      <c r="DF546" s="1655"/>
      <c r="DG546" s="1655"/>
      <c r="DH546" s="1655"/>
      <c r="DI546" s="1655"/>
      <c r="DJ546" s="1655"/>
      <c r="DK546" s="1655"/>
      <c r="DL546" s="1655"/>
      <c r="DM546" s="1655"/>
      <c r="DN546" s="1655"/>
      <c r="DO546" s="1655"/>
      <c r="DP546" s="1655"/>
      <c r="DQ546" s="1655"/>
      <c r="DR546" s="1655"/>
      <c r="DS546" s="1655"/>
      <c r="DT546" s="1655"/>
      <c r="DU546" s="1655"/>
      <c r="DV546" s="1655"/>
      <c r="DW546" s="1655"/>
      <c r="DX546" s="1655"/>
      <c r="DY546" s="1655"/>
      <c r="DZ546" s="1655"/>
      <c r="EA546" s="1655"/>
      <c r="EB546" s="1655"/>
      <c r="EC546" s="1655"/>
      <c r="ED546" s="1655"/>
      <c r="EE546" s="1655"/>
      <c r="EF546" s="1655"/>
      <c r="EG546" s="1655"/>
      <c r="EH546" s="1655"/>
      <c r="EI546" s="1655"/>
      <c r="EJ546" s="1655"/>
      <c r="EK546" s="1655"/>
      <c r="EL546" s="1655"/>
      <c r="EM546" s="1655"/>
      <c r="EN546" s="1655"/>
      <c r="EO546" s="1655"/>
      <c r="EP546" s="1655"/>
      <c r="EQ546" s="1655"/>
      <c r="ER546" s="1655"/>
      <c r="ES546" s="1655"/>
      <c r="ET546" s="1655"/>
      <c r="EU546" s="1655"/>
      <c r="EV546" s="1655"/>
      <c r="EW546" s="1655"/>
      <c r="EX546" s="1655"/>
      <c r="EY546" s="1655"/>
      <c r="EZ546" s="1655"/>
      <c r="FA546" s="1655"/>
      <c r="FB546" s="1655"/>
      <c r="FC546" s="1655"/>
      <c r="FD546" s="1655"/>
      <c r="FE546" s="1655"/>
      <c r="FF546" s="1655"/>
      <c r="FG546" s="1655"/>
      <c r="FH546" s="1655"/>
      <c r="FI546" s="1655"/>
    </row>
    <row r="547" spans="1:165">
      <c r="A547" s="1655"/>
      <c r="B547" s="1655"/>
      <c r="C547" s="1655"/>
      <c r="D547" s="1655"/>
      <c r="E547" s="1655"/>
      <c r="F547" s="1655"/>
      <c r="G547" s="1655"/>
      <c r="H547" s="1655"/>
      <c r="I547" s="1655"/>
      <c r="J547" s="1655"/>
      <c r="K547" s="1655"/>
      <c r="L547" s="1655"/>
      <c r="M547" s="1655"/>
      <c r="N547" s="1655"/>
      <c r="O547" s="1655"/>
      <c r="P547" s="1655"/>
      <c r="Q547" s="1655"/>
      <c r="R547" s="1655"/>
      <c r="S547" s="1655"/>
      <c r="T547" s="1655"/>
      <c r="U547" s="1655"/>
      <c r="V547" s="1655"/>
      <c r="W547" s="1655"/>
      <c r="X547" s="1655"/>
      <c r="Y547" s="1655"/>
      <c r="Z547" s="1655"/>
      <c r="AA547" s="1655"/>
      <c r="AB547" s="1655"/>
      <c r="AC547" s="1655"/>
      <c r="AD547" s="1655"/>
      <c r="AE547" s="1655"/>
      <c r="AF547" s="1655"/>
      <c r="AG547" s="1655"/>
      <c r="AH547" s="1655"/>
      <c r="AI547" s="1655"/>
      <c r="AJ547" s="1655"/>
      <c r="AK547" s="1655"/>
      <c r="AL547" s="1655"/>
      <c r="AM547" s="1655"/>
      <c r="AN547" s="1655"/>
      <c r="AO547" s="1655"/>
      <c r="AP547" s="1655"/>
      <c r="AQ547" s="1655"/>
      <c r="AR547" s="1655"/>
      <c r="AS547" s="1655"/>
      <c r="AT547" s="1655"/>
      <c r="AU547" s="1655"/>
      <c r="AV547" s="1655"/>
      <c r="AW547" s="1655"/>
      <c r="AX547" s="1655"/>
      <c r="AY547" s="1655"/>
      <c r="AZ547" s="1655"/>
      <c r="BA547" s="1655"/>
      <c r="BB547" s="1655"/>
      <c r="BC547" s="1655"/>
      <c r="BD547" s="1655"/>
      <c r="BE547" s="1655"/>
      <c r="BF547" s="1655"/>
      <c r="BG547" s="1655"/>
      <c r="BH547" s="1655"/>
      <c r="BI547" s="1655"/>
      <c r="BJ547" s="1655"/>
      <c r="BK547" s="1655"/>
      <c r="BL547" s="1655"/>
      <c r="BM547" s="1655"/>
      <c r="BN547" s="1655"/>
      <c r="BO547" s="1655"/>
      <c r="BP547" s="1655"/>
      <c r="BQ547" s="1655"/>
      <c r="BR547" s="1655"/>
      <c r="BS547" s="1655"/>
      <c r="BT547" s="1655"/>
      <c r="BU547" s="1655"/>
      <c r="BV547" s="1655"/>
      <c r="BW547" s="1655"/>
      <c r="BX547" s="1655"/>
      <c r="BY547" s="1655"/>
      <c r="BZ547" s="1655"/>
      <c r="CA547" s="1655"/>
      <c r="CB547" s="1655"/>
      <c r="CC547" s="1655"/>
      <c r="CD547" s="1655"/>
      <c r="CE547" s="1655"/>
      <c r="CF547" s="1655"/>
      <c r="CG547" s="1655"/>
      <c r="CH547" s="1655"/>
      <c r="CI547" s="1655"/>
      <c r="CJ547" s="1655"/>
      <c r="CK547" s="1655"/>
      <c r="CL547" s="1655"/>
      <c r="CM547" s="1655"/>
      <c r="CN547" s="1655"/>
      <c r="CO547" s="1655"/>
      <c r="CP547" s="1655"/>
      <c r="CQ547" s="1655"/>
      <c r="CR547" s="1655"/>
      <c r="CS547" s="1655"/>
      <c r="CT547" s="1655"/>
      <c r="CU547" s="1655"/>
      <c r="CV547" s="1655"/>
      <c r="CW547" s="1655"/>
      <c r="CX547" s="1655"/>
      <c r="CY547" s="1655"/>
      <c r="CZ547" s="1655"/>
      <c r="DA547" s="1655"/>
      <c r="DB547" s="1655"/>
      <c r="DC547" s="1655"/>
      <c r="DD547" s="1655"/>
      <c r="DE547" s="1655"/>
      <c r="DF547" s="1655"/>
      <c r="DG547" s="1655"/>
      <c r="DH547" s="1655"/>
      <c r="DI547" s="1655"/>
      <c r="DJ547" s="1655"/>
      <c r="DK547" s="1655"/>
      <c r="DL547" s="1655"/>
      <c r="DM547" s="1655"/>
      <c r="DN547" s="1655"/>
      <c r="DO547" s="1655"/>
      <c r="DP547" s="1655"/>
      <c r="DQ547" s="1655"/>
      <c r="DR547" s="1655"/>
      <c r="DS547" s="1655"/>
      <c r="DT547" s="1655"/>
      <c r="DU547" s="1655"/>
      <c r="DV547" s="1655"/>
      <c r="DW547" s="1655"/>
      <c r="DX547" s="1655"/>
      <c r="DY547" s="1655"/>
      <c r="DZ547" s="1655"/>
      <c r="EA547" s="1655"/>
      <c r="EB547" s="1655"/>
      <c r="EC547" s="1655"/>
      <c r="ED547" s="1655"/>
      <c r="EE547" s="1655"/>
      <c r="EF547" s="1655"/>
      <c r="EG547" s="1655"/>
      <c r="EH547" s="1655"/>
      <c r="EI547" s="1655"/>
      <c r="EJ547" s="1655"/>
      <c r="EK547" s="1655"/>
      <c r="EL547" s="1655"/>
      <c r="EM547" s="1655"/>
      <c r="EN547" s="1655"/>
      <c r="EO547" s="1655"/>
      <c r="EP547" s="1655"/>
      <c r="EQ547" s="1655"/>
      <c r="ER547" s="1655"/>
      <c r="ES547" s="1655"/>
      <c r="ET547" s="1655"/>
      <c r="EU547" s="1655"/>
      <c r="EV547" s="1655"/>
      <c r="EW547" s="1655"/>
      <c r="EX547" s="1655"/>
      <c r="EY547" s="1655"/>
      <c r="EZ547" s="1655"/>
      <c r="FA547" s="1655"/>
      <c r="FB547" s="1655"/>
      <c r="FC547" s="1655"/>
      <c r="FD547" s="1655"/>
      <c r="FE547" s="1655"/>
      <c r="FF547" s="1655"/>
      <c r="FG547" s="1655"/>
      <c r="FH547" s="1655"/>
      <c r="FI547" s="1655"/>
    </row>
    <row r="548" spans="1:165">
      <c r="A548" s="1655"/>
      <c r="B548" s="1655"/>
      <c r="C548" s="1655"/>
      <c r="D548" s="1655"/>
      <c r="E548" s="1655"/>
      <c r="F548" s="1655"/>
      <c r="G548" s="1655"/>
      <c r="H548" s="1655"/>
      <c r="I548" s="1655"/>
      <c r="J548" s="1655"/>
      <c r="K548" s="1655"/>
      <c r="L548" s="1655"/>
      <c r="M548" s="1655"/>
      <c r="N548" s="1655"/>
      <c r="O548" s="1655"/>
      <c r="P548" s="1655"/>
      <c r="Q548" s="1655"/>
      <c r="R548" s="1655"/>
      <c r="S548" s="1655"/>
      <c r="T548" s="1655"/>
      <c r="U548" s="1655"/>
      <c r="V548" s="1655"/>
      <c r="W548" s="1655"/>
      <c r="X548" s="1655"/>
      <c r="Y548" s="1655"/>
      <c r="Z548" s="1655"/>
      <c r="AA548" s="1655"/>
      <c r="AB548" s="1655"/>
      <c r="AC548" s="1655"/>
      <c r="AD548" s="1655"/>
      <c r="AE548" s="1655"/>
      <c r="AF548" s="1655"/>
      <c r="AG548" s="1655"/>
      <c r="AH548" s="1655"/>
      <c r="AI548" s="1655"/>
      <c r="AJ548" s="1655"/>
      <c r="AK548" s="1655"/>
      <c r="AL548" s="1655"/>
      <c r="AM548" s="1655"/>
      <c r="AN548" s="1655"/>
      <c r="AO548" s="1655"/>
      <c r="AP548" s="1655"/>
      <c r="AQ548" s="1655"/>
      <c r="AR548" s="1655"/>
      <c r="AS548" s="1655"/>
      <c r="AT548" s="1655"/>
      <c r="AU548" s="1655"/>
      <c r="AV548" s="1655"/>
      <c r="AW548" s="1655"/>
      <c r="AX548" s="1655"/>
      <c r="AY548" s="1655"/>
      <c r="AZ548" s="1655"/>
      <c r="BA548" s="1655"/>
      <c r="BB548" s="1655"/>
      <c r="BC548" s="1655"/>
      <c r="BD548" s="1655"/>
      <c r="BE548" s="1655"/>
      <c r="BF548" s="1655"/>
      <c r="BG548" s="1655"/>
      <c r="BH548" s="1655"/>
      <c r="BI548" s="1655"/>
      <c r="BJ548" s="1655"/>
      <c r="BK548" s="1655"/>
      <c r="BL548" s="1655"/>
      <c r="BM548" s="1655"/>
      <c r="BN548" s="1655"/>
      <c r="BO548" s="1655"/>
      <c r="BP548" s="1655"/>
      <c r="BQ548" s="1655"/>
      <c r="BR548" s="1655"/>
      <c r="BS548" s="1655"/>
      <c r="BT548" s="1655"/>
      <c r="BU548" s="1655"/>
      <c r="BV548" s="1655"/>
      <c r="BW548" s="1655"/>
      <c r="BX548" s="1655"/>
      <c r="BY548" s="1655"/>
      <c r="BZ548" s="1655"/>
      <c r="CA548" s="1655"/>
      <c r="CB548" s="1655"/>
      <c r="CC548" s="1655"/>
      <c r="CD548" s="1655"/>
      <c r="CE548" s="1655"/>
      <c r="CF548" s="1655"/>
      <c r="CG548" s="1655"/>
      <c r="CH548" s="1655"/>
      <c r="CI548" s="1655"/>
      <c r="CJ548" s="1655"/>
      <c r="CK548" s="1655"/>
      <c r="CL548" s="1655"/>
      <c r="CM548" s="1655"/>
      <c r="CN548" s="1655"/>
      <c r="CO548" s="1655"/>
      <c r="CP548" s="1655"/>
      <c r="CQ548" s="1655"/>
      <c r="CR548" s="1655"/>
      <c r="CS548" s="1655"/>
      <c r="CT548" s="1655"/>
      <c r="CU548" s="1655"/>
      <c r="CV548" s="1655"/>
      <c r="CW548" s="1655"/>
      <c r="CX548" s="1655"/>
      <c r="CY548" s="1655"/>
      <c r="CZ548" s="1655"/>
      <c r="DA548" s="1655"/>
      <c r="DB548" s="1655"/>
      <c r="DC548" s="1655"/>
      <c r="DD548" s="1655"/>
      <c r="DE548" s="1655"/>
      <c r="DF548" s="1655"/>
      <c r="DG548" s="1655"/>
      <c r="DH548" s="1655"/>
      <c r="DI548" s="1655"/>
      <c r="DJ548" s="1655"/>
      <c r="DK548" s="1655"/>
      <c r="DL548" s="1655"/>
      <c r="DM548" s="1655"/>
      <c r="DN548" s="1655"/>
      <c r="DO548" s="1655"/>
      <c r="DP548" s="1655"/>
      <c r="DQ548" s="1655"/>
      <c r="DR548" s="1655"/>
      <c r="DS548" s="1655"/>
      <c r="DT548" s="1655"/>
      <c r="DU548" s="1655"/>
      <c r="DV548" s="1655"/>
      <c r="DW548" s="1655"/>
      <c r="DX548" s="1655"/>
      <c r="DY548" s="1655"/>
      <c r="DZ548" s="1655"/>
      <c r="EA548" s="1655"/>
      <c r="EB548" s="1655"/>
      <c r="EC548" s="1655"/>
      <c r="ED548" s="1655"/>
      <c r="EE548" s="1655"/>
      <c r="EF548" s="1655"/>
      <c r="EG548" s="1655"/>
      <c r="EH548" s="1655"/>
      <c r="EI548" s="1655"/>
      <c r="EJ548" s="1655"/>
      <c r="EK548" s="1655"/>
      <c r="EL548" s="1655"/>
      <c r="EM548" s="1655"/>
      <c r="EN548" s="1655"/>
      <c r="EO548" s="1655"/>
      <c r="EP548" s="1655"/>
      <c r="EQ548" s="1655"/>
      <c r="ER548" s="1655"/>
      <c r="ES548" s="1655"/>
      <c r="ET548" s="1655"/>
      <c r="EU548" s="1655"/>
      <c r="EV548" s="1655"/>
      <c r="EW548" s="1655"/>
      <c r="EX548" s="1655"/>
      <c r="EY548" s="1655"/>
      <c r="EZ548" s="1655"/>
      <c r="FA548" s="1655"/>
      <c r="FB548" s="1655"/>
      <c r="FC548" s="1655"/>
      <c r="FD548" s="1655"/>
      <c r="FE548" s="1655"/>
      <c r="FF548" s="1655"/>
      <c r="FG548" s="1655"/>
      <c r="FH548" s="1655"/>
      <c r="FI548" s="1655"/>
    </row>
    <row r="549" spans="1:165">
      <c r="A549" s="1655"/>
      <c r="B549" s="1655"/>
      <c r="C549" s="1655"/>
      <c r="D549" s="1655"/>
      <c r="E549" s="1655"/>
      <c r="F549" s="1655"/>
      <c r="G549" s="1655"/>
      <c r="H549" s="1655"/>
      <c r="I549" s="1655"/>
      <c r="J549" s="1655"/>
      <c r="K549" s="1655"/>
      <c r="L549" s="1655"/>
      <c r="M549" s="1655"/>
      <c r="N549" s="1655"/>
      <c r="O549" s="1655"/>
      <c r="P549" s="1655"/>
      <c r="Q549" s="1655"/>
      <c r="R549" s="1655"/>
      <c r="S549" s="1655"/>
      <c r="T549" s="1655"/>
      <c r="U549" s="1655"/>
      <c r="V549" s="1655"/>
      <c r="W549" s="1655"/>
      <c r="X549" s="1655"/>
      <c r="Y549" s="1655"/>
      <c r="Z549" s="1655"/>
      <c r="AA549" s="1655"/>
      <c r="AB549" s="1655"/>
      <c r="AC549" s="1655"/>
      <c r="AD549" s="1655"/>
      <c r="AE549" s="1655"/>
      <c r="AF549" s="1655"/>
      <c r="AG549" s="1655"/>
      <c r="AH549" s="1655"/>
      <c r="AI549" s="1655"/>
      <c r="AJ549" s="1655"/>
      <c r="AK549" s="1655"/>
      <c r="AL549" s="1655"/>
      <c r="AM549" s="1655"/>
      <c r="AN549" s="1655"/>
      <c r="AO549" s="1655"/>
      <c r="AP549" s="1655"/>
      <c r="AQ549" s="1655"/>
      <c r="AR549" s="1655"/>
      <c r="AS549" s="1655"/>
      <c r="AT549" s="1655"/>
      <c r="AU549" s="1655"/>
      <c r="AV549" s="1655"/>
      <c r="AW549" s="1655"/>
      <c r="AX549" s="1655"/>
      <c r="AY549" s="1655"/>
      <c r="AZ549" s="1655"/>
      <c r="BA549" s="1655"/>
      <c r="BB549" s="1655"/>
      <c r="BC549" s="1655"/>
      <c r="BD549" s="1655"/>
      <c r="BE549" s="1655"/>
      <c r="BF549" s="1655"/>
      <c r="BG549" s="1655"/>
      <c r="BH549" s="1655"/>
      <c r="BI549" s="1655"/>
      <c r="BJ549" s="1655"/>
      <c r="BK549" s="1655"/>
      <c r="BL549" s="1655"/>
      <c r="BM549" s="1655"/>
      <c r="BN549" s="1655"/>
      <c r="BO549" s="1655"/>
      <c r="BP549" s="1655"/>
      <c r="BQ549" s="1655"/>
      <c r="BR549" s="1655"/>
      <c r="BS549" s="1655"/>
      <c r="BT549" s="1655"/>
      <c r="BU549" s="1655"/>
      <c r="BV549" s="1655"/>
      <c r="BW549" s="1655"/>
      <c r="BX549" s="1655"/>
      <c r="BY549" s="1655"/>
      <c r="BZ549" s="1655"/>
      <c r="CA549" s="1655"/>
      <c r="CB549" s="1655"/>
      <c r="CC549" s="1655"/>
      <c r="CD549" s="1655"/>
      <c r="CE549" s="1655"/>
      <c r="CF549" s="1655"/>
      <c r="CG549" s="1655"/>
      <c r="CH549" s="1655"/>
      <c r="CI549" s="1655"/>
      <c r="CJ549" s="1655"/>
      <c r="CK549" s="1655"/>
      <c r="CL549" s="1655"/>
      <c r="CM549" s="1655"/>
      <c r="CN549" s="1655"/>
      <c r="CO549" s="1655"/>
      <c r="CP549" s="1655"/>
      <c r="CQ549" s="1655"/>
      <c r="CR549" s="1655"/>
      <c r="CS549" s="1655"/>
      <c r="CT549" s="1655"/>
      <c r="CU549" s="1655"/>
      <c r="CV549" s="1655"/>
      <c r="CW549" s="1655"/>
      <c r="CX549" s="1655"/>
      <c r="CY549" s="1655"/>
      <c r="CZ549" s="1655"/>
      <c r="DA549" s="1655"/>
      <c r="DB549" s="1655"/>
      <c r="DC549" s="1655"/>
      <c r="DD549" s="1655"/>
      <c r="DE549" s="1655"/>
      <c r="DF549" s="1655"/>
      <c r="DG549" s="1655"/>
      <c r="DH549" s="1655"/>
      <c r="DI549" s="1655"/>
      <c r="DJ549" s="1655"/>
      <c r="DK549" s="1655"/>
      <c r="DL549" s="1655"/>
      <c r="DM549" s="1655"/>
      <c r="DN549" s="1655"/>
      <c r="DO549" s="1655"/>
      <c r="DP549" s="1655"/>
      <c r="DQ549" s="1655"/>
      <c r="DR549" s="1655"/>
      <c r="DS549" s="1655"/>
      <c r="DT549" s="1655"/>
      <c r="DU549" s="1655"/>
      <c r="DV549" s="1655"/>
      <c r="DW549" s="1655"/>
      <c r="DX549" s="1655"/>
      <c r="DY549" s="1655"/>
      <c r="DZ549" s="1655"/>
      <c r="EA549" s="1655"/>
      <c r="EB549" s="1655"/>
      <c r="EC549" s="1655"/>
      <c r="ED549" s="1655"/>
      <c r="EE549" s="1655"/>
      <c r="EF549" s="1655"/>
      <c r="EG549" s="1655"/>
      <c r="EH549" s="1655"/>
      <c r="EI549" s="1655"/>
      <c r="EJ549" s="1655"/>
      <c r="EK549" s="1655"/>
      <c r="EL549" s="1655"/>
      <c r="EM549" s="1655"/>
      <c r="EN549" s="1655"/>
      <c r="EO549" s="1655"/>
      <c r="EP549" s="1655"/>
      <c r="EQ549" s="1655"/>
      <c r="ER549" s="1655"/>
      <c r="ES549" s="1655"/>
      <c r="ET549" s="1655"/>
      <c r="EU549" s="1655"/>
      <c r="EV549" s="1655"/>
      <c r="EW549" s="1655"/>
      <c r="EX549" s="1655"/>
      <c r="EY549" s="1655"/>
      <c r="EZ549" s="1655"/>
      <c r="FA549" s="1655"/>
      <c r="FB549" s="1655"/>
      <c r="FC549" s="1655"/>
      <c r="FD549" s="1655"/>
      <c r="FE549" s="1655"/>
      <c r="FF549" s="1655"/>
      <c r="FG549" s="1655"/>
      <c r="FH549" s="1655"/>
      <c r="FI549" s="1655"/>
    </row>
    <row r="550" spans="1:165">
      <c r="A550" s="1655"/>
      <c r="B550" s="1655"/>
      <c r="C550" s="1655"/>
      <c r="D550" s="1655"/>
      <c r="E550" s="1655"/>
      <c r="F550" s="1655"/>
      <c r="G550" s="1655"/>
      <c r="H550" s="1655"/>
      <c r="I550" s="1655"/>
      <c r="J550" s="1655"/>
      <c r="K550" s="1655"/>
      <c r="L550" s="1655"/>
      <c r="M550" s="1655"/>
      <c r="N550" s="1655"/>
      <c r="O550" s="1655"/>
      <c r="P550" s="1655"/>
      <c r="Q550" s="1655"/>
      <c r="R550" s="1655"/>
      <c r="S550" s="1655"/>
      <c r="T550" s="1655"/>
      <c r="U550" s="1655"/>
      <c r="V550" s="1655"/>
      <c r="W550" s="1655"/>
      <c r="X550" s="1655"/>
      <c r="Y550" s="1655"/>
      <c r="Z550" s="1655"/>
      <c r="AA550" s="1655"/>
      <c r="AB550" s="1655"/>
      <c r="AC550" s="1655"/>
      <c r="AD550" s="1655"/>
      <c r="AE550" s="1655"/>
      <c r="AF550" s="1655"/>
      <c r="AG550" s="1655"/>
      <c r="AH550" s="1655"/>
      <c r="AI550" s="1655"/>
      <c r="AJ550" s="1655"/>
      <c r="AK550" s="1655"/>
      <c r="AL550" s="1655"/>
      <c r="AM550" s="1655"/>
      <c r="AN550" s="1655"/>
      <c r="AO550" s="1655"/>
      <c r="AP550" s="1655"/>
      <c r="AQ550" s="1655"/>
      <c r="AR550" s="1655"/>
      <c r="AS550" s="1655"/>
      <c r="AT550" s="1655"/>
      <c r="AU550" s="1655"/>
      <c r="AV550" s="1655"/>
      <c r="AW550" s="1655"/>
      <c r="AX550" s="1655"/>
      <c r="AY550" s="1655"/>
      <c r="AZ550" s="1655"/>
      <c r="BA550" s="1655"/>
      <c r="BB550" s="1655"/>
      <c r="BC550" s="1655"/>
      <c r="BD550" s="1655"/>
      <c r="BE550" s="1655"/>
      <c r="BF550" s="1655"/>
      <c r="BG550" s="1655"/>
      <c r="BH550" s="1655"/>
      <c r="BI550" s="1655"/>
      <c r="BJ550" s="1655"/>
      <c r="BK550" s="1655"/>
      <c r="BL550" s="1655"/>
      <c r="BM550" s="1655"/>
      <c r="BN550" s="1655"/>
      <c r="BO550" s="1655"/>
      <c r="BP550" s="1655"/>
      <c r="BQ550" s="1655"/>
      <c r="BR550" s="1655"/>
      <c r="BS550" s="1655"/>
      <c r="BT550" s="1655"/>
      <c r="BU550" s="1655"/>
      <c r="BV550" s="1655"/>
      <c r="BW550" s="1655"/>
      <c r="BX550" s="1655"/>
      <c r="BY550" s="1655"/>
      <c r="BZ550" s="1655"/>
      <c r="CA550" s="1655"/>
      <c r="CB550" s="1655"/>
      <c r="CC550" s="1655"/>
      <c r="CD550" s="1655"/>
      <c r="CE550" s="1655"/>
      <c r="CF550" s="1655"/>
      <c r="CG550" s="1655"/>
      <c r="CH550" s="1655"/>
      <c r="CI550" s="1655"/>
      <c r="CJ550" s="1655"/>
      <c r="CK550" s="1655"/>
      <c r="CL550" s="1655"/>
      <c r="CM550" s="1655"/>
      <c r="CN550" s="1655"/>
      <c r="CO550" s="1655"/>
      <c r="CP550" s="1655"/>
      <c r="CQ550" s="1655"/>
      <c r="CR550" s="1655"/>
      <c r="CS550" s="1655"/>
      <c r="CT550" s="1655"/>
      <c r="CU550" s="1655"/>
      <c r="CV550" s="1655"/>
      <c r="CW550" s="1655"/>
      <c r="CX550" s="1655"/>
      <c r="CY550" s="1655"/>
      <c r="CZ550" s="1655"/>
      <c r="DA550" s="1655"/>
      <c r="DB550" s="1655"/>
      <c r="DC550" s="1655"/>
      <c r="DD550" s="1655"/>
      <c r="DE550" s="1655"/>
      <c r="DF550" s="1655"/>
      <c r="DG550" s="1655"/>
      <c r="DH550" s="1655"/>
      <c r="DI550" s="1655"/>
      <c r="DJ550" s="1655"/>
      <c r="DK550" s="1655"/>
      <c r="DL550" s="1655"/>
      <c r="DM550" s="1655"/>
      <c r="DN550" s="1655"/>
      <c r="DO550" s="1655"/>
      <c r="DP550" s="1655"/>
      <c r="DQ550" s="1655"/>
      <c r="DR550" s="1655"/>
      <c r="DS550" s="1655"/>
      <c r="DT550" s="1655"/>
      <c r="DU550" s="1655"/>
      <c r="DV550" s="1655"/>
      <c r="DW550" s="1655"/>
      <c r="DX550" s="1655"/>
      <c r="DY550" s="1655"/>
      <c r="DZ550" s="1655"/>
      <c r="EA550" s="1655"/>
      <c r="EB550" s="1655"/>
      <c r="EC550" s="1655"/>
      <c r="ED550" s="1655"/>
      <c r="EE550" s="1655"/>
      <c r="EF550" s="1655"/>
      <c r="EG550" s="1655"/>
      <c r="EH550" s="1655"/>
      <c r="EI550" s="1655"/>
      <c r="EJ550" s="1655"/>
      <c r="EK550" s="1655"/>
      <c r="EL550" s="1655"/>
      <c r="EM550" s="1655"/>
      <c r="EN550" s="1655"/>
      <c r="EO550" s="1655"/>
      <c r="EP550" s="1655"/>
      <c r="EQ550" s="1655"/>
      <c r="ER550" s="1655"/>
      <c r="ES550" s="1655"/>
      <c r="ET550" s="1655"/>
      <c r="EU550" s="1655"/>
      <c r="EV550" s="1655"/>
      <c r="EW550" s="1655"/>
      <c r="EX550" s="1655"/>
      <c r="EY550" s="1655"/>
      <c r="EZ550" s="1655"/>
      <c r="FA550" s="1655"/>
      <c r="FB550" s="1655"/>
      <c r="FC550" s="1655"/>
      <c r="FD550" s="1655"/>
      <c r="FE550" s="1655"/>
      <c r="FF550" s="1655"/>
      <c r="FG550" s="1655"/>
      <c r="FH550" s="1655"/>
      <c r="FI550" s="1655"/>
    </row>
    <row r="551" spans="1:165">
      <c r="A551" s="1655"/>
      <c r="B551" s="1655"/>
      <c r="C551" s="1655"/>
      <c r="D551" s="1655"/>
      <c r="E551" s="1655"/>
      <c r="F551" s="1655"/>
      <c r="G551" s="1655"/>
      <c r="H551" s="1655"/>
      <c r="I551" s="1655"/>
      <c r="J551" s="1655"/>
      <c r="K551" s="1655"/>
      <c r="L551" s="1655"/>
      <c r="M551" s="1655"/>
      <c r="N551" s="1655"/>
      <c r="O551" s="1655"/>
      <c r="P551" s="1655"/>
      <c r="Q551" s="1655"/>
      <c r="R551" s="1655"/>
      <c r="S551" s="1655"/>
      <c r="T551" s="1655"/>
      <c r="U551" s="1655"/>
      <c r="V551" s="1655"/>
      <c r="W551" s="1655"/>
      <c r="X551" s="1655"/>
      <c r="Y551" s="1655"/>
      <c r="Z551" s="1655"/>
      <c r="AA551" s="1655"/>
      <c r="AB551" s="1655"/>
      <c r="AC551" s="1655"/>
      <c r="AD551" s="1655"/>
      <c r="AE551" s="1655"/>
      <c r="AF551" s="1655"/>
      <c r="AG551" s="1655"/>
      <c r="AH551" s="1655"/>
      <c r="AI551" s="1655"/>
      <c r="AJ551" s="1655"/>
      <c r="AK551" s="1655"/>
      <c r="AL551" s="1655"/>
      <c r="AM551" s="1655"/>
      <c r="AN551" s="1655"/>
      <c r="AO551" s="1655"/>
      <c r="AP551" s="1655"/>
      <c r="AQ551" s="1655"/>
      <c r="AR551" s="1655"/>
      <c r="AS551" s="1655"/>
      <c r="AT551" s="1655"/>
      <c r="AU551" s="1655"/>
      <c r="AV551" s="1655"/>
      <c r="AW551" s="1655"/>
      <c r="AX551" s="1655"/>
      <c r="AY551" s="1655"/>
      <c r="AZ551" s="1655"/>
      <c r="BA551" s="1655"/>
      <c r="BB551" s="1655"/>
      <c r="BC551" s="1655"/>
      <c r="BD551" s="1655"/>
      <c r="BE551" s="1655"/>
      <c r="BF551" s="1655"/>
      <c r="BG551" s="1655"/>
      <c r="BH551" s="1655"/>
      <c r="BI551" s="1655"/>
      <c r="BJ551" s="1655"/>
      <c r="BK551" s="1655"/>
      <c r="BL551" s="1655"/>
      <c r="BM551" s="1655"/>
      <c r="BN551" s="1655"/>
      <c r="BO551" s="1655"/>
      <c r="BP551" s="1655"/>
      <c r="BQ551" s="1655"/>
      <c r="BR551" s="1655"/>
      <c r="BS551" s="1655"/>
      <c r="BT551" s="1655"/>
      <c r="BU551" s="1655"/>
      <c r="BV551" s="1655"/>
      <c r="BW551" s="1655"/>
      <c r="BX551" s="1655"/>
      <c r="BY551" s="1655"/>
      <c r="BZ551" s="1655"/>
      <c r="CA551" s="1655"/>
      <c r="CB551" s="1655"/>
      <c r="CC551" s="1655"/>
      <c r="CD551" s="1655"/>
      <c r="CE551" s="1655"/>
      <c r="CF551" s="1655"/>
      <c r="CG551" s="1655"/>
      <c r="CH551" s="1655"/>
      <c r="CI551" s="1655"/>
      <c r="CJ551" s="1655"/>
      <c r="CK551" s="1655"/>
      <c r="CL551" s="1655"/>
      <c r="CM551" s="1655"/>
      <c r="CN551" s="1655"/>
      <c r="CO551" s="1655"/>
      <c r="CP551" s="1655"/>
      <c r="CQ551" s="1655"/>
      <c r="CR551" s="1655"/>
      <c r="CS551" s="1655"/>
      <c r="CT551" s="1655"/>
      <c r="CU551" s="1655"/>
      <c r="CV551" s="1655"/>
      <c r="CW551" s="1655"/>
      <c r="CX551" s="1655"/>
      <c r="CY551" s="1655"/>
      <c r="CZ551" s="1655"/>
      <c r="DA551" s="1655"/>
      <c r="DB551" s="1655"/>
      <c r="DC551" s="1655"/>
      <c r="DD551" s="1655"/>
      <c r="DE551" s="1655"/>
      <c r="DF551" s="1655"/>
      <c r="DG551" s="1655"/>
      <c r="DH551" s="1655"/>
      <c r="DI551" s="1655"/>
      <c r="DJ551" s="1655"/>
      <c r="DK551" s="1655"/>
      <c r="DL551" s="1655"/>
      <c r="DM551" s="1655"/>
      <c r="DN551" s="1655"/>
      <c r="DO551" s="1655"/>
      <c r="DP551" s="1655"/>
      <c r="DQ551" s="1655"/>
      <c r="DR551" s="1655"/>
      <c r="DS551" s="1655"/>
      <c r="DT551" s="1655"/>
      <c r="DU551" s="1655"/>
      <c r="DV551" s="1655"/>
      <c r="DW551" s="1655"/>
      <c r="DX551" s="1655"/>
      <c r="DY551" s="1655"/>
      <c r="DZ551" s="1655"/>
      <c r="EA551" s="1655"/>
      <c r="EB551" s="1655"/>
      <c r="EC551" s="1655"/>
      <c r="ED551" s="1655"/>
      <c r="EE551" s="1655"/>
      <c r="EF551" s="1655"/>
      <c r="EG551" s="1655"/>
      <c r="EH551" s="1655"/>
      <c r="EI551" s="1655"/>
      <c r="EJ551" s="1655"/>
      <c r="EK551" s="1655"/>
      <c r="EL551" s="1655"/>
      <c r="EM551" s="1655"/>
      <c r="EN551" s="1655"/>
      <c r="EO551" s="1655"/>
      <c r="EP551" s="1655"/>
      <c r="EQ551" s="1655"/>
      <c r="ER551" s="1655"/>
      <c r="ES551" s="1655"/>
      <c r="ET551" s="1655"/>
      <c r="EU551" s="1655"/>
      <c r="EV551" s="1655"/>
      <c r="EW551" s="1655"/>
      <c r="EX551" s="1655"/>
      <c r="EY551" s="1655"/>
      <c r="EZ551" s="1655"/>
      <c r="FA551" s="1655"/>
      <c r="FB551" s="1655"/>
      <c r="FC551" s="1655"/>
      <c r="FD551" s="1655"/>
      <c r="FE551" s="1655"/>
      <c r="FF551" s="1655"/>
      <c r="FG551" s="1655"/>
      <c r="FH551" s="1655"/>
      <c r="FI551" s="1655"/>
    </row>
    <row r="552" spans="1:165">
      <c r="A552" s="1655"/>
      <c r="B552" s="1655"/>
      <c r="C552" s="1655"/>
      <c r="D552" s="1655"/>
      <c r="E552" s="1655"/>
      <c r="F552" s="1655"/>
      <c r="G552" s="1655"/>
      <c r="H552" s="1655"/>
      <c r="I552" s="1655"/>
      <c r="J552" s="1655"/>
      <c r="K552" s="1655"/>
      <c r="L552" s="1655"/>
      <c r="M552" s="1655"/>
      <c r="N552" s="1655"/>
      <c r="O552" s="1655"/>
      <c r="P552" s="1655"/>
      <c r="Q552" s="1655"/>
      <c r="R552" s="1655"/>
      <c r="S552" s="1655"/>
      <c r="T552" s="1655"/>
      <c r="U552" s="1655"/>
      <c r="V552" s="1655"/>
      <c r="W552" s="1655"/>
      <c r="X552" s="1655"/>
      <c r="Y552" s="1655"/>
      <c r="Z552" s="1655"/>
      <c r="AA552" s="1655"/>
      <c r="AB552" s="1655"/>
      <c r="AC552" s="1655"/>
      <c r="AD552" s="1655"/>
      <c r="AE552" s="1655"/>
      <c r="AF552" s="1655"/>
      <c r="AG552" s="1655"/>
      <c r="AH552" s="1655"/>
      <c r="AI552" s="1655"/>
      <c r="AJ552" s="1655"/>
      <c r="AK552" s="1655"/>
      <c r="AL552" s="1655"/>
      <c r="AM552" s="1655"/>
      <c r="AN552" s="1655"/>
      <c r="AO552" s="1655"/>
      <c r="AP552" s="1655"/>
      <c r="AQ552" s="1655"/>
      <c r="AR552" s="1655"/>
      <c r="AS552" s="1655"/>
      <c r="AT552" s="1655"/>
      <c r="AU552" s="1655"/>
      <c r="AV552" s="1655"/>
      <c r="AW552" s="1655"/>
      <c r="AX552" s="1655"/>
      <c r="AY552" s="1655"/>
      <c r="AZ552" s="1655"/>
      <c r="BA552" s="1655"/>
      <c r="BB552" s="1655"/>
      <c r="BC552" s="1655"/>
      <c r="BD552" s="1655"/>
      <c r="BE552" s="1655"/>
      <c r="BF552" s="1655"/>
      <c r="BG552" s="1655"/>
      <c r="BH552" s="1655"/>
      <c r="BI552" s="1655"/>
      <c r="BJ552" s="1655"/>
      <c r="BK552" s="1655"/>
      <c r="BL552" s="1655"/>
      <c r="BM552" s="1655"/>
      <c r="BN552" s="1655"/>
      <c r="BO552" s="1655"/>
      <c r="BP552" s="1655"/>
      <c r="BQ552" s="1655"/>
      <c r="BR552" s="1655"/>
      <c r="BS552" s="1655"/>
      <c r="BT552" s="1655"/>
      <c r="BU552" s="1655"/>
      <c r="BV552" s="1655"/>
      <c r="BW552" s="1655"/>
      <c r="BX552" s="1655"/>
      <c r="BY552" s="1655"/>
      <c r="BZ552" s="1655"/>
      <c r="CA552" s="1655"/>
      <c r="CB552" s="1655"/>
      <c r="CC552" s="1655"/>
      <c r="CD552" s="1655"/>
      <c r="CE552" s="1655"/>
      <c r="CF552" s="1655"/>
      <c r="CG552" s="1655"/>
      <c r="CH552" s="1655"/>
      <c r="CI552" s="1655"/>
      <c r="CJ552" s="1655"/>
      <c r="CK552" s="1655"/>
      <c r="CL552" s="1655"/>
      <c r="CM552" s="1655"/>
      <c r="CN552" s="1655"/>
      <c r="CO552" s="1655"/>
      <c r="CP552" s="1655"/>
      <c r="CQ552" s="1655"/>
      <c r="CR552" s="1655"/>
      <c r="CS552" s="1655"/>
      <c r="CT552" s="1655"/>
      <c r="CU552" s="1655"/>
      <c r="CV552" s="1655"/>
      <c r="CW552" s="1655"/>
      <c r="CX552" s="1655"/>
      <c r="CY552" s="1655"/>
      <c r="CZ552" s="1655"/>
      <c r="DA552" s="1655"/>
      <c r="DB552" s="1655"/>
      <c r="DC552" s="1655"/>
      <c r="DD552" s="1655"/>
      <c r="DE552" s="1655"/>
      <c r="DF552" s="1655"/>
      <c r="DG552" s="1655"/>
      <c r="DH552" s="1655"/>
      <c r="DI552" s="1655"/>
      <c r="DJ552" s="1655"/>
      <c r="DK552" s="1655"/>
      <c r="DL552" s="1655"/>
      <c r="DM552" s="1655"/>
      <c r="DN552" s="1655"/>
      <c r="DO552" s="1655"/>
      <c r="DP552" s="1655"/>
      <c r="DQ552" s="1655"/>
      <c r="DR552" s="1655"/>
      <c r="DS552" s="1655"/>
      <c r="DT552" s="1655"/>
      <c r="DU552" s="1655"/>
      <c r="DV552" s="1655"/>
      <c r="DW552" s="1655"/>
      <c r="DX552" s="1655"/>
      <c r="DY552" s="1655"/>
      <c r="DZ552" s="1655"/>
      <c r="EA552" s="1655"/>
      <c r="EB552" s="1655"/>
      <c r="EC552" s="1655"/>
      <c r="ED552" s="1655"/>
      <c r="EE552" s="1655"/>
      <c r="EF552" s="1655"/>
      <c r="EG552" s="1655"/>
      <c r="EH552" s="1655"/>
      <c r="EI552" s="1655"/>
      <c r="EJ552" s="1655"/>
      <c r="EK552" s="1655"/>
      <c r="EL552" s="1655"/>
      <c r="EM552" s="1655"/>
      <c r="EN552" s="1655"/>
      <c r="EO552" s="1655"/>
      <c r="EP552" s="1655"/>
      <c r="EQ552" s="1655"/>
      <c r="ER552" s="1655"/>
      <c r="ES552" s="1655"/>
      <c r="ET552" s="1655"/>
      <c r="EU552" s="1655"/>
      <c r="EV552" s="1655"/>
      <c r="EW552" s="1655"/>
      <c r="EX552" s="1655"/>
      <c r="EY552" s="1655"/>
      <c r="EZ552" s="1655"/>
      <c r="FA552" s="1655"/>
      <c r="FB552" s="1655"/>
      <c r="FC552" s="1655"/>
      <c r="FD552" s="1655"/>
      <c r="FE552" s="1655"/>
      <c r="FF552" s="1655"/>
      <c r="FG552" s="1655"/>
      <c r="FH552" s="1655"/>
      <c r="FI552" s="1655"/>
    </row>
    <row r="553" spans="1:165">
      <c r="A553" s="1655"/>
      <c r="B553" s="1655"/>
      <c r="C553" s="1655"/>
      <c r="D553" s="1655"/>
      <c r="E553" s="1655"/>
      <c r="F553" s="1655"/>
      <c r="G553" s="1655"/>
      <c r="H553" s="1655"/>
      <c r="I553" s="1655"/>
      <c r="J553" s="1655"/>
      <c r="K553" s="1655"/>
      <c r="L553" s="1655"/>
      <c r="M553" s="1655"/>
      <c r="N553" s="1655"/>
      <c r="O553" s="1655"/>
      <c r="P553" s="1655"/>
      <c r="Q553" s="1655"/>
      <c r="R553" s="1655"/>
      <c r="S553" s="1655"/>
      <c r="T553" s="1655"/>
      <c r="U553" s="1655"/>
      <c r="V553" s="1655"/>
      <c r="W553" s="1655"/>
      <c r="X553" s="1655"/>
      <c r="Y553" s="1655"/>
      <c r="Z553" s="1655"/>
      <c r="AA553" s="1655"/>
      <c r="AB553" s="1655"/>
      <c r="AC553" s="1655"/>
      <c r="AD553" s="1655"/>
      <c r="AE553" s="1655"/>
      <c r="AF553" s="1655"/>
      <c r="AG553" s="1655"/>
      <c r="AH553" s="1655"/>
      <c r="AI553" s="1655"/>
      <c r="AJ553" s="1655"/>
      <c r="AK553" s="1655"/>
      <c r="AL553" s="1655"/>
      <c r="AM553" s="1655"/>
      <c r="AN553" s="1655"/>
      <c r="AO553" s="1655"/>
      <c r="AP553" s="1655"/>
      <c r="AQ553" s="1655"/>
      <c r="AR553" s="1655"/>
      <c r="AS553" s="1655"/>
      <c r="AT553" s="1655"/>
      <c r="AU553" s="1655"/>
      <c r="AV553" s="1655"/>
      <c r="AW553" s="1655"/>
      <c r="AX553" s="1655"/>
      <c r="AY553" s="1655"/>
      <c r="AZ553" s="1655"/>
      <c r="BA553" s="1655"/>
      <c r="BB553" s="1655"/>
      <c r="BC553" s="1655"/>
      <c r="BD553" s="1655"/>
      <c r="BE553" s="1655"/>
      <c r="BF553" s="1655"/>
      <c r="BG553" s="1655"/>
      <c r="BH553" s="1655"/>
      <c r="BI553" s="1655"/>
      <c r="BJ553" s="1655"/>
      <c r="BK553" s="1655"/>
      <c r="BL553" s="1655"/>
      <c r="BM553" s="1655"/>
      <c r="BN553" s="1655"/>
      <c r="BO553" s="1655"/>
      <c r="BP553" s="1655"/>
      <c r="BQ553" s="1655"/>
      <c r="BR553" s="1655"/>
      <c r="BS553" s="1655"/>
      <c r="BT553" s="1655"/>
      <c r="BU553" s="1655"/>
      <c r="BV553" s="1655"/>
      <c r="BW553" s="1655"/>
      <c r="BX553" s="1655"/>
      <c r="BY553" s="1655"/>
      <c r="BZ553" s="1655"/>
      <c r="CA553" s="1655"/>
      <c r="CB553" s="1655"/>
      <c r="CC553" s="1655"/>
      <c r="CD553" s="1655"/>
      <c r="CE553" s="1655"/>
      <c r="CF553" s="1655"/>
      <c r="CG553" s="1655"/>
      <c r="CH553" s="1655"/>
      <c r="CI553" s="1655"/>
      <c r="CJ553" s="1655"/>
      <c r="CK553" s="1655"/>
      <c r="CL553" s="1655"/>
      <c r="CM553" s="1655"/>
      <c r="CN553" s="1655"/>
      <c r="CO553" s="1655"/>
      <c r="CP553" s="1655"/>
      <c r="CQ553" s="1655"/>
      <c r="CR553" s="1655"/>
      <c r="CS553" s="1655"/>
      <c r="CT553" s="1655"/>
      <c r="CU553" s="1655"/>
      <c r="CV553" s="1655"/>
      <c r="CW553" s="1655"/>
      <c r="CX553" s="1655"/>
      <c r="CY553" s="1655"/>
      <c r="CZ553" s="1655"/>
      <c r="DA553" s="1655"/>
      <c r="DB553" s="1655"/>
      <c r="DC553" s="1655"/>
      <c r="DD553" s="1655"/>
      <c r="DE553" s="1655"/>
      <c r="DF553" s="1655"/>
      <c r="DG553" s="1655"/>
      <c r="DH553" s="1655"/>
      <c r="DI553" s="1655"/>
      <c r="DJ553" s="1655"/>
      <c r="DK553" s="1655"/>
      <c r="DL553" s="1655"/>
      <c r="DM553" s="1655"/>
      <c r="DN553" s="1655"/>
      <c r="DO553" s="1655"/>
      <c r="DP553" s="1655"/>
      <c r="DQ553" s="1655"/>
      <c r="DR553" s="1655"/>
      <c r="DS553" s="1655"/>
      <c r="DT553" s="1655"/>
      <c r="DU553" s="1655"/>
      <c r="DV553" s="1655"/>
      <c r="DW553" s="1655"/>
      <c r="DX553" s="1655"/>
      <c r="DY553" s="1655"/>
      <c r="DZ553" s="1655"/>
      <c r="EA553" s="1655"/>
      <c r="EB553" s="1655"/>
      <c r="EC553" s="1655"/>
      <c r="ED553" s="1655"/>
      <c r="EE553" s="1655"/>
      <c r="EF553" s="1655"/>
      <c r="EG553" s="1655"/>
      <c r="EH553" s="1655"/>
      <c r="EI553" s="1655"/>
      <c r="EJ553" s="1655"/>
      <c r="EK553" s="1655"/>
      <c r="EL553" s="1655"/>
      <c r="EM553" s="1655"/>
      <c r="EN553" s="1655"/>
      <c r="EO553" s="1655"/>
      <c r="EP553" s="1655"/>
      <c r="EQ553" s="1655"/>
      <c r="ER553" s="1655"/>
      <c r="ES553" s="1655"/>
      <c r="ET553" s="1655"/>
      <c r="EU553" s="1655"/>
      <c r="EV553" s="1655"/>
      <c r="EW553" s="1655"/>
      <c r="EX553" s="1655"/>
      <c r="EY553" s="1655"/>
      <c r="EZ553" s="1655"/>
      <c r="FA553" s="1655"/>
      <c r="FB553" s="1655"/>
      <c r="FC553" s="1655"/>
      <c r="FD553" s="1655"/>
      <c r="FE553" s="1655"/>
      <c r="FF553" s="1655"/>
      <c r="FG553" s="1655"/>
      <c r="FH553" s="1655"/>
      <c r="FI553" s="1655"/>
    </row>
    <row r="554" spans="1:165">
      <c r="A554" s="1655"/>
      <c r="B554" s="1655"/>
      <c r="C554" s="1655"/>
      <c r="D554" s="1655"/>
      <c r="E554" s="1655"/>
      <c r="F554" s="1655"/>
      <c r="G554" s="1655"/>
      <c r="H554" s="1655"/>
      <c r="I554" s="1655"/>
      <c r="J554" s="1655"/>
      <c r="K554" s="1655"/>
      <c r="L554" s="1655"/>
      <c r="M554" s="1655"/>
      <c r="N554" s="1655"/>
      <c r="O554" s="1655"/>
      <c r="P554" s="1655"/>
      <c r="Q554" s="1655"/>
      <c r="R554" s="1655"/>
      <c r="S554" s="1655"/>
      <c r="T554" s="1655"/>
      <c r="U554" s="1655"/>
      <c r="V554" s="1655"/>
      <c r="W554" s="1655"/>
      <c r="X554" s="1655"/>
      <c r="Y554" s="1655"/>
      <c r="Z554" s="1655"/>
      <c r="AA554" s="1655"/>
      <c r="AB554" s="1655"/>
      <c r="AC554" s="1655"/>
      <c r="AD554" s="1655"/>
      <c r="AE554" s="1655"/>
      <c r="AF554" s="1655"/>
      <c r="AG554" s="1655"/>
      <c r="AH554" s="1655"/>
      <c r="AI554" s="1655"/>
      <c r="AJ554" s="1655"/>
      <c r="AK554" s="1655"/>
      <c r="AL554" s="1655"/>
      <c r="AM554" s="1655"/>
      <c r="AN554" s="1655"/>
      <c r="AO554" s="1655"/>
      <c r="AP554" s="1655"/>
      <c r="AQ554" s="1655"/>
      <c r="AR554" s="1655"/>
      <c r="AS554" s="1655"/>
      <c r="AT554" s="1655"/>
      <c r="AU554" s="1655"/>
      <c r="AV554" s="1655"/>
      <c r="AW554" s="1655"/>
      <c r="AX554" s="1655"/>
      <c r="AY554" s="1655"/>
      <c r="AZ554" s="1655"/>
      <c r="BA554" s="1655"/>
      <c r="BB554" s="1655"/>
      <c r="BC554" s="1655"/>
      <c r="BD554" s="1655"/>
      <c r="BE554" s="1655"/>
      <c r="BF554" s="1655"/>
      <c r="BG554" s="1655"/>
      <c r="BH554" s="1655"/>
      <c r="BI554" s="1655"/>
      <c r="BJ554" s="1655"/>
      <c r="BK554" s="1655"/>
      <c r="BL554" s="1655"/>
      <c r="BM554" s="1655"/>
      <c r="BN554" s="1655"/>
      <c r="BO554" s="1655"/>
      <c r="BP554" s="1655"/>
      <c r="BQ554" s="1655"/>
      <c r="BR554" s="1655"/>
      <c r="BS554" s="1655"/>
      <c r="BT554" s="1655"/>
      <c r="BU554" s="1655"/>
      <c r="BV554" s="1655"/>
      <c r="BW554" s="1655"/>
      <c r="BX554" s="1655"/>
      <c r="BY554" s="1655"/>
      <c r="BZ554" s="1655"/>
      <c r="CA554" s="1655"/>
      <c r="CB554" s="1655"/>
      <c r="CC554" s="1655"/>
      <c r="CD554" s="1655"/>
      <c r="CE554" s="1655"/>
      <c r="CF554" s="1655"/>
      <c r="CG554" s="1655"/>
      <c r="CH554" s="1655"/>
      <c r="CI554" s="1655"/>
      <c r="CJ554" s="1655"/>
      <c r="CK554" s="1655"/>
      <c r="CL554" s="1655"/>
      <c r="CM554" s="1655"/>
      <c r="CN554" s="1655"/>
      <c r="CO554" s="1655"/>
      <c r="CP554" s="1655"/>
      <c r="CQ554" s="1655"/>
      <c r="CR554" s="1655"/>
      <c r="CS554" s="1655"/>
      <c r="CT554" s="1655"/>
      <c r="CU554" s="1655"/>
      <c r="CV554" s="1655"/>
      <c r="CW554" s="1655"/>
      <c r="CX554" s="1655"/>
      <c r="CY554" s="1655"/>
      <c r="CZ554" s="1655"/>
      <c r="DA554" s="1655"/>
      <c r="DB554" s="1655"/>
      <c r="DC554" s="1655"/>
      <c r="DD554" s="1655"/>
      <c r="DE554" s="1655"/>
      <c r="DF554" s="1655"/>
      <c r="DG554" s="1655"/>
      <c r="DH554" s="1655"/>
      <c r="DI554" s="1655"/>
      <c r="DJ554" s="1655"/>
      <c r="DK554" s="1655"/>
      <c r="DL554" s="1655"/>
      <c r="DM554" s="1655"/>
      <c r="DN554" s="1655"/>
      <c r="DO554" s="1655"/>
      <c r="DP554" s="1655"/>
      <c r="DQ554" s="1655"/>
      <c r="DR554" s="1655"/>
      <c r="DS554" s="1655"/>
      <c r="DT554" s="1655"/>
      <c r="DU554" s="1655"/>
      <c r="DV554" s="1655"/>
      <c r="DW554" s="1655"/>
      <c r="DX554" s="1655"/>
      <c r="DY554" s="1655"/>
      <c r="DZ554" s="1655"/>
      <c r="EA554" s="1655"/>
      <c r="EB554" s="1655"/>
      <c r="EC554" s="1655"/>
      <c r="ED554" s="1655"/>
      <c r="EE554" s="1655"/>
      <c r="EF554" s="1655"/>
      <c r="EG554" s="1655"/>
      <c r="EH554" s="1655"/>
      <c r="EI554" s="1655"/>
      <c r="EJ554" s="1655"/>
      <c r="EK554" s="1655"/>
      <c r="EL554" s="1655"/>
      <c r="EM554" s="1655"/>
      <c r="EN554" s="1655"/>
      <c r="EO554" s="1655"/>
      <c r="EP554" s="1655"/>
      <c r="EQ554" s="1655"/>
      <c r="ER554" s="1655"/>
      <c r="ES554" s="1655"/>
      <c r="ET554" s="1655"/>
      <c r="EU554" s="1655"/>
      <c r="EV554" s="1655"/>
      <c r="EW554" s="1655"/>
      <c r="EX554" s="1655"/>
      <c r="EY554" s="1655"/>
      <c r="EZ554" s="1655"/>
      <c r="FA554" s="1655"/>
      <c r="FB554" s="1655"/>
      <c r="FC554" s="1655"/>
      <c r="FD554" s="1655"/>
      <c r="FE554" s="1655"/>
      <c r="FF554" s="1655"/>
      <c r="FG554" s="1655"/>
      <c r="FH554" s="1655"/>
      <c r="FI554" s="1655"/>
    </row>
    <row r="555" spans="1:165">
      <c r="A555" s="1655"/>
      <c r="B555" s="1655"/>
      <c r="C555" s="1655"/>
      <c r="D555" s="1655"/>
      <c r="E555" s="1655"/>
      <c r="F555" s="1655"/>
      <c r="G555" s="1655"/>
      <c r="H555" s="1655"/>
      <c r="I555" s="1655"/>
      <c r="J555" s="1655"/>
      <c r="K555" s="1655"/>
      <c r="L555" s="1655"/>
      <c r="M555" s="1655"/>
      <c r="N555" s="1655"/>
      <c r="O555" s="1655"/>
      <c r="P555" s="1655"/>
      <c r="Q555" s="1655"/>
      <c r="R555" s="1655"/>
      <c r="S555" s="1655"/>
      <c r="T555" s="1655"/>
      <c r="U555" s="1655"/>
      <c r="V555" s="1655"/>
      <c r="W555" s="1655"/>
      <c r="X555" s="1655"/>
      <c r="Y555" s="1655"/>
      <c r="Z555" s="1655"/>
      <c r="AA555" s="1655"/>
      <c r="AB555" s="1655"/>
      <c r="AC555" s="1655"/>
      <c r="AD555" s="1655"/>
      <c r="AE555" s="1655"/>
      <c r="AF555" s="1655"/>
      <c r="AG555" s="1655"/>
      <c r="AH555" s="1655"/>
      <c r="AI555" s="1655"/>
      <c r="AJ555" s="1655"/>
      <c r="AK555" s="1655"/>
      <c r="AL555" s="1655"/>
      <c r="AM555" s="1655"/>
      <c r="AN555" s="1655"/>
      <c r="AO555" s="1655"/>
      <c r="AP555" s="1655"/>
      <c r="AQ555" s="1655"/>
      <c r="AR555" s="1655"/>
      <c r="AS555" s="1655"/>
      <c r="AT555" s="1655"/>
      <c r="AU555" s="1655"/>
      <c r="AV555" s="1655"/>
      <c r="AW555" s="1655"/>
      <c r="AX555" s="1655"/>
      <c r="AY555" s="1655"/>
      <c r="AZ555" s="1655"/>
      <c r="BA555" s="1655"/>
      <c r="BB555" s="1655"/>
      <c r="BC555" s="1655"/>
      <c r="BD555" s="1655"/>
      <c r="BE555" s="1655"/>
      <c r="BF555" s="1655"/>
      <c r="BG555" s="1655"/>
      <c r="BH555" s="1655"/>
      <c r="BI555" s="1655"/>
      <c r="BJ555" s="1655"/>
      <c r="BK555" s="1655"/>
      <c r="BL555" s="1655"/>
      <c r="BM555" s="1655"/>
      <c r="BN555" s="1655"/>
      <c r="BO555" s="1655"/>
      <c r="BP555" s="1655"/>
      <c r="BQ555" s="1655"/>
      <c r="BR555" s="1655"/>
      <c r="BS555" s="1655"/>
      <c r="BT555" s="1655"/>
      <c r="BU555" s="1655"/>
      <c r="BV555" s="1655"/>
      <c r="BW555" s="1655"/>
      <c r="BX555" s="1655"/>
      <c r="BY555" s="1655"/>
      <c r="BZ555" s="1655"/>
      <c r="CA555" s="1655"/>
      <c r="CB555" s="1655"/>
      <c r="CC555" s="1655"/>
      <c r="CD555" s="1655"/>
      <c r="CE555" s="1655"/>
      <c r="CF555" s="1655"/>
      <c r="CG555" s="1655"/>
      <c r="CH555" s="1655"/>
      <c r="CI555" s="1655"/>
      <c r="CJ555" s="1655"/>
      <c r="CK555" s="1655"/>
      <c r="CL555" s="1655"/>
      <c r="CM555" s="1655"/>
      <c r="CN555" s="1655"/>
      <c r="CO555" s="1655"/>
      <c r="CP555" s="1655"/>
      <c r="CQ555" s="1655"/>
      <c r="CR555" s="1655"/>
      <c r="CS555" s="1655"/>
      <c r="CT555" s="1655"/>
      <c r="CU555" s="1655"/>
      <c r="CV555" s="1655"/>
      <c r="CW555" s="1655"/>
      <c r="CX555" s="1655"/>
      <c r="CY555" s="1655"/>
      <c r="CZ555" s="1655"/>
      <c r="DA555" s="1655"/>
      <c r="DB555" s="1655"/>
      <c r="DC555" s="1655"/>
      <c r="DD555" s="1655"/>
      <c r="DE555" s="1655"/>
      <c r="DF555" s="1655"/>
      <c r="DG555" s="1655"/>
      <c r="DH555" s="1655"/>
      <c r="DI555" s="1655"/>
      <c r="DJ555" s="1655"/>
      <c r="DK555" s="1655"/>
      <c r="DL555" s="1655"/>
      <c r="DM555" s="1655"/>
      <c r="DN555" s="1655"/>
      <c r="DO555" s="1655"/>
      <c r="DP555" s="1655"/>
      <c r="DQ555" s="1655"/>
      <c r="DR555" s="1655"/>
      <c r="DS555" s="1655"/>
      <c r="DT555" s="1655"/>
      <c r="DU555" s="1655"/>
      <c r="DV555" s="1655"/>
      <c r="DW555" s="1655"/>
      <c r="DX555" s="1655"/>
      <c r="DY555" s="1655"/>
      <c r="DZ555" s="1655"/>
      <c r="EA555" s="1655"/>
      <c r="EB555" s="1655"/>
      <c r="EC555" s="1655"/>
      <c r="ED555" s="1655"/>
      <c r="EE555" s="1655"/>
      <c r="EF555" s="1655"/>
      <c r="EG555" s="1655"/>
      <c r="EH555" s="1655"/>
      <c r="EI555" s="1655"/>
      <c r="EJ555" s="1655"/>
      <c r="EK555" s="1655"/>
      <c r="EL555" s="1655"/>
      <c r="EM555" s="1655"/>
      <c r="EN555" s="1655"/>
      <c r="EO555" s="1655"/>
      <c r="EP555" s="1655"/>
      <c r="EQ555" s="1655"/>
      <c r="ER555" s="1655"/>
      <c r="ES555" s="1655"/>
      <c r="ET555" s="1655"/>
      <c r="EU555" s="1655"/>
      <c r="EV555" s="1655"/>
      <c r="EW555" s="1655"/>
      <c r="EX555" s="1655"/>
      <c r="EY555" s="1655"/>
      <c r="EZ555" s="1655"/>
      <c r="FA555" s="1655"/>
      <c r="FB555" s="1655"/>
      <c r="FC555" s="1655"/>
      <c r="FD555" s="1655"/>
      <c r="FE555" s="1655"/>
      <c r="FF555" s="1655"/>
      <c r="FG555" s="1655"/>
      <c r="FH555" s="1655"/>
      <c r="FI555" s="1655"/>
    </row>
    <row r="556" spans="1:165">
      <c r="A556" s="1655"/>
      <c r="B556" s="1655"/>
      <c r="C556" s="1655"/>
      <c r="D556" s="1655"/>
      <c r="E556" s="1655"/>
      <c r="F556" s="1655"/>
      <c r="G556" s="1655"/>
      <c r="H556" s="1655"/>
      <c r="I556" s="1655"/>
      <c r="J556" s="1655"/>
      <c r="K556" s="1655"/>
      <c r="L556" s="1655"/>
      <c r="M556" s="1655"/>
      <c r="N556" s="1655"/>
      <c r="O556" s="1655"/>
      <c r="P556" s="1655"/>
      <c r="Q556" s="1655"/>
      <c r="R556" s="1655"/>
      <c r="S556" s="1655"/>
      <c r="T556" s="1655"/>
      <c r="U556" s="1655"/>
      <c r="V556" s="1655"/>
      <c r="W556" s="1655"/>
      <c r="X556" s="1655"/>
      <c r="Y556" s="1655"/>
      <c r="Z556" s="1655"/>
      <c r="AA556" s="1655"/>
      <c r="AB556" s="1655"/>
      <c r="AC556" s="1655"/>
      <c r="AD556" s="1655"/>
      <c r="AE556" s="1655"/>
      <c r="AF556" s="1655"/>
      <c r="AG556" s="1655"/>
      <c r="AH556" s="1655"/>
      <c r="AI556" s="1655"/>
      <c r="AJ556" s="1655"/>
      <c r="AK556" s="1655"/>
      <c r="AL556" s="1655"/>
      <c r="AM556" s="1655"/>
      <c r="AN556" s="1655"/>
      <c r="AO556" s="1655"/>
      <c r="AP556" s="1655"/>
      <c r="AQ556" s="1655"/>
      <c r="AR556" s="1655"/>
      <c r="AS556" s="1655"/>
      <c r="AT556" s="1655"/>
      <c r="AU556" s="1655"/>
      <c r="AV556" s="1655"/>
      <c r="AW556" s="1655"/>
      <c r="AX556" s="1655"/>
      <c r="AY556" s="1655"/>
      <c r="AZ556" s="1655"/>
      <c r="BA556" s="1655"/>
      <c r="BB556" s="1655"/>
      <c r="BC556" s="1655"/>
      <c r="BD556" s="1655"/>
      <c r="BE556" s="1655"/>
      <c r="BF556" s="1655"/>
      <c r="BG556" s="1655"/>
      <c r="BH556" s="1655"/>
      <c r="BI556" s="1655"/>
      <c r="BJ556" s="1655"/>
      <c r="BK556" s="1655"/>
      <c r="BL556" s="1655"/>
      <c r="BM556" s="1655"/>
      <c r="BN556" s="1655"/>
      <c r="BO556" s="1655"/>
      <c r="BP556" s="1655"/>
      <c r="BQ556" s="1655"/>
      <c r="BR556" s="1655"/>
      <c r="BS556" s="1655"/>
      <c r="BT556" s="1655"/>
      <c r="BU556" s="1655"/>
      <c r="BV556" s="1655"/>
      <c r="BW556" s="1655"/>
      <c r="BX556" s="1655"/>
      <c r="BY556" s="1655"/>
      <c r="BZ556" s="1655"/>
      <c r="CA556" s="1655"/>
      <c r="CB556" s="1655"/>
      <c r="CC556" s="1655"/>
      <c r="CD556" s="1655"/>
      <c r="CE556" s="1655"/>
      <c r="CF556" s="1655"/>
      <c r="CG556" s="1655"/>
      <c r="CH556" s="1655"/>
      <c r="CI556" s="1655"/>
      <c r="CJ556" s="1655"/>
      <c r="CK556" s="1655"/>
      <c r="CL556" s="1655"/>
      <c r="CM556" s="1655"/>
      <c r="CN556" s="1655"/>
      <c r="CO556" s="1655"/>
      <c r="CP556" s="1655"/>
      <c r="CQ556" s="1655"/>
      <c r="CR556" s="1655"/>
      <c r="CS556" s="1655"/>
      <c r="CT556" s="1655"/>
      <c r="CU556" s="1655"/>
      <c r="CV556" s="1655"/>
      <c r="CW556" s="1655"/>
      <c r="CX556" s="1655"/>
      <c r="CY556" s="1655"/>
      <c r="CZ556" s="1655"/>
      <c r="DA556" s="1655"/>
      <c r="DB556" s="1655"/>
      <c r="DC556" s="1655"/>
      <c r="DD556" s="1655"/>
      <c r="DE556" s="1655"/>
      <c r="DF556" s="1655"/>
      <c r="DG556" s="1655"/>
      <c r="DH556" s="1655"/>
      <c r="DI556" s="1655"/>
      <c r="DJ556" s="1655"/>
      <c r="DK556" s="1655"/>
      <c r="DL556" s="1655"/>
      <c r="DM556" s="1655"/>
      <c r="DN556" s="1655"/>
      <c r="DO556" s="1655"/>
      <c r="DP556" s="1655"/>
      <c r="DQ556" s="1655"/>
      <c r="DR556" s="1655"/>
      <c r="DS556" s="1655"/>
      <c r="DT556" s="1655"/>
      <c r="DU556" s="1655"/>
      <c r="DV556" s="1655"/>
      <c r="DW556" s="1655"/>
      <c r="DX556" s="1655"/>
      <c r="DY556" s="1655"/>
      <c r="DZ556" s="1655"/>
      <c r="EA556" s="1655"/>
      <c r="EB556" s="1655"/>
      <c r="EC556" s="1655"/>
      <c r="ED556" s="1655"/>
      <c r="EE556" s="1655"/>
      <c r="EF556" s="1655"/>
      <c r="EG556" s="1655"/>
      <c r="EH556" s="1655"/>
      <c r="EI556" s="1655"/>
      <c r="EJ556" s="1655"/>
      <c r="EK556" s="1655"/>
      <c r="EL556" s="1655"/>
      <c r="EM556" s="1655"/>
      <c r="EN556" s="1655"/>
      <c r="EO556" s="1655"/>
      <c r="EP556" s="1655"/>
      <c r="EQ556" s="1655"/>
      <c r="ER556" s="1655"/>
      <c r="ES556" s="1655"/>
      <c r="ET556" s="1655"/>
      <c r="EU556" s="1655"/>
      <c r="EV556" s="1655"/>
      <c r="EW556" s="1655"/>
      <c r="EX556" s="1655"/>
      <c r="EY556" s="1655"/>
      <c r="EZ556" s="1655"/>
      <c r="FA556" s="1655"/>
      <c r="FB556" s="1655"/>
      <c r="FC556" s="1655"/>
      <c r="FD556" s="1655"/>
      <c r="FE556" s="1655"/>
      <c r="FF556" s="1655"/>
      <c r="FG556" s="1655"/>
      <c r="FH556" s="1655"/>
      <c r="FI556" s="1655"/>
    </row>
    <row r="557" spans="1:165">
      <c r="A557" s="1655"/>
      <c r="B557" s="1655"/>
      <c r="C557" s="1655"/>
      <c r="D557" s="1655"/>
      <c r="E557" s="1655"/>
      <c r="F557" s="1655"/>
      <c r="G557" s="1655"/>
      <c r="H557" s="1655"/>
      <c r="I557" s="1655"/>
      <c r="J557" s="1655"/>
      <c r="K557" s="1655"/>
      <c r="L557" s="1655"/>
      <c r="M557" s="1655"/>
      <c r="N557" s="1655"/>
      <c r="O557" s="1655"/>
      <c r="P557" s="1655"/>
      <c r="Q557" s="1655"/>
      <c r="R557" s="1655"/>
      <c r="S557" s="1655"/>
      <c r="T557" s="1655"/>
      <c r="U557" s="1655"/>
      <c r="V557" s="1655"/>
      <c r="W557" s="1655"/>
      <c r="X557" s="1655"/>
      <c r="Y557" s="1655"/>
      <c r="Z557" s="1655"/>
      <c r="AA557" s="1655"/>
      <c r="AB557" s="1655"/>
      <c r="AC557" s="1655"/>
      <c r="AD557" s="1655"/>
      <c r="AE557" s="1655"/>
      <c r="AF557" s="1655"/>
      <c r="AG557" s="1655"/>
      <c r="AH557" s="1655"/>
      <c r="AI557" s="1655"/>
      <c r="AJ557" s="1655"/>
      <c r="AK557" s="1655"/>
      <c r="AL557" s="1655"/>
      <c r="AM557" s="1655"/>
      <c r="AN557" s="1655"/>
      <c r="AO557" s="1655"/>
      <c r="AP557" s="1655"/>
      <c r="AQ557" s="1655"/>
      <c r="AR557" s="1655"/>
      <c r="AS557" s="1655"/>
      <c r="AT557" s="1655"/>
      <c r="AU557" s="1655"/>
      <c r="AV557" s="1655"/>
      <c r="AW557" s="1655"/>
      <c r="AX557" s="1655"/>
      <c r="AY557" s="1655"/>
      <c r="AZ557" s="1655"/>
      <c r="BA557" s="1655"/>
      <c r="BB557" s="1655"/>
      <c r="BC557" s="1655"/>
      <c r="BD557" s="1655"/>
      <c r="BE557" s="1655"/>
      <c r="BF557" s="1655"/>
      <c r="BG557" s="1655"/>
      <c r="BH557" s="1655"/>
      <c r="BI557" s="1655"/>
      <c r="BJ557" s="1655"/>
      <c r="BK557" s="1655"/>
      <c r="BL557" s="1655"/>
      <c r="BM557" s="1655"/>
      <c r="BN557" s="1655"/>
      <c r="BO557" s="1655"/>
      <c r="BP557" s="1655"/>
      <c r="BQ557" s="1655"/>
      <c r="BR557" s="1655"/>
      <c r="BS557" s="1655"/>
      <c r="BT557" s="1655"/>
      <c r="BU557" s="1655"/>
      <c r="BV557" s="1655"/>
      <c r="BW557" s="1655"/>
      <c r="BX557" s="1655"/>
      <c r="BY557" s="1655"/>
      <c r="BZ557" s="1655"/>
      <c r="CA557" s="1655"/>
      <c r="CB557" s="1655"/>
      <c r="CC557" s="1655"/>
      <c r="CD557" s="1655"/>
      <c r="CE557" s="1655"/>
      <c r="CF557" s="1655"/>
      <c r="CG557" s="1655"/>
      <c r="CH557" s="1655"/>
      <c r="CI557" s="1655"/>
      <c r="CJ557" s="1655"/>
      <c r="CK557" s="1655"/>
      <c r="CL557" s="1655"/>
      <c r="CM557" s="1655"/>
      <c r="CN557" s="1655"/>
      <c r="CO557" s="1655"/>
      <c r="CP557" s="1655"/>
      <c r="CQ557" s="1655"/>
      <c r="CR557" s="1655"/>
      <c r="CS557" s="1655"/>
      <c r="CT557" s="1655"/>
      <c r="CU557" s="1655"/>
      <c r="CV557" s="1655"/>
      <c r="CW557" s="1655"/>
      <c r="CX557" s="1655"/>
      <c r="CY557" s="1655"/>
      <c r="CZ557" s="1655"/>
      <c r="DA557" s="1655"/>
      <c r="DB557" s="1655"/>
      <c r="DC557" s="1655"/>
      <c r="DD557" s="1655"/>
      <c r="DE557" s="1655"/>
      <c r="DF557" s="1655"/>
      <c r="DG557" s="1655"/>
      <c r="DH557" s="1655"/>
      <c r="DI557" s="1655"/>
      <c r="DJ557" s="1655"/>
      <c r="DK557" s="1655"/>
      <c r="DL557" s="1655"/>
      <c r="DM557" s="1655"/>
      <c r="DN557" s="1655"/>
      <c r="DO557" s="1655"/>
      <c r="DP557" s="1655"/>
      <c r="DQ557" s="1655"/>
      <c r="DR557" s="1655"/>
      <c r="DS557" s="1655"/>
      <c r="DT557" s="1655"/>
      <c r="DU557" s="1655"/>
      <c r="DV557" s="1655"/>
      <c r="DW557" s="1655"/>
      <c r="DX557" s="1655"/>
      <c r="DY557" s="1655"/>
      <c r="DZ557" s="1655"/>
      <c r="EA557" s="1655"/>
      <c r="EB557" s="1655"/>
      <c r="EC557" s="1655"/>
      <c r="ED557" s="1655"/>
      <c r="EE557" s="1655"/>
      <c r="EF557" s="1655"/>
      <c r="EG557" s="1655"/>
      <c r="EH557" s="1655"/>
      <c r="EI557" s="1655"/>
      <c r="EJ557" s="1655"/>
      <c r="EK557" s="1655"/>
      <c r="EL557" s="1655"/>
      <c r="EM557" s="1655"/>
      <c r="EN557" s="1655"/>
      <c r="EO557" s="1655"/>
      <c r="EP557" s="1655"/>
      <c r="EQ557" s="1655"/>
      <c r="ER557" s="1655"/>
      <c r="ES557" s="1655"/>
      <c r="ET557" s="1655"/>
      <c r="EU557" s="1655"/>
      <c r="EV557" s="1655"/>
      <c r="EW557" s="1655"/>
      <c r="EX557" s="1655"/>
      <c r="EY557" s="1655"/>
      <c r="EZ557" s="1655"/>
      <c r="FA557" s="1655"/>
      <c r="FB557" s="1655"/>
      <c r="FC557" s="1655"/>
      <c r="FD557" s="1655"/>
      <c r="FE557" s="1655"/>
      <c r="FF557" s="1655"/>
      <c r="FG557" s="1655"/>
      <c r="FH557" s="1655"/>
      <c r="FI557" s="1655"/>
    </row>
    <row r="558" spans="1:165">
      <c r="A558" s="1655"/>
      <c r="B558" s="1655"/>
      <c r="C558" s="1655"/>
      <c r="D558" s="1655"/>
      <c r="E558" s="1655"/>
      <c r="F558" s="1655"/>
      <c r="G558" s="1655"/>
      <c r="H558" s="1655"/>
      <c r="I558" s="1655"/>
      <c r="J558" s="1655"/>
      <c r="K558" s="1655"/>
      <c r="L558" s="1655"/>
      <c r="M558" s="1655"/>
      <c r="N558" s="1655"/>
      <c r="O558" s="1655"/>
      <c r="P558" s="1655"/>
      <c r="Q558" s="1655"/>
      <c r="R558" s="1655"/>
      <c r="S558" s="1655"/>
      <c r="T558" s="1655"/>
      <c r="U558" s="1655"/>
      <c r="V558" s="1655"/>
      <c r="W558" s="1655"/>
      <c r="X558" s="1655"/>
      <c r="Y558" s="1655"/>
      <c r="Z558" s="1655"/>
      <c r="AA558" s="1655"/>
      <c r="AB558" s="1655"/>
      <c r="AC558" s="1655"/>
      <c r="AD558" s="1655"/>
      <c r="AE558" s="1655"/>
      <c r="AF558" s="1655"/>
      <c r="AG558" s="1655"/>
      <c r="AH558" s="1655"/>
      <c r="AI558" s="1655"/>
      <c r="AJ558" s="1655"/>
      <c r="AK558" s="1655"/>
      <c r="AL558" s="1655"/>
      <c r="AM558" s="1655"/>
      <c r="AN558" s="1655"/>
      <c r="AO558" s="1655"/>
      <c r="AP558" s="1655"/>
      <c r="AQ558" s="1655"/>
      <c r="AR558" s="1655"/>
      <c r="AS558" s="1655"/>
      <c r="AT558" s="1655"/>
      <c r="AU558" s="1655"/>
      <c r="AV558" s="1655"/>
      <c r="AW558" s="1655"/>
      <c r="AX558" s="1655"/>
      <c r="AY558" s="1655"/>
      <c r="AZ558" s="1655"/>
      <c r="BA558" s="1655"/>
      <c r="BB558" s="1655"/>
      <c r="BC558" s="1655"/>
      <c r="BD558" s="1655"/>
      <c r="BE558" s="1655"/>
      <c r="BF558" s="1655"/>
      <c r="BG558" s="1655"/>
      <c r="BH558" s="1655"/>
      <c r="BI558" s="1655"/>
      <c r="BJ558" s="1655"/>
      <c r="BK558" s="1655"/>
      <c r="BL558" s="1655"/>
      <c r="BM558" s="1655"/>
      <c r="BN558" s="1655"/>
      <c r="BO558" s="1655"/>
      <c r="BP558" s="1655"/>
      <c r="BQ558" s="1655"/>
      <c r="BR558" s="1655"/>
      <c r="BS558" s="1655"/>
      <c r="BT558" s="1655"/>
      <c r="BU558" s="1655"/>
      <c r="BV558" s="1655"/>
      <c r="BW558" s="1655"/>
      <c r="BX558" s="1655"/>
      <c r="BY558" s="1655"/>
      <c r="BZ558" s="1655"/>
      <c r="CA558" s="1655"/>
      <c r="CB558" s="1655"/>
      <c r="CC558" s="1655"/>
      <c r="CD558" s="1655"/>
      <c r="CE558" s="1655"/>
      <c r="CF558" s="1655"/>
      <c r="CG558" s="1655"/>
      <c r="CH558" s="1655"/>
      <c r="CI558" s="1655"/>
      <c r="CJ558" s="1655"/>
      <c r="CK558" s="1655"/>
      <c r="CL558" s="1655"/>
      <c r="CM558" s="1655"/>
      <c r="CN558" s="1655"/>
      <c r="CO558" s="1655"/>
      <c r="CP558" s="1655"/>
      <c r="CQ558" s="1655"/>
      <c r="CR558" s="1655"/>
      <c r="CS558" s="1655"/>
      <c r="CT558" s="1655"/>
      <c r="CU558" s="1655"/>
      <c r="CV558" s="1655"/>
      <c r="CW558" s="1655"/>
      <c r="CX558" s="1655"/>
      <c r="CY558" s="1655"/>
      <c r="CZ558" s="1655"/>
      <c r="DA558" s="1655"/>
      <c r="DB558" s="1655"/>
      <c r="DC558" s="1655"/>
      <c r="DD558" s="1655"/>
      <c r="DE558" s="1655"/>
      <c r="DF558" s="1655"/>
      <c r="DG558" s="1655"/>
      <c r="DH558" s="1655"/>
      <c r="DI558" s="1655"/>
      <c r="DJ558" s="1655"/>
      <c r="DK558" s="1655"/>
      <c r="DL558" s="1655"/>
      <c r="DM558" s="1655"/>
      <c r="DN558" s="1655"/>
      <c r="DO558" s="1655"/>
      <c r="DP558" s="1655"/>
      <c r="DQ558" s="1655"/>
      <c r="DR558" s="1655"/>
      <c r="DS558" s="1655"/>
      <c r="DT558" s="1655"/>
      <c r="DU558" s="1655"/>
      <c r="DV558" s="1655"/>
      <c r="DW558" s="1655"/>
      <c r="DX558" s="1655"/>
      <c r="DY558" s="1655"/>
      <c r="DZ558" s="1655"/>
      <c r="EA558" s="1655"/>
      <c r="EB558" s="1655"/>
      <c r="EC558" s="1655"/>
      <c r="ED558" s="1655"/>
      <c r="EE558" s="1655"/>
      <c r="EF558" s="1655"/>
      <c r="EG558" s="1655"/>
      <c r="EH558" s="1655"/>
      <c r="EI558" s="1655"/>
      <c r="EJ558" s="1655"/>
      <c r="EK558" s="1655"/>
      <c r="EL558" s="1655"/>
      <c r="EM558" s="1655"/>
      <c r="EN558" s="1655"/>
      <c r="EO558" s="1655"/>
      <c r="EP558" s="1655"/>
      <c r="EQ558" s="1655"/>
      <c r="ER558" s="1655"/>
      <c r="ES558" s="1655"/>
      <c r="ET558" s="1655"/>
      <c r="EU558" s="1655"/>
      <c r="EV558" s="1655"/>
      <c r="EW558" s="1655"/>
      <c r="EX558" s="1655"/>
      <c r="EY558" s="1655"/>
      <c r="EZ558" s="1655"/>
      <c r="FA558" s="1655"/>
      <c r="FB558" s="1655"/>
      <c r="FC558" s="1655"/>
      <c r="FD558" s="1655"/>
      <c r="FE558" s="1655"/>
      <c r="FF558" s="1655"/>
      <c r="FG558" s="1655"/>
      <c r="FH558" s="1655"/>
      <c r="FI558" s="1655"/>
    </row>
    <row r="559" spans="1:165">
      <c r="A559" s="1655"/>
      <c r="B559" s="1655"/>
      <c r="C559" s="1655"/>
      <c r="D559" s="1655"/>
      <c r="E559" s="1655"/>
      <c r="F559" s="1655"/>
      <c r="G559" s="1655"/>
      <c r="H559" s="1655"/>
      <c r="I559" s="1655"/>
      <c r="J559" s="1655"/>
      <c r="K559" s="1655"/>
      <c r="L559" s="1655"/>
      <c r="M559" s="1655"/>
      <c r="N559" s="1655"/>
      <c r="O559" s="1655"/>
      <c r="P559" s="1655"/>
      <c r="Q559" s="1655"/>
      <c r="R559" s="1655"/>
      <c r="S559" s="1655"/>
      <c r="T559" s="1655"/>
      <c r="U559" s="1655"/>
      <c r="V559" s="1655"/>
      <c r="W559" s="1655"/>
      <c r="X559" s="1655"/>
      <c r="Y559" s="1655"/>
      <c r="Z559" s="1655"/>
      <c r="AA559" s="1655"/>
      <c r="AB559" s="1655"/>
      <c r="AC559" s="1655"/>
      <c r="AD559" s="1655"/>
      <c r="AE559" s="1655"/>
      <c r="AF559" s="1655"/>
      <c r="AG559" s="1655"/>
      <c r="AH559" s="1655"/>
      <c r="AI559" s="1655"/>
      <c r="AJ559" s="1655"/>
      <c r="AK559" s="1655"/>
      <c r="AL559" s="1655"/>
      <c r="AM559" s="1655"/>
      <c r="AN559" s="1655"/>
      <c r="AO559" s="1655"/>
      <c r="AP559" s="1655"/>
      <c r="AQ559" s="1655"/>
      <c r="AR559" s="1655"/>
      <c r="AS559" s="1655"/>
      <c r="AT559" s="1655"/>
      <c r="AU559" s="1655"/>
      <c r="AV559" s="1655"/>
      <c r="AW559" s="1655"/>
      <c r="AX559" s="1655"/>
      <c r="AY559" s="1655"/>
      <c r="AZ559" s="1655"/>
      <c r="BA559" s="1655"/>
      <c r="BB559" s="1655"/>
      <c r="BC559" s="1655"/>
      <c r="BD559" s="1655"/>
      <c r="BE559" s="1655"/>
      <c r="BF559" s="1655"/>
      <c r="BG559" s="1655"/>
      <c r="BH559" s="1655"/>
      <c r="BI559" s="1655"/>
      <c r="BJ559" s="1655"/>
      <c r="BK559" s="1655"/>
      <c r="BL559" s="1655"/>
      <c r="BM559" s="1655"/>
      <c r="BN559" s="1655"/>
      <c r="BO559" s="1655"/>
      <c r="BP559" s="1655"/>
      <c r="BQ559" s="1655"/>
      <c r="BR559" s="1655"/>
      <c r="BS559" s="1655"/>
      <c r="BT559" s="1655"/>
      <c r="BU559" s="1655"/>
      <c r="BV559" s="1655"/>
      <c r="BW559" s="1655"/>
      <c r="BX559" s="1655"/>
      <c r="BY559" s="1655"/>
      <c r="BZ559" s="1655"/>
      <c r="CA559" s="1655"/>
      <c r="CB559" s="1655"/>
      <c r="CC559" s="1655"/>
      <c r="CD559" s="1655"/>
      <c r="CE559" s="1655"/>
      <c r="CF559" s="1655"/>
      <c r="CG559" s="1655"/>
      <c r="CH559" s="1655"/>
      <c r="CI559" s="1655"/>
      <c r="CJ559" s="1655"/>
      <c r="CK559" s="1655"/>
      <c r="CL559" s="1655"/>
      <c r="CM559" s="1655"/>
      <c r="CN559" s="1655"/>
      <c r="CO559" s="1655"/>
      <c r="CP559" s="1655"/>
      <c r="CQ559" s="1655"/>
      <c r="CR559" s="1655"/>
      <c r="CS559" s="1655"/>
      <c r="CT559" s="1655"/>
      <c r="CU559" s="1655"/>
      <c r="CV559" s="1655"/>
      <c r="CW559" s="1655"/>
      <c r="CX559" s="1655"/>
      <c r="CY559" s="1655"/>
      <c r="CZ559" s="1655"/>
      <c r="DA559" s="1655"/>
      <c r="DB559" s="1655"/>
      <c r="DC559" s="1655"/>
      <c r="DD559" s="1655"/>
      <c r="DE559" s="1655"/>
      <c r="DF559" s="1655"/>
      <c r="DG559" s="1655"/>
      <c r="DH559" s="1655"/>
      <c r="DI559" s="1655"/>
      <c r="DJ559" s="1655"/>
      <c r="DK559" s="1655"/>
      <c r="DL559" s="1655"/>
      <c r="DM559" s="1655"/>
      <c r="DN559" s="1655"/>
      <c r="DO559" s="1655"/>
      <c r="DP559" s="1655"/>
      <c r="DQ559" s="1655"/>
      <c r="DR559" s="1655"/>
      <c r="DS559" s="1655"/>
      <c r="DT559" s="1655"/>
      <c r="DU559" s="1655"/>
      <c r="DV559" s="1655"/>
      <c r="DW559" s="1655"/>
      <c r="DX559" s="1655"/>
      <c r="DY559" s="1655"/>
      <c r="DZ559" s="1655"/>
      <c r="EA559" s="1655"/>
      <c r="EB559" s="1655"/>
      <c r="EC559" s="1655"/>
      <c r="ED559" s="1655"/>
      <c r="EE559" s="1655"/>
      <c r="EF559" s="1655"/>
      <c r="EG559" s="1655"/>
      <c r="EH559" s="1655"/>
      <c r="EI559" s="1655"/>
      <c r="EJ559" s="1655"/>
      <c r="EK559" s="1655"/>
      <c r="EL559" s="1655"/>
      <c r="EM559" s="1655"/>
      <c r="EN559" s="1655"/>
      <c r="EO559" s="1655"/>
      <c r="EP559" s="1655"/>
      <c r="EQ559" s="1655"/>
      <c r="ER559" s="1655"/>
      <c r="ES559" s="1655"/>
      <c r="ET559" s="1655"/>
      <c r="EU559" s="1655"/>
      <c r="EV559" s="1655"/>
      <c r="EW559" s="1655"/>
      <c r="EX559" s="1655"/>
      <c r="EY559" s="1655"/>
      <c r="EZ559" s="1655"/>
      <c r="FA559" s="1655"/>
      <c r="FB559" s="1655"/>
      <c r="FC559" s="1655"/>
      <c r="FD559" s="1655"/>
      <c r="FE559" s="1655"/>
      <c r="FF559" s="1655"/>
      <c r="FG559" s="1655"/>
      <c r="FH559" s="1655"/>
      <c r="FI559" s="1655"/>
    </row>
    <row r="560" spans="1:165">
      <c r="A560" s="1655"/>
      <c r="B560" s="1655"/>
      <c r="C560" s="1655"/>
      <c r="D560" s="1655"/>
      <c r="E560" s="1655"/>
      <c r="F560" s="1655"/>
      <c r="G560" s="1655"/>
      <c r="H560" s="1655"/>
      <c r="I560" s="1655"/>
      <c r="J560" s="1655"/>
      <c r="K560" s="1655"/>
      <c r="L560" s="1655"/>
      <c r="M560" s="1655"/>
      <c r="N560" s="1655"/>
      <c r="O560" s="1655"/>
      <c r="P560" s="1655"/>
      <c r="Q560" s="1655"/>
      <c r="R560" s="1655"/>
      <c r="S560" s="1655"/>
      <c r="T560" s="1655"/>
      <c r="U560" s="1655"/>
      <c r="V560" s="1655"/>
      <c r="W560" s="1655"/>
      <c r="X560" s="1655"/>
      <c r="Y560" s="1655"/>
      <c r="Z560" s="1655"/>
      <c r="AA560" s="1655"/>
      <c r="AB560" s="1655"/>
      <c r="AC560" s="1655"/>
      <c r="AD560" s="1655"/>
      <c r="AE560" s="1655"/>
      <c r="AF560" s="1655"/>
      <c r="AG560" s="1655"/>
      <c r="AH560" s="1655"/>
      <c r="AI560" s="1655"/>
      <c r="AJ560" s="1655"/>
      <c r="AK560" s="1655"/>
      <c r="AL560" s="1655"/>
      <c r="AM560" s="1655"/>
      <c r="AN560" s="1655"/>
      <c r="AO560" s="1655"/>
      <c r="AP560" s="1655"/>
      <c r="AQ560" s="1655"/>
      <c r="AR560" s="1655"/>
      <c r="AS560" s="1655"/>
      <c r="AT560" s="1655"/>
      <c r="AU560" s="1655"/>
      <c r="AV560" s="1655"/>
      <c r="AW560" s="1655"/>
      <c r="AX560" s="1655"/>
      <c r="AY560" s="1655"/>
      <c r="AZ560" s="1655"/>
      <c r="BA560" s="1655"/>
      <c r="BB560" s="1655"/>
      <c r="BC560" s="1655"/>
      <c r="BD560" s="1655"/>
      <c r="BE560" s="1655"/>
      <c r="BF560" s="1655"/>
      <c r="BG560" s="1655"/>
      <c r="BH560" s="1655"/>
      <c r="BI560" s="1655"/>
      <c r="BJ560" s="1655"/>
      <c r="BK560" s="1655"/>
      <c r="BL560" s="1655"/>
      <c r="BM560" s="1655"/>
      <c r="BN560" s="1655"/>
      <c r="BO560" s="1655"/>
      <c r="BP560" s="1655"/>
      <c r="BQ560" s="1655"/>
      <c r="BR560" s="1655"/>
      <c r="BS560" s="1655"/>
      <c r="BT560" s="1655"/>
      <c r="BU560" s="1655"/>
      <c r="BV560" s="1655"/>
      <c r="BW560" s="1655"/>
      <c r="BX560" s="1655"/>
      <c r="BY560" s="1655"/>
      <c r="BZ560" s="1655"/>
      <c r="CA560" s="1655"/>
      <c r="CB560" s="1655"/>
      <c r="CC560" s="1655"/>
      <c r="CD560" s="1655"/>
      <c r="CE560" s="1655"/>
      <c r="CF560" s="1655"/>
      <c r="CG560" s="1655"/>
      <c r="CH560" s="1655"/>
      <c r="CI560" s="1655"/>
      <c r="CJ560" s="1655"/>
      <c r="CK560" s="1655"/>
      <c r="CL560" s="1655"/>
      <c r="CM560" s="1655"/>
      <c r="CN560" s="1655"/>
      <c r="CO560" s="1655"/>
      <c r="CP560" s="1655"/>
      <c r="CQ560" s="1655"/>
      <c r="CR560" s="1655"/>
      <c r="CS560" s="1655"/>
      <c r="CT560" s="1655"/>
      <c r="CU560" s="1655"/>
      <c r="CV560" s="1655"/>
      <c r="CW560" s="1655"/>
      <c r="CX560" s="1655"/>
      <c r="CY560" s="1655"/>
      <c r="CZ560" s="1655"/>
      <c r="DA560" s="1655"/>
      <c r="DB560" s="1655"/>
      <c r="DC560" s="1655"/>
      <c r="DD560" s="1655"/>
      <c r="DE560" s="1655"/>
      <c r="DF560" s="1655"/>
      <c r="DG560" s="1655"/>
      <c r="DH560" s="1655"/>
      <c r="DI560" s="1655"/>
      <c r="DJ560" s="1655"/>
      <c r="DK560" s="1655"/>
      <c r="DL560" s="1655"/>
      <c r="DM560" s="1655"/>
      <c r="DN560" s="1655"/>
      <c r="DO560" s="1655"/>
      <c r="DP560" s="1655"/>
      <c r="DQ560" s="1655"/>
      <c r="DR560" s="1655"/>
      <c r="DS560" s="1655"/>
      <c r="DT560" s="1655"/>
      <c r="DU560" s="1655"/>
      <c r="DV560" s="1655"/>
      <c r="DW560" s="1655"/>
      <c r="DX560" s="1655"/>
      <c r="DY560" s="1655"/>
      <c r="DZ560" s="1655"/>
      <c r="EA560" s="1655"/>
      <c r="EB560" s="1655"/>
      <c r="EC560" s="1655"/>
      <c r="ED560" s="1655"/>
      <c r="EE560" s="1655"/>
      <c r="EF560" s="1655"/>
      <c r="EG560" s="1655"/>
      <c r="EH560" s="1655"/>
      <c r="EI560" s="1655"/>
      <c r="EJ560" s="1655"/>
      <c r="EK560" s="1655"/>
      <c r="EL560" s="1655"/>
      <c r="EM560" s="1655"/>
      <c r="EN560" s="1655"/>
      <c r="EO560" s="1655"/>
      <c r="EP560" s="1655"/>
      <c r="EQ560" s="1655"/>
      <c r="ER560" s="1655"/>
      <c r="ES560" s="1655"/>
      <c r="ET560" s="1655"/>
      <c r="EU560" s="1655"/>
      <c r="EV560" s="1655"/>
      <c r="EW560" s="1655"/>
      <c r="EX560" s="1655"/>
      <c r="EY560" s="1655"/>
      <c r="EZ560" s="1655"/>
      <c r="FA560" s="1655"/>
      <c r="FB560" s="1655"/>
      <c r="FC560" s="1655"/>
      <c r="FD560" s="1655"/>
      <c r="FE560" s="1655"/>
      <c r="FF560" s="1655"/>
      <c r="FG560" s="1655"/>
      <c r="FH560" s="1655"/>
      <c r="FI560" s="1655"/>
    </row>
    <row r="561" spans="1:165">
      <c r="A561" s="1655"/>
      <c r="B561" s="1655"/>
      <c r="C561" s="1655"/>
      <c r="D561" s="1655"/>
      <c r="E561" s="1655"/>
      <c r="F561" s="1655"/>
      <c r="G561" s="1655"/>
      <c r="H561" s="1655"/>
      <c r="I561" s="1655"/>
      <c r="J561" s="1655"/>
      <c r="K561" s="1655"/>
      <c r="L561" s="1655"/>
      <c r="M561" s="1655"/>
      <c r="N561" s="1655"/>
      <c r="O561" s="1655"/>
      <c r="P561" s="1655"/>
      <c r="Q561" s="1655"/>
      <c r="R561" s="1655"/>
      <c r="S561" s="1655"/>
      <c r="T561" s="1655"/>
      <c r="U561" s="1655"/>
      <c r="V561" s="1655"/>
      <c r="W561" s="1655"/>
      <c r="X561" s="1655"/>
      <c r="Y561" s="1655"/>
      <c r="Z561" s="1655"/>
      <c r="AA561" s="1655"/>
      <c r="AB561" s="1655"/>
      <c r="AC561" s="1655"/>
      <c r="AD561" s="1655"/>
      <c r="AE561" s="1655"/>
      <c r="AF561" s="1655"/>
      <c r="AG561" s="1655"/>
      <c r="AH561" s="1655"/>
      <c r="AI561" s="1655"/>
      <c r="AJ561" s="1655"/>
      <c r="AK561" s="1655"/>
      <c r="AL561" s="1655"/>
      <c r="AM561" s="1655"/>
      <c r="AN561" s="1655"/>
      <c r="AO561" s="1655"/>
      <c r="AP561" s="1655"/>
      <c r="AQ561" s="1655"/>
      <c r="AR561" s="1655"/>
      <c r="AS561" s="1655"/>
      <c r="AT561" s="1655"/>
      <c r="AU561" s="1655"/>
      <c r="AV561" s="1655"/>
      <c r="AW561" s="1655"/>
      <c r="AX561" s="1655"/>
      <c r="AY561" s="1655"/>
      <c r="AZ561" s="1655"/>
      <c r="BA561" s="1655"/>
      <c r="BB561" s="1655"/>
      <c r="BC561" s="1655"/>
      <c r="BD561" s="1655"/>
      <c r="BE561" s="1655"/>
      <c r="BF561" s="1655"/>
      <c r="BG561" s="1655"/>
      <c r="BH561" s="1655"/>
      <c r="BI561" s="1655"/>
      <c r="BJ561" s="1655"/>
      <c r="BK561" s="1655"/>
      <c r="BL561" s="1655"/>
      <c r="BM561" s="1655"/>
      <c r="BN561" s="1655"/>
      <c r="BO561" s="1655"/>
      <c r="BP561" s="1655"/>
      <c r="BQ561" s="1655"/>
      <c r="BR561" s="1655"/>
      <c r="BS561" s="1655"/>
      <c r="BT561" s="1655"/>
      <c r="BU561" s="1655"/>
      <c r="BV561" s="1655"/>
      <c r="BW561" s="1655"/>
      <c r="BX561" s="1655"/>
      <c r="BY561" s="1655"/>
      <c r="BZ561" s="1655"/>
      <c r="CA561" s="1655"/>
      <c r="CB561" s="1655"/>
      <c r="CC561" s="1655"/>
      <c r="CD561" s="1655"/>
      <c r="CE561" s="1655"/>
      <c r="CF561" s="1655"/>
      <c r="CG561" s="1655"/>
      <c r="CH561" s="1655"/>
      <c r="CI561" s="1655"/>
      <c r="CJ561" s="1655"/>
      <c r="CK561" s="1655"/>
      <c r="CL561" s="1655"/>
      <c r="CM561" s="1655"/>
      <c r="CN561" s="1655"/>
      <c r="CO561" s="1655"/>
      <c r="CP561" s="1655"/>
      <c r="CQ561" s="1655"/>
      <c r="CR561" s="1655"/>
      <c r="CS561" s="1655"/>
      <c r="CT561" s="1655"/>
      <c r="CU561" s="1655"/>
      <c r="CV561" s="1655"/>
      <c r="CW561" s="1655"/>
      <c r="CX561" s="1655"/>
      <c r="CY561" s="1655"/>
      <c r="CZ561" s="1655"/>
      <c r="DA561" s="1655"/>
      <c r="DB561" s="1655"/>
      <c r="DC561" s="1655"/>
      <c r="DD561" s="1655"/>
      <c r="DE561" s="1655"/>
      <c r="DF561" s="1655"/>
      <c r="DG561" s="1655"/>
      <c r="DH561" s="1655"/>
      <c r="DI561" s="1655"/>
      <c r="DJ561" s="1655"/>
      <c r="DK561" s="1655"/>
      <c r="DL561" s="1655"/>
      <c r="DM561" s="1655"/>
      <c r="DN561" s="1655"/>
      <c r="DO561" s="1655"/>
      <c r="DP561" s="1655"/>
      <c r="DQ561" s="1655"/>
      <c r="DR561" s="1655"/>
      <c r="DS561" s="1655"/>
      <c r="DT561" s="1655"/>
      <c r="DU561" s="1655"/>
      <c r="DV561" s="1655"/>
      <c r="DW561" s="1655"/>
      <c r="DX561" s="1655"/>
      <c r="DY561" s="1655"/>
      <c r="DZ561" s="1655"/>
      <c r="EA561" s="1655"/>
      <c r="EB561" s="1655"/>
      <c r="EC561" s="1655"/>
      <c r="ED561" s="1655"/>
      <c r="EE561" s="1655"/>
      <c r="EF561" s="1655"/>
      <c r="EG561" s="1655"/>
      <c r="EH561" s="1655"/>
      <c r="EI561" s="1655"/>
      <c r="EJ561" s="1655"/>
      <c r="EK561" s="1655"/>
      <c r="EL561" s="1655"/>
      <c r="EM561" s="1655"/>
      <c r="EN561" s="1655"/>
      <c r="EO561" s="1655"/>
      <c r="EP561" s="1655"/>
      <c r="EQ561" s="1655"/>
      <c r="ER561" s="1655"/>
      <c r="ES561" s="1655"/>
      <c r="ET561" s="1655"/>
      <c r="EU561" s="1655"/>
      <c r="EV561" s="1655"/>
      <c r="EW561" s="1655"/>
      <c r="EX561" s="1655"/>
      <c r="EY561" s="1655"/>
      <c r="EZ561" s="1655"/>
      <c r="FA561" s="1655"/>
      <c r="FB561" s="1655"/>
      <c r="FC561" s="1655"/>
      <c r="FD561" s="1655"/>
      <c r="FE561" s="1655"/>
      <c r="FF561" s="1655"/>
      <c r="FG561" s="1655"/>
      <c r="FH561" s="1655"/>
      <c r="FI561" s="1655"/>
    </row>
    <row r="562" spans="1:165">
      <c r="A562" s="1655"/>
      <c r="B562" s="1655"/>
      <c r="C562" s="1655"/>
      <c r="D562" s="1655"/>
      <c r="E562" s="1655"/>
      <c r="F562" s="1655"/>
      <c r="G562" s="1655"/>
      <c r="H562" s="1655"/>
      <c r="I562" s="1655"/>
      <c r="J562" s="1655"/>
      <c r="K562" s="1655"/>
      <c r="L562" s="1655"/>
      <c r="M562" s="1655"/>
      <c r="N562" s="1655"/>
      <c r="O562" s="1655"/>
      <c r="P562" s="1655"/>
      <c r="Q562" s="1655"/>
      <c r="R562" s="1655"/>
      <c r="S562" s="1655"/>
      <c r="T562" s="1655"/>
      <c r="U562" s="1655"/>
      <c r="V562" s="1655"/>
      <c r="W562" s="1655"/>
      <c r="X562" s="1655"/>
      <c r="Y562" s="1655"/>
      <c r="Z562" s="1655"/>
      <c r="AA562" s="1655"/>
      <c r="AB562" s="1655"/>
      <c r="AC562" s="1655"/>
      <c r="AD562" s="1655"/>
      <c r="AE562" s="1655"/>
      <c r="AF562" s="1655"/>
      <c r="AG562" s="1655"/>
      <c r="AH562" s="1655"/>
      <c r="AI562" s="1655"/>
      <c r="AJ562" s="1655"/>
      <c r="AK562" s="1655"/>
      <c r="AL562" s="1655"/>
      <c r="AM562" s="1655"/>
      <c r="AN562" s="1655"/>
      <c r="AO562" s="1655"/>
      <c r="AP562" s="1655"/>
      <c r="AQ562" s="1655"/>
      <c r="AR562" s="1655"/>
      <c r="AS562" s="1655"/>
      <c r="AT562" s="1655"/>
      <c r="AU562" s="1655"/>
      <c r="AV562" s="1655"/>
      <c r="AW562" s="1655"/>
      <c r="AX562" s="1655"/>
      <c r="AY562" s="1655"/>
      <c r="AZ562" s="1655"/>
      <c r="BA562" s="1655"/>
      <c r="BB562" s="1655"/>
      <c r="BC562" s="1655"/>
      <c r="BD562" s="1655"/>
      <c r="BE562" s="1655"/>
      <c r="BF562" s="1655"/>
      <c r="BG562" s="1655"/>
      <c r="BH562" s="1655"/>
      <c r="BI562" s="1655"/>
      <c r="BJ562" s="1655"/>
      <c r="BK562" s="1655"/>
      <c r="BL562" s="1655"/>
      <c r="BM562" s="1655"/>
      <c r="BN562" s="1655"/>
      <c r="BO562" s="1655"/>
      <c r="BP562" s="1655"/>
      <c r="BQ562" s="1655"/>
      <c r="BR562" s="1655"/>
      <c r="BS562" s="1655"/>
      <c r="BT562" s="1655"/>
      <c r="BU562" s="1655"/>
      <c r="BV562" s="1655"/>
      <c r="BW562" s="1655"/>
      <c r="BX562" s="1655"/>
      <c r="BY562" s="1655"/>
      <c r="BZ562" s="1655"/>
      <c r="CA562" s="1655"/>
      <c r="CB562" s="1655"/>
      <c r="CC562" s="1655"/>
      <c r="CD562" s="1655"/>
      <c r="CE562" s="1655"/>
      <c r="CF562" s="1655"/>
      <c r="CG562" s="1655"/>
      <c r="CH562" s="1655"/>
      <c r="CI562" s="1655"/>
      <c r="CJ562" s="1655"/>
      <c r="CK562" s="1655"/>
      <c r="CL562" s="1655"/>
      <c r="CM562" s="1655"/>
      <c r="CN562" s="1655"/>
      <c r="CO562" s="1655"/>
      <c r="CP562" s="1655"/>
      <c r="CQ562" s="1655"/>
      <c r="CR562" s="1655"/>
      <c r="CS562" s="1655"/>
      <c r="CT562" s="1655"/>
      <c r="CU562" s="1655"/>
      <c r="CV562" s="1655"/>
      <c r="CW562" s="1655"/>
      <c r="CX562" s="1655"/>
      <c r="CY562" s="1655"/>
      <c r="CZ562" s="1655"/>
      <c r="DA562" s="1655"/>
      <c r="DB562" s="1655"/>
      <c r="DC562" s="1655"/>
      <c r="DD562" s="1655"/>
      <c r="DE562" s="1655"/>
      <c r="DF562" s="1655"/>
      <c r="DG562" s="1655"/>
      <c r="DH562" s="1655"/>
      <c r="DI562" s="1655"/>
      <c r="DJ562" s="1655"/>
      <c r="DK562" s="1655"/>
      <c r="DL562" s="1655"/>
      <c r="DM562" s="1655"/>
      <c r="DN562" s="1655"/>
      <c r="DO562" s="1655"/>
      <c r="DP562" s="1655"/>
      <c r="DQ562" s="1655"/>
      <c r="DR562" s="1655"/>
      <c r="DS562" s="1655"/>
      <c r="DT562" s="1655"/>
      <c r="DU562" s="1655"/>
      <c r="DV562" s="1655"/>
      <c r="DW562" s="1655"/>
      <c r="DX562" s="1655"/>
      <c r="DY562" s="1655"/>
      <c r="DZ562" s="1655"/>
      <c r="EA562" s="1655"/>
      <c r="EB562" s="1655"/>
      <c r="EC562" s="1655"/>
      <c r="ED562" s="1655"/>
      <c r="EE562" s="1655"/>
      <c r="EF562" s="1655"/>
      <c r="EG562" s="1655"/>
      <c r="EH562" s="1655"/>
      <c r="EI562" s="1655"/>
      <c r="EJ562" s="1655"/>
      <c r="EK562" s="1655"/>
      <c r="EL562" s="1655"/>
      <c r="EM562" s="1655"/>
      <c r="EN562" s="1655"/>
      <c r="EO562" s="1655"/>
      <c r="EP562" s="1655"/>
      <c r="EQ562" s="1655"/>
      <c r="ER562" s="1655"/>
      <c r="ES562" s="1655"/>
      <c r="ET562" s="1655"/>
      <c r="EU562" s="1655"/>
      <c r="EV562" s="1655"/>
      <c r="EW562" s="1655"/>
      <c r="EX562" s="1655"/>
      <c r="EY562" s="1655"/>
      <c r="EZ562" s="1655"/>
      <c r="FA562" s="1655"/>
      <c r="FB562" s="1655"/>
      <c r="FC562" s="1655"/>
      <c r="FD562" s="1655"/>
      <c r="FE562" s="1655"/>
      <c r="FF562" s="1655"/>
      <c r="FG562" s="1655"/>
      <c r="FH562" s="1655"/>
      <c r="FI562" s="1655"/>
    </row>
    <row r="563" spans="1:165">
      <c r="A563" s="1655"/>
      <c r="B563" s="1655"/>
      <c r="C563" s="1655"/>
      <c r="D563" s="1655"/>
      <c r="E563" s="1655"/>
      <c r="F563" s="1655"/>
      <c r="G563" s="1655"/>
      <c r="H563" s="1655"/>
      <c r="I563" s="1655"/>
      <c r="J563" s="1655"/>
      <c r="K563" s="1655"/>
      <c r="L563" s="1655"/>
      <c r="M563" s="1655"/>
      <c r="N563" s="1655"/>
      <c r="O563" s="1655"/>
      <c r="P563" s="1655"/>
      <c r="Q563" s="1655"/>
      <c r="R563" s="1655"/>
      <c r="S563" s="1655"/>
      <c r="T563" s="1655"/>
      <c r="U563" s="1655"/>
      <c r="V563" s="1655"/>
      <c r="W563" s="1655"/>
      <c r="X563" s="1655"/>
      <c r="Y563" s="1655"/>
      <c r="Z563" s="1655"/>
      <c r="AA563" s="1655"/>
      <c r="AB563" s="1655"/>
      <c r="AC563" s="1655"/>
      <c r="AD563" s="1655"/>
      <c r="AE563" s="1655"/>
      <c r="AF563" s="1655"/>
      <c r="AG563" s="1655"/>
      <c r="AH563" s="1655"/>
      <c r="AI563" s="1655"/>
      <c r="AJ563" s="1655"/>
      <c r="AK563" s="1655"/>
      <c r="AL563" s="1655"/>
      <c r="AM563" s="1655"/>
      <c r="AN563" s="1655"/>
      <c r="AO563" s="1655"/>
      <c r="AP563" s="1655"/>
      <c r="AQ563" s="1655"/>
      <c r="AR563" s="1655"/>
      <c r="AS563" s="1655"/>
      <c r="AT563" s="1655"/>
      <c r="AU563" s="1655"/>
      <c r="AV563" s="1655"/>
      <c r="AW563" s="1655"/>
      <c r="AX563" s="1655"/>
      <c r="AY563" s="1655"/>
      <c r="AZ563" s="1655"/>
      <c r="BA563" s="1655"/>
      <c r="BB563" s="1655"/>
      <c r="BC563" s="1655"/>
      <c r="BD563" s="1655"/>
      <c r="BE563" s="1655"/>
      <c r="BF563" s="1655"/>
      <c r="BG563" s="1655"/>
      <c r="BH563" s="1655"/>
      <c r="BI563" s="1655"/>
      <c r="BJ563" s="1655"/>
      <c r="BK563" s="1655"/>
      <c r="BL563" s="1655"/>
      <c r="BM563" s="1655"/>
      <c r="BN563" s="1655"/>
      <c r="BO563" s="1655"/>
      <c r="BP563" s="1655"/>
      <c r="BQ563" s="1655"/>
      <c r="BR563" s="1655"/>
      <c r="BS563" s="1655"/>
      <c r="BT563" s="1655"/>
      <c r="BU563" s="1655"/>
      <c r="BV563" s="1655"/>
      <c r="BW563" s="1655"/>
      <c r="BX563" s="1655"/>
      <c r="BY563" s="1655"/>
      <c r="BZ563" s="1655"/>
      <c r="CA563" s="1655"/>
      <c r="CB563" s="1655"/>
      <c r="CC563" s="1655"/>
      <c r="CD563" s="1655"/>
      <c r="CE563" s="1655"/>
      <c r="CF563" s="1655"/>
      <c r="CG563" s="1655"/>
      <c r="CH563" s="1655"/>
      <c r="CI563" s="1655"/>
      <c r="CJ563" s="1655"/>
      <c r="CK563" s="1655"/>
      <c r="CL563" s="1655"/>
      <c r="CM563" s="1655"/>
      <c r="CN563" s="1655"/>
      <c r="CO563" s="1655"/>
      <c r="CP563" s="1655"/>
      <c r="CQ563" s="1655"/>
      <c r="CR563" s="1655"/>
      <c r="CS563" s="1655"/>
      <c r="CT563" s="1655"/>
      <c r="CU563" s="1655"/>
      <c r="CV563" s="1655"/>
      <c r="CW563" s="1655"/>
      <c r="CX563" s="1655"/>
      <c r="CY563" s="1655"/>
      <c r="CZ563" s="1655"/>
      <c r="DA563" s="1655"/>
      <c r="DB563" s="1655"/>
      <c r="DC563" s="1655"/>
      <c r="DD563" s="1655"/>
      <c r="DE563" s="1655"/>
      <c r="DF563" s="1655"/>
      <c r="DG563" s="1655"/>
      <c r="DH563" s="1655"/>
      <c r="DI563" s="1655"/>
      <c r="DJ563" s="1655"/>
      <c r="DK563" s="1655"/>
      <c r="DL563" s="1655"/>
      <c r="DM563" s="1655"/>
      <c r="DN563" s="1655"/>
      <c r="DO563" s="1655"/>
      <c r="DP563" s="1655"/>
      <c r="DQ563" s="1655"/>
      <c r="DR563" s="1655"/>
      <c r="DS563" s="1655"/>
      <c r="DT563" s="1655"/>
      <c r="DU563" s="1655"/>
      <c r="DV563" s="1655"/>
      <c r="DW563" s="1655"/>
      <c r="DX563" s="1655"/>
      <c r="DY563" s="1655"/>
      <c r="DZ563" s="1655"/>
      <c r="EA563" s="1655"/>
      <c r="EB563" s="1655"/>
      <c r="EC563" s="1655"/>
      <c r="ED563" s="1655"/>
      <c r="EE563" s="1655"/>
      <c r="EF563" s="1655"/>
      <c r="EG563" s="1655"/>
      <c r="EH563" s="1655"/>
      <c r="EI563" s="1655"/>
      <c r="EJ563" s="1655"/>
      <c r="EK563" s="1655"/>
      <c r="EL563" s="1655"/>
      <c r="EM563" s="1655"/>
      <c r="EN563" s="1655"/>
      <c r="EO563" s="1655"/>
      <c r="EP563" s="1655"/>
      <c r="EQ563" s="1655"/>
      <c r="ER563" s="1655"/>
      <c r="ES563" s="1655"/>
      <c r="ET563" s="1655"/>
      <c r="EU563" s="1655"/>
      <c r="EV563" s="1655"/>
      <c r="EW563" s="1655"/>
      <c r="EX563" s="1655"/>
      <c r="EY563" s="1655"/>
      <c r="EZ563" s="1655"/>
      <c r="FA563" s="1655"/>
      <c r="FB563" s="1655"/>
      <c r="FC563" s="1655"/>
      <c r="FD563" s="1655"/>
      <c r="FE563" s="1655"/>
      <c r="FF563" s="1655"/>
      <c r="FG563" s="1655"/>
      <c r="FH563" s="1655"/>
      <c r="FI563" s="1655"/>
    </row>
    <row r="564" spans="1:165">
      <c r="A564" s="1655"/>
      <c r="B564" s="1655"/>
      <c r="C564" s="1655"/>
      <c r="D564" s="1655"/>
      <c r="E564" s="1655"/>
      <c r="F564" s="1655"/>
      <c r="G564" s="1655"/>
      <c r="H564" s="1655"/>
      <c r="I564" s="1655"/>
      <c r="J564" s="1655"/>
      <c r="K564" s="1655"/>
      <c r="L564" s="1655"/>
      <c r="M564" s="1655"/>
      <c r="N564" s="1655"/>
      <c r="O564" s="1655"/>
      <c r="P564" s="1655"/>
      <c r="Q564" s="1655"/>
      <c r="R564" s="1655"/>
      <c r="S564" s="1655"/>
      <c r="T564" s="1655"/>
      <c r="U564" s="1655"/>
      <c r="V564" s="1655"/>
      <c r="W564" s="1655"/>
      <c r="X564" s="1655"/>
      <c r="Y564" s="1655"/>
      <c r="Z564" s="1655"/>
      <c r="AA564" s="1655"/>
      <c r="AB564" s="1655"/>
      <c r="AC564" s="1655"/>
      <c r="AD564" s="1655"/>
      <c r="AE564" s="1655"/>
      <c r="AF564" s="1655"/>
      <c r="AG564" s="1655"/>
      <c r="AH564" s="1655"/>
      <c r="AI564" s="1655"/>
      <c r="AJ564" s="1655"/>
      <c r="AK564" s="1655"/>
      <c r="AL564" s="1655"/>
      <c r="AM564" s="1655"/>
      <c r="AN564" s="1655"/>
      <c r="AO564" s="1655"/>
      <c r="AP564" s="1655"/>
      <c r="AQ564" s="1655"/>
      <c r="AR564" s="1655"/>
      <c r="AS564" s="1655"/>
      <c r="AT564" s="1655"/>
      <c r="AU564" s="1655"/>
      <c r="AV564" s="1655"/>
      <c r="AW564" s="1655"/>
      <c r="AX564" s="1655"/>
      <c r="AY564" s="1655"/>
      <c r="AZ564" s="1655"/>
      <c r="BA564" s="1655"/>
      <c r="BB564" s="1655"/>
      <c r="BC564" s="1655"/>
      <c r="BD564" s="1655"/>
      <c r="BE564" s="1655"/>
      <c r="BF564" s="1655"/>
      <c r="BG564" s="1655"/>
      <c r="BH564" s="1655"/>
      <c r="BI564" s="1655"/>
      <c r="BJ564" s="1655"/>
      <c r="BK564" s="1655"/>
      <c r="BL564" s="1655"/>
      <c r="BM564" s="1655"/>
      <c r="BN564" s="1655"/>
      <c r="BO564" s="1655"/>
      <c r="BP564" s="1655"/>
      <c r="BQ564" s="1655"/>
      <c r="BR564" s="1655"/>
      <c r="BS564" s="1655"/>
      <c r="BT564" s="1655"/>
      <c r="BU564" s="1655"/>
      <c r="BV564" s="1655"/>
      <c r="BW564" s="1655"/>
      <c r="BX564" s="1655"/>
      <c r="BY564" s="1655"/>
      <c r="BZ564" s="1655"/>
      <c r="CA564" s="1655"/>
      <c r="CB564" s="1655"/>
      <c r="CC564" s="1655"/>
      <c r="CD564" s="1655"/>
      <c r="CE564" s="1655"/>
      <c r="CF564" s="1655"/>
      <c r="CG564" s="1655"/>
      <c r="CH564" s="1655"/>
      <c r="CI564" s="1655"/>
      <c r="CJ564" s="1655"/>
      <c r="CK564" s="1655"/>
      <c r="CL564" s="1655"/>
      <c r="CM564" s="1655"/>
      <c r="CN564" s="1655"/>
      <c r="CO564" s="1655"/>
      <c r="CP564" s="1655"/>
      <c r="CQ564" s="1655"/>
      <c r="CR564" s="1655"/>
      <c r="CS564" s="1655"/>
      <c r="CT564" s="1655"/>
      <c r="CU564" s="1655"/>
      <c r="CV564" s="1655"/>
      <c r="CW564" s="1655"/>
      <c r="CX564" s="1655"/>
      <c r="CY564" s="1655"/>
      <c r="CZ564" s="1655"/>
      <c r="DA564" s="1655"/>
      <c r="DB564" s="1655"/>
      <c r="DC564" s="1655"/>
      <c r="DD564" s="1655"/>
      <c r="DE564" s="1655"/>
      <c r="DF564" s="1655"/>
      <c r="DG564" s="1655"/>
      <c r="DH564" s="1655"/>
      <c r="DI564" s="1655"/>
      <c r="DJ564" s="1655"/>
      <c r="DK564" s="1655"/>
      <c r="DL564" s="1655"/>
      <c r="DM564" s="1655"/>
      <c r="DN564" s="1655"/>
      <c r="DO564" s="1655"/>
      <c r="DP564" s="1655"/>
      <c r="DQ564" s="1655"/>
      <c r="DR564" s="1655"/>
      <c r="DS564" s="1655"/>
      <c r="DT564" s="1655"/>
      <c r="DU564" s="1655"/>
      <c r="DV564" s="1655"/>
      <c r="DW564" s="1655"/>
      <c r="DX564" s="1655"/>
      <c r="DY564" s="1655"/>
      <c r="DZ564" s="1655"/>
      <c r="EA564" s="1655"/>
      <c r="EB564" s="1655"/>
      <c r="EC564" s="1655"/>
      <c r="ED564" s="1655"/>
      <c r="EE564" s="1655"/>
      <c r="EF564" s="1655"/>
      <c r="EG564" s="1655"/>
      <c r="EH564" s="1655"/>
      <c r="EI564" s="1655"/>
      <c r="EJ564" s="1655"/>
      <c r="EK564" s="1655"/>
      <c r="EL564" s="1655"/>
      <c r="EM564" s="1655"/>
      <c r="EN564" s="1655"/>
      <c r="EO564" s="1655"/>
      <c r="EP564" s="1655"/>
      <c r="EQ564" s="1655"/>
      <c r="ER564" s="1655"/>
      <c r="ES564" s="1655"/>
      <c r="ET564" s="1655"/>
      <c r="EU564" s="1655"/>
      <c r="EV564" s="1655"/>
      <c r="EW564" s="1655"/>
      <c r="EX564" s="1655"/>
      <c r="EY564" s="1655"/>
      <c r="EZ564" s="1655"/>
      <c r="FA564" s="1655"/>
      <c r="FB564" s="1655"/>
      <c r="FC564" s="1655"/>
      <c r="FD564" s="1655"/>
      <c r="FE564" s="1655"/>
      <c r="FF564" s="1655"/>
      <c r="FG564" s="1655"/>
      <c r="FH564" s="1655"/>
      <c r="FI564" s="1655"/>
    </row>
    <row r="565" spans="1:165">
      <c r="A565" s="1655"/>
      <c r="B565" s="1655"/>
      <c r="C565" s="1655"/>
      <c r="D565" s="1655"/>
      <c r="E565" s="1655"/>
      <c r="F565" s="1655"/>
      <c r="G565" s="1655"/>
      <c r="H565" s="1655"/>
      <c r="I565" s="1655"/>
      <c r="J565" s="1655"/>
      <c r="K565" s="1655"/>
      <c r="L565" s="1655"/>
      <c r="M565" s="1655"/>
      <c r="N565" s="1655"/>
      <c r="O565" s="1655"/>
      <c r="P565" s="1655"/>
      <c r="Q565" s="1655"/>
      <c r="R565" s="1655"/>
      <c r="S565" s="1655"/>
      <c r="T565" s="1655"/>
      <c r="U565" s="1655"/>
      <c r="V565" s="1655"/>
      <c r="W565" s="1655"/>
      <c r="X565" s="1655"/>
      <c r="Y565" s="1655"/>
      <c r="Z565" s="1655"/>
      <c r="AA565" s="1655"/>
      <c r="AB565" s="1655"/>
      <c r="AC565" s="1655"/>
      <c r="AD565" s="1655"/>
      <c r="AE565" s="1655"/>
      <c r="AF565" s="1655"/>
      <c r="AG565" s="1655"/>
      <c r="AH565" s="1655"/>
      <c r="AI565" s="1655"/>
      <c r="AJ565" s="1655"/>
      <c r="AK565" s="1655"/>
      <c r="AL565" s="1655"/>
      <c r="AM565" s="1655"/>
      <c r="AN565" s="1655"/>
      <c r="AO565" s="1655"/>
      <c r="AP565" s="1655"/>
      <c r="AQ565" s="1655"/>
      <c r="AR565" s="1655"/>
      <c r="AS565" s="1655"/>
      <c r="AT565" s="1655"/>
      <c r="AU565" s="1655"/>
      <c r="AV565" s="1655"/>
      <c r="AW565" s="1655"/>
      <c r="AX565" s="1655"/>
      <c r="AY565" s="1655"/>
      <c r="AZ565" s="1655"/>
      <c r="BA565" s="1655"/>
      <c r="BB565" s="1655"/>
      <c r="BC565" s="1655"/>
      <c r="BD565" s="1655"/>
      <c r="BE565" s="1655"/>
      <c r="BF565" s="1655"/>
      <c r="BG565" s="1655"/>
      <c r="BH565" s="1655"/>
      <c r="BI565" s="1655"/>
      <c r="BJ565" s="1655"/>
      <c r="BK565" s="1655"/>
      <c r="BL565" s="1655"/>
      <c r="BM565" s="1655"/>
      <c r="BN565" s="1655"/>
      <c r="BO565" s="1655"/>
      <c r="BP565" s="1655"/>
      <c r="BQ565" s="1655"/>
      <c r="BR565" s="1655"/>
      <c r="BS565" s="1655"/>
      <c r="BT565" s="1655"/>
      <c r="BU565" s="1655"/>
      <c r="BV565" s="1655"/>
      <c r="BW565" s="1655"/>
      <c r="BX565" s="1655"/>
      <c r="BY565" s="1655"/>
      <c r="BZ565" s="1655"/>
      <c r="CA565" s="1655"/>
      <c r="CB565" s="1655"/>
      <c r="CC565" s="1655"/>
      <c r="CD565" s="1655"/>
      <c r="CE565" s="1655"/>
      <c r="CF565" s="1655"/>
      <c r="CG565" s="1655"/>
      <c r="CH565" s="1655"/>
      <c r="CI565" s="1655"/>
      <c r="CJ565" s="1655"/>
      <c r="CK565" s="1655"/>
      <c r="CL565" s="1655"/>
      <c r="CM565" s="1655"/>
      <c r="CN565" s="1655"/>
      <c r="CO565" s="1655"/>
      <c r="CP565" s="1655"/>
      <c r="CQ565" s="1655"/>
      <c r="CR565" s="1655"/>
      <c r="CS565" s="1655"/>
      <c r="CT565" s="1655"/>
      <c r="CU565" s="1655"/>
      <c r="CV565" s="1655"/>
      <c r="CW565" s="1655"/>
      <c r="CX565" s="1655"/>
      <c r="CY565" s="1655"/>
      <c r="CZ565" s="1655"/>
      <c r="DA565" s="1655"/>
      <c r="DB565" s="1655"/>
      <c r="DC565" s="1655"/>
      <c r="DD565" s="1655"/>
      <c r="DE565" s="1655"/>
      <c r="DF565" s="1655"/>
      <c r="DG565" s="1655"/>
      <c r="DH565" s="1655"/>
      <c r="DI565" s="1655"/>
      <c r="DJ565" s="1655"/>
      <c r="DK565" s="1655"/>
      <c r="DL565" s="1655"/>
      <c r="DM565" s="1655"/>
      <c r="DN565" s="1655"/>
      <c r="DO565" s="1655"/>
      <c r="DP565" s="1655"/>
      <c r="DQ565" s="1655"/>
      <c r="DR565" s="1655"/>
      <c r="DS565" s="1655"/>
      <c r="DT565" s="1655"/>
      <c r="DU565" s="1655"/>
      <c r="DV565" s="1655"/>
      <c r="DW565" s="1655"/>
      <c r="DX565" s="1655"/>
      <c r="DY565" s="1655"/>
      <c r="DZ565" s="1655"/>
      <c r="EA565" s="1655"/>
      <c r="EB565" s="1655"/>
      <c r="EC565" s="1655"/>
      <c r="ED565" s="1655"/>
      <c r="EE565" s="1655"/>
      <c r="EF565" s="1655"/>
      <c r="EG565" s="1655"/>
      <c r="EH565" s="1655"/>
      <c r="EI565" s="1655"/>
      <c r="EJ565" s="1655"/>
      <c r="EK565" s="1655"/>
      <c r="EL565" s="1655"/>
      <c r="EM565" s="1655"/>
      <c r="EN565" s="1655"/>
      <c r="EO565" s="1655"/>
      <c r="EP565" s="1655"/>
      <c r="EQ565" s="1655"/>
      <c r="ER565" s="1655"/>
      <c r="ES565" s="1655"/>
      <c r="ET565" s="1655"/>
      <c r="EU565" s="1655"/>
      <c r="EV565" s="1655"/>
      <c r="EW565" s="1655"/>
      <c r="EX565" s="1655"/>
      <c r="EY565" s="1655"/>
      <c r="EZ565" s="1655"/>
      <c r="FA565" s="1655"/>
      <c r="FB565" s="1655"/>
      <c r="FC565" s="1655"/>
      <c r="FD565" s="1655"/>
      <c r="FE565" s="1655"/>
      <c r="FF565" s="1655"/>
      <c r="FG565" s="1655"/>
      <c r="FH565" s="1655"/>
      <c r="FI565" s="1655"/>
    </row>
    <row r="566" spans="1:165">
      <c r="A566" s="1655"/>
      <c r="B566" s="1655"/>
      <c r="C566" s="1655"/>
      <c r="D566" s="1655"/>
      <c r="E566" s="1655"/>
      <c r="F566" s="1655"/>
      <c r="G566" s="1655"/>
      <c r="H566" s="1655"/>
      <c r="I566" s="1655"/>
      <c r="J566" s="1655"/>
      <c r="K566" s="1655"/>
      <c r="L566" s="1655"/>
      <c r="M566" s="1655"/>
      <c r="N566" s="1655"/>
      <c r="O566" s="1655"/>
      <c r="P566" s="1655"/>
      <c r="Q566" s="1655"/>
      <c r="R566" s="1655"/>
      <c r="S566" s="1655"/>
      <c r="T566" s="1655"/>
      <c r="U566" s="1655"/>
      <c r="V566" s="1655"/>
      <c r="W566" s="1655"/>
      <c r="X566" s="1655"/>
      <c r="Y566" s="1655"/>
      <c r="Z566" s="1655"/>
      <c r="AA566" s="1655"/>
      <c r="AB566" s="1655"/>
      <c r="AC566" s="1655"/>
      <c r="AD566" s="1655"/>
      <c r="AE566" s="1655"/>
      <c r="AF566" s="1655"/>
      <c r="AG566" s="1655"/>
      <c r="AH566" s="1655"/>
      <c r="AI566" s="1655"/>
      <c r="AJ566" s="1655"/>
      <c r="AK566" s="1655"/>
      <c r="AL566" s="1655"/>
      <c r="AM566" s="1655"/>
      <c r="AN566" s="1655"/>
      <c r="AO566" s="1655"/>
      <c r="AP566" s="1655"/>
      <c r="AQ566" s="1655"/>
      <c r="AR566" s="1655"/>
      <c r="AS566" s="1655"/>
      <c r="AT566" s="1655"/>
      <c r="AU566" s="1655"/>
      <c r="AV566" s="1655"/>
      <c r="AW566" s="1655"/>
      <c r="AX566" s="1655"/>
      <c r="AY566" s="1655"/>
      <c r="AZ566" s="1655"/>
      <c r="BA566" s="1655"/>
      <c r="BB566" s="1655"/>
      <c r="BC566" s="1655"/>
      <c r="BD566" s="1655"/>
      <c r="BE566" s="1655"/>
      <c r="BF566" s="1655"/>
      <c r="BG566" s="1655"/>
      <c r="BH566" s="1655"/>
      <c r="BI566" s="1655"/>
      <c r="BJ566" s="1655"/>
      <c r="BK566" s="1655"/>
      <c r="BL566" s="1655"/>
      <c r="BM566" s="1655"/>
      <c r="BN566" s="1655"/>
      <c r="BO566" s="1655"/>
      <c r="BP566" s="1655"/>
      <c r="BQ566" s="1655"/>
      <c r="BR566" s="1655"/>
      <c r="BS566" s="1655"/>
      <c r="BT566" s="1655"/>
      <c r="BU566" s="1655"/>
      <c r="BV566" s="1655"/>
      <c r="BW566" s="1655"/>
      <c r="BX566" s="1655"/>
      <c r="BY566" s="1655"/>
      <c r="BZ566" s="1655"/>
      <c r="CA566" s="1655"/>
      <c r="CB566" s="1655"/>
      <c r="CC566" s="1655"/>
      <c r="CD566" s="1655"/>
      <c r="CE566" s="1655"/>
      <c r="CF566" s="1655"/>
      <c r="CG566" s="1655"/>
      <c r="CH566" s="1655"/>
      <c r="CI566" s="1655"/>
      <c r="CJ566" s="1655"/>
      <c r="CK566" s="1655"/>
      <c r="CL566" s="1655"/>
      <c r="CM566" s="1655"/>
      <c r="CN566" s="1655"/>
      <c r="CO566" s="1655"/>
      <c r="CP566" s="1655"/>
      <c r="CQ566" s="1655"/>
      <c r="CR566" s="1655"/>
      <c r="CS566" s="1655"/>
      <c r="CT566" s="1655"/>
      <c r="CU566" s="1655"/>
      <c r="CV566" s="1655"/>
      <c r="CW566" s="1655"/>
      <c r="CX566" s="1655"/>
      <c r="CY566" s="1655"/>
      <c r="CZ566" s="1655"/>
      <c r="DA566" s="1655"/>
      <c r="DB566" s="1655"/>
      <c r="DC566" s="1655"/>
      <c r="DD566" s="1655"/>
      <c r="DE566" s="1655"/>
      <c r="DF566" s="1655"/>
      <c r="DG566" s="1655"/>
      <c r="DH566" s="1655"/>
      <c r="DI566" s="1655"/>
      <c r="DJ566" s="1655"/>
      <c r="DK566" s="1655"/>
      <c r="DL566" s="1655"/>
      <c r="DM566" s="1655"/>
      <c r="DN566" s="1655"/>
      <c r="DO566" s="1655"/>
      <c r="DP566" s="1655"/>
      <c r="DQ566" s="1655"/>
      <c r="DR566" s="1655"/>
      <c r="DS566" s="1655"/>
      <c r="DT566" s="1655"/>
      <c r="DU566" s="1655"/>
      <c r="DV566" s="1655"/>
      <c r="DW566" s="1655"/>
      <c r="DX566" s="1655"/>
      <c r="DY566" s="1655"/>
      <c r="DZ566" s="1655"/>
      <c r="EA566" s="1655"/>
      <c r="EB566" s="1655"/>
      <c r="EC566" s="1655"/>
      <c r="ED566" s="1655"/>
      <c r="EE566" s="1655"/>
      <c r="EF566" s="1655"/>
      <c r="EG566" s="1655"/>
      <c r="EH566" s="1655"/>
      <c r="EI566" s="1655"/>
      <c r="EJ566" s="1655"/>
      <c r="EK566" s="1655"/>
      <c r="EL566" s="1655"/>
      <c r="EM566" s="1655"/>
      <c r="EN566" s="1655"/>
      <c r="EO566" s="1655"/>
      <c r="EP566" s="1655"/>
      <c r="EQ566" s="1655"/>
      <c r="ER566" s="1655"/>
      <c r="ES566" s="1655"/>
      <c r="ET566" s="1655"/>
      <c r="EU566" s="1655"/>
      <c r="EV566" s="1655"/>
      <c r="EW566" s="1655"/>
      <c r="EX566" s="1655"/>
      <c r="EY566" s="1655"/>
      <c r="EZ566" s="1655"/>
      <c r="FA566" s="1655"/>
      <c r="FB566" s="1655"/>
      <c r="FC566" s="1655"/>
      <c r="FD566" s="1655"/>
      <c r="FE566" s="1655"/>
      <c r="FF566" s="1655"/>
      <c r="FG566" s="1655"/>
      <c r="FH566" s="1655"/>
      <c r="FI566" s="1655"/>
    </row>
    <row r="567" spans="1:165">
      <c r="A567" s="1655"/>
      <c r="B567" s="1655"/>
      <c r="C567" s="1655"/>
      <c r="D567" s="1655"/>
      <c r="E567" s="1655"/>
      <c r="F567" s="1655"/>
      <c r="G567" s="1655"/>
      <c r="H567" s="1655"/>
      <c r="I567" s="1655"/>
      <c r="J567" s="1655"/>
      <c r="K567" s="1655"/>
      <c r="L567" s="1655"/>
      <c r="M567" s="1655"/>
      <c r="N567" s="1655"/>
      <c r="O567" s="1655"/>
      <c r="P567" s="1655"/>
      <c r="Q567" s="1655"/>
      <c r="R567" s="1655"/>
      <c r="S567" s="1655"/>
      <c r="T567" s="1655"/>
      <c r="U567" s="1655"/>
      <c r="V567" s="1655"/>
      <c r="W567" s="1655"/>
      <c r="X567" s="1655"/>
      <c r="Y567" s="1655"/>
      <c r="Z567" s="1655"/>
      <c r="AA567" s="1655"/>
      <c r="AB567" s="1655"/>
      <c r="AC567" s="1655"/>
      <c r="AD567" s="1655"/>
      <c r="AE567" s="1655"/>
      <c r="AF567" s="1655"/>
      <c r="AG567" s="1655"/>
      <c r="AH567" s="1655"/>
      <c r="AI567" s="1655"/>
      <c r="AJ567" s="1655"/>
      <c r="AK567" s="1655"/>
      <c r="AL567" s="1655"/>
      <c r="AM567" s="1655"/>
      <c r="AN567" s="1655"/>
      <c r="AO567" s="1655"/>
      <c r="AP567" s="1655"/>
      <c r="AQ567" s="1655"/>
      <c r="AR567" s="1655"/>
      <c r="AS567" s="1655"/>
      <c r="AT567" s="1655"/>
      <c r="AU567" s="1655"/>
      <c r="AV567" s="1655"/>
      <c r="AW567" s="1655"/>
      <c r="AX567" s="1655"/>
      <c r="AY567" s="1655"/>
      <c r="AZ567" s="1655"/>
      <c r="BA567" s="1655"/>
      <c r="BB567" s="1655"/>
      <c r="BC567" s="1655"/>
      <c r="BD567" s="1655"/>
      <c r="BE567" s="1655"/>
      <c r="BF567" s="1655"/>
      <c r="BG567" s="1655"/>
      <c r="BH567" s="1655"/>
      <c r="BI567" s="1655"/>
      <c r="BJ567" s="1655"/>
      <c r="BK567" s="1655"/>
      <c r="BL567" s="1655"/>
      <c r="BM567" s="1655"/>
      <c r="BN567" s="1655"/>
      <c r="BO567" s="1655"/>
      <c r="BP567" s="1655"/>
      <c r="BQ567" s="1655"/>
      <c r="BR567" s="1655"/>
      <c r="BS567" s="1655"/>
      <c r="BT567" s="1655"/>
      <c r="BU567" s="1655"/>
      <c r="BV567" s="1655"/>
      <c r="BW567" s="1655"/>
      <c r="BX567" s="1655"/>
      <c r="BY567" s="1655"/>
      <c r="BZ567" s="1655"/>
      <c r="CA567" s="1655"/>
      <c r="CB567" s="1655"/>
      <c r="CC567" s="1655"/>
      <c r="CD567" s="1655"/>
      <c r="CE567" s="1655"/>
      <c r="CF567" s="1655"/>
      <c r="CG567" s="1655"/>
      <c r="CH567" s="1655"/>
      <c r="CI567" s="1655"/>
      <c r="CJ567" s="1655"/>
      <c r="CK567" s="1655"/>
      <c r="CL567" s="1655"/>
      <c r="CM567" s="1655"/>
      <c r="CN567" s="1655"/>
      <c r="CO567" s="1655"/>
      <c r="CP567" s="1655"/>
      <c r="CQ567" s="1655"/>
      <c r="CR567" s="1655"/>
      <c r="CS567" s="1655"/>
      <c r="CT567" s="1655"/>
      <c r="CU567" s="1655"/>
      <c r="CV567" s="1655"/>
      <c r="CW567" s="1655"/>
      <c r="CX567" s="1655"/>
      <c r="CY567" s="1655"/>
      <c r="CZ567" s="1655"/>
      <c r="DA567" s="1655"/>
      <c r="DB567" s="1655"/>
      <c r="DC567" s="1655"/>
      <c r="DD567" s="1655"/>
      <c r="DE567" s="1655"/>
      <c r="DF567" s="1655"/>
      <c r="DG567" s="1655"/>
      <c r="DH567" s="1655"/>
      <c r="DI567" s="1655"/>
      <c r="DJ567" s="1655"/>
      <c r="DK567" s="1655"/>
      <c r="DL567" s="1655"/>
      <c r="DM567" s="1655"/>
      <c r="DN567" s="1655"/>
      <c r="DO567" s="1655"/>
      <c r="DP567" s="1655"/>
      <c r="DQ567" s="1655"/>
      <c r="DR567" s="1655"/>
      <c r="DS567" s="1655"/>
      <c r="DT567" s="1655"/>
      <c r="DU567" s="1655"/>
      <c r="DV567" s="1655"/>
      <c r="DW567" s="1655"/>
      <c r="DX567" s="1655"/>
      <c r="DY567" s="1655"/>
      <c r="DZ567" s="1655"/>
      <c r="EA567" s="1655"/>
      <c r="EB567" s="1655"/>
      <c r="EC567" s="1655"/>
      <c r="ED567" s="1655"/>
      <c r="EE567" s="1655"/>
      <c r="EF567" s="1655"/>
      <c r="EG567" s="1655"/>
      <c r="EH567" s="1655"/>
      <c r="EI567" s="1655"/>
      <c r="EJ567" s="1655"/>
      <c r="EK567" s="1655"/>
      <c r="EL567" s="1655"/>
      <c r="EM567" s="1655"/>
      <c r="EN567" s="1655"/>
      <c r="EO567" s="1655"/>
      <c r="EP567" s="1655"/>
      <c r="EQ567" s="1655"/>
      <c r="ER567" s="1655"/>
      <c r="ES567" s="1655"/>
      <c r="ET567" s="1655"/>
      <c r="EU567" s="1655"/>
      <c r="EV567" s="1655"/>
      <c r="EW567" s="1655"/>
      <c r="EX567" s="1655"/>
      <c r="EY567" s="1655"/>
      <c r="EZ567" s="1655"/>
      <c r="FA567" s="1655"/>
      <c r="FB567" s="1655"/>
      <c r="FC567" s="1655"/>
      <c r="FD567" s="1655"/>
      <c r="FE567" s="1655"/>
      <c r="FF567" s="1655"/>
      <c r="FG567" s="1655"/>
      <c r="FH567" s="1655"/>
      <c r="FI567" s="1655"/>
    </row>
    <row r="568" spans="1:165">
      <c r="A568" s="1655"/>
      <c r="B568" s="1655"/>
      <c r="C568" s="1655"/>
      <c r="D568" s="1655"/>
      <c r="E568" s="1655"/>
      <c r="F568" s="1655"/>
      <c r="G568" s="1655"/>
      <c r="H568" s="1655"/>
      <c r="I568" s="1655"/>
      <c r="J568" s="1655"/>
      <c r="K568" s="1655"/>
      <c r="L568" s="1655"/>
      <c r="M568" s="1655"/>
      <c r="N568" s="1655"/>
      <c r="O568" s="1655"/>
      <c r="P568" s="1655"/>
      <c r="Q568" s="1655"/>
      <c r="R568" s="1655"/>
      <c r="S568" s="1655"/>
      <c r="T568" s="1655"/>
      <c r="U568" s="1655"/>
      <c r="V568" s="1655"/>
      <c r="W568" s="1655"/>
      <c r="X568" s="1655"/>
      <c r="Y568" s="1655"/>
      <c r="Z568" s="1655"/>
      <c r="AA568" s="1655"/>
      <c r="AB568" s="1655"/>
      <c r="AC568" s="1655"/>
      <c r="AD568" s="1655"/>
      <c r="AE568" s="1655"/>
      <c r="AF568" s="1655"/>
      <c r="AG568" s="1655"/>
      <c r="AH568" s="1655"/>
      <c r="AI568" s="1655"/>
      <c r="AJ568" s="1655"/>
      <c r="AK568" s="1655"/>
      <c r="AL568" s="1655"/>
      <c r="AM568" s="1655"/>
      <c r="AN568" s="1655"/>
      <c r="AO568" s="1655"/>
      <c r="AP568" s="1655"/>
      <c r="AQ568" s="1655"/>
      <c r="AR568" s="1655"/>
      <c r="AS568" s="1655"/>
      <c r="AT568" s="1655"/>
      <c r="AU568" s="1655"/>
      <c r="AV568" s="1655"/>
      <c r="AW568" s="1655"/>
      <c r="AX568" s="1655"/>
      <c r="AY568" s="1655"/>
      <c r="AZ568" s="1655"/>
      <c r="BA568" s="1655"/>
      <c r="BB568" s="1655"/>
      <c r="BC568" s="1655"/>
      <c r="BD568" s="1655"/>
      <c r="BE568" s="1655"/>
      <c r="BF568" s="1655"/>
      <c r="BG568" s="1655"/>
      <c r="BH568" s="1655"/>
      <c r="BI568" s="1655"/>
      <c r="BJ568" s="1655"/>
      <c r="BK568" s="1655"/>
      <c r="BL568" s="1655"/>
      <c r="BM568" s="1655"/>
      <c r="BN568" s="1655"/>
      <c r="BO568" s="1655"/>
      <c r="BP568" s="1655"/>
      <c r="BQ568" s="1655"/>
      <c r="BR568" s="1655"/>
      <c r="BS568" s="1655"/>
      <c r="BT568" s="1655"/>
      <c r="BU568" s="1655"/>
      <c r="BV568" s="1655"/>
      <c r="BW568" s="1655"/>
      <c r="BX568" s="1655"/>
      <c r="BY568" s="1655"/>
      <c r="BZ568" s="1655"/>
      <c r="CA568" s="1655"/>
      <c r="CB568" s="1655"/>
      <c r="CC568" s="1655"/>
      <c r="CD568" s="1655"/>
      <c r="CE568" s="1655"/>
      <c r="CF568" s="1655"/>
      <c r="CG568" s="1655"/>
      <c r="CH568" s="1655"/>
      <c r="CI568" s="1655"/>
      <c r="CJ568" s="1655"/>
      <c r="CK568" s="1655"/>
      <c r="CL568" s="1655"/>
      <c r="CM568" s="1655"/>
      <c r="CN568" s="1655"/>
      <c r="CO568" s="1655"/>
      <c r="CP568" s="1655"/>
      <c r="CQ568" s="1655"/>
      <c r="CR568" s="1655"/>
      <c r="CS568" s="1655"/>
      <c r="CT568" s="1655"/>
      <c r="CU568" s="1655"/>
      <c r="CV568" s="1655"/>
      <c r="CW568" s="1655"/>
      <c r="CX568" s="1655"/>
      <c r="CY568" s="1655"/>
      <c r="CZ568" s="1655"/>
      <c r="DA568" s="1655"/>
      <c r="DB568" s="1655"/>
      <c r="DC568" s="1655"/>
      <c r="DD568" s="1655"/>
      <c r="DE568" s="1655"/>
      <c r="DF568" s="1655"/>
      <c r="DG568" s="1655"/>
      <c r="DH568" s="1655"/>
      <c r="DI568" s="1655"/>
      <c r="DJ568" s="1655"/>
      <c r="DK568" s="1655"/>
      <c r="DL568" s="1655"/>
      <c r="DM568" s="1655"/>
      <c r="DN568" s="1655"/>
      <c r="DO568" s="1655"/>
      <c r="DP568" s="1655"/>
      <c r="DQ568" s="1655"/>
      <c r="DR568" s="1655"/>
      <c r="DS568" s="1655"/>
      <c r="DT568" s="1655"/>
      <c r="DU568" s="1655"/>
      <c r="DV568" s="1655"/>
      <c r="DW568" s="1655"/>
      <c r="DX568" s="1655"/>
      <c r="DY568" s="1655"/>
      <c r="DZ568" s="1655"/>
      <c r="EA568" s="1655"/>
      <c r="EB568" s="1655"/>
      <c r="EC568" s="1655"/>
      <c r="ED568" s="1655"/>
      <c r="EE568" s="1655"/>
      <c r="EF568" s="1655"/>
      <c r="EG568" s="1655"/>
      <c r="EH568" s="1655"/>
      <c r="EI568" s="1655"/>
      <c r="EJ568" s="1655"/>
      <c r="EK568" s="1655"/>
      <c r="EL568" s="1655"/>
      <c r="EM568" s="1655"/>
      <c r="EN568" s="1655"/>
      <c r="EO568" s="1655"/>
      <c r="EP568" s="1655"/>
      <c r="EQ568" s="1655"/>
      <c r="ER568" s="1655"/>
      <c r="ES568" s="1655"/>
      <c r="ET568" s="1655"/>
      <c r="EU568" s="1655"/>
      <c r="EV568" s="1655"/>
      <c r="EW568" s="1655"/>
      <c r="EX568" s="1655"/>
      <c r="EY568" s="1655"/>
      <c r="EZ568" s="1655"/>
      <c r="FA568" s="1655"/>
      <c r="FB568" s="1655"/>
      <c r="FC568" s="1655"/>
      <c r="FD568" s="1655"/>
      <c r="FE568" s="1655"/>
      <c r="FF568" s="1655"/>
      <c r="FG568" s="1655"/>
      <c r="FH568" s="1655"/>
      <c r="FI568" s="1655"/>
    </row>
    <row r="569" spans="1:165">
      <c r="A569" s="1655"/>
      <c r="B569" s="1655"/>
      <c r="C569" s="1655"/>
      <c r="D569" s="1655"/>
      <c r="E569" s="1655"/>
      <c r="F569" s="1655"/>
      <c r="G569" s="1655"/>
      <c r="H569" s="1655"/>
      <c r="I569" s="1655"/>
      <c r="J569" s="1655"/>
      <c r="K569" s="1655"/>
      <c r="L569" s="1655"/>
      <c r="M569" s="1655"/>
      <c r="N569" s="1655"/>
      <c r="O569" s="1655"/>
      <c r="P569" s="1655"/>
      <c r="Q569" s="1655"/>
      <c r="R569" s="1655"/>
      <c r="S569" s="1655"/>
      <c r="T569" s="1655"/>
      <c r="U569" s="1655"/>
      <c r="V569" s="1655"/>
      <c r="W569" s="1655"/>
      <c r="X569" s="1655"/>
      <c r="Y569" s="1655"/>
      <c r="Z569" s="1655"/>
      <c r="AA569" s="1655"/>
      <c r="AB569" s="1655"/>
      <c r="AC569" s="1655"/>
      <c r="AD569" s="1655"/>
      <c r="AE569" s="1655"/>
      <c r="AF569" s="1655"/>
      <c r="AG569" s="1655"/>
      <c r="AH569" s="1655"/>
      <c r="AI569" s="1655"/>
      <c r="AJ569" s="1655"/>
      <c r="AK569" s="1655"/>
      <c r="AL569" s="1655"/>
      <c r="AM569" s="1655"/>
      <c r="AN569" s="1655"/>
      <c r="AO569" s="1655"/>
      <c r="AP569" s="1655"/>
      <c r="AQ569" s="1655"/>
      <c r="AR569" s="1655"/>
      <c r="AS569" s="1655"/>
      <c r="AT569" s="1655"/>
      <c r="AU569" s="1655"/>
      <c r="AV569" s="1655"/>
      <c r="AW569" s="1655"/>
      <c r="AX569" s="1655"/>
      <c r="AY569" s="1655"/>
      <c r="AZ569" s="1655"/>
      <c r="BA569" s="1655"/>
      <c r="BB569" s="1655"/>
      <c r="BC569" s="1655"/>
      <c r="BD569" s="1655"/>
      <c r="BE569" s="1655"/>
      <c r="BF569" s="1655"/>
      <c r="BG569" s="1655"/>
      <c r="BH569" s="1655"/>
      <c r="BI569" s="1655"/>
      <c r="BJ569" s="1655"/>
      <c r="BK569" s="1655"/>
      <c r="BL569" s="1655"/>
      <c r="BM569" s="1655"/>
      <c r="BN569" s="1655"/>
      <c r="BO569" s="1655"/>
      <c r="BP569" s="1655"/>
      <c r="BQ569" s="1655"/>
      <c r="BR569" s="1655"/>
      <c r="BS569" s="1655"/>
      <c r="BT569" s="1655"/>
      <c r="BU569" s="1655"/>
      <c r="BV569" s="1655"/>
      <c r="BW569" s="1655"/>
      <c r="BX569" s="1655"/>
      <c r="BY569" s="1655"/>
      <c r="BZ569" s="1655"/>
      <c r="CA569" s="1655"/>
      <c r="CB569" s="1655"/>
      <c r="CC569" s="1655"/>
      <c r="CD569" s="1655"/>
      <c r="CE569" s="1655"/>
      <c r="CF569" s="1655"/>
      <c r="CG569" s="1655"/>
      <c r="CH569" s="1655"/>
      <c r="CI569" s="1655"/>
      <c r="CJ569" s="1655"/>
      <c r="CK569" s="1655"/>
      <c r="CL569" s="1655"/>
      <c r="CM569" s="1655"/>
      <c r="CN569" s="1655"/>
      <c r="CO569" s="1655"/>
      <c r="CP569" s="1655"/>
      <c r="CQ569" s="1655"/>
      <c r="CR569" s="1655"/>
      <c r="CS569" s="1655"/>
      <c r="CT569" s="1655"/>
      <c r="CU569" s="1655"/>
      <c r="CV569" s="1655"/>
      <c r="CW569" s="1655"/>
      <c r="CX569" s="1655"/>
      <c r="CY569" s="1655"/>
      <c r="CZ569" s="1655"/>
      <c r="DA569" s="1655"/>
      <c r="DB569" s="1655"/>
      <c r="DC569" s="1655"/>
      <c r="DD569" s="1655"/>
      <c r="DE569" s="1655"/>
      <c r="DF569" s="1655"/>
      <c r="DG569" s="1655"/>
      <c r="DH569" s="1655"/>
      <c r="DI569" s="1655"/>
      <c r="DJ569" s="1655"/>
      <c r="DK569" s="1655"/>
      <c r="DL569" s="1655"/>
      <c r="DM569" s="1655"/>
      <c r="DN569" s="1655"/>
      <c r="DO569" s="1655"/>
      <c r="DP569" s="1655"/>
      <c r="DQ569" s="1655"/>
      <c r="DR569" s="1655"/>
      <c r="DS569" s="1655"/>
      <c r="DT569" s="1655"/>
      <c r="DU569" s="1655"/>
      <c r="DV569" s="1655"/>
      <c r="DW569" s="1655"/>
      <c r="DX569" s="1655"/>
      <c r="DY569" s="1655"/>
      <c r="DZ569" s="1655"/>
      <c r="EA569" s="1655"/>
      <c r="EB569" s="1655"/>
      <c r="EC569" s="1655"/>
      <c r="ED569" s="1655"/>
      <c r="EE569" s="1655"/>
      <c r="EF569" s="1655"/>
      <c r="EG569" s="1655"/>
      <c r="EH569" s="1655"/>
      <c r="EI569" s="1655"/>
      <c r="EJ569" s="1655"/>
      <c r="EK569" s="1655"/>
      <c r="EL569" s="1655"/>
      <c r="EM569" s="1655"/>
      <c r="EN569" s="1655"/>
      <c r="EO569" s="1655"/>
      <c r="EP569" s="1655"/>
      <c r="EQ569" s="1655"/>
      <c r="ER569" s="1655"/>
      <c r="ES569" s="1655"/>
      <c r="ET569" s="1655"/>
      <c r="EU569" s="1655"/>
      <c r="EV569" s="1655"/>
      <c r="EW569" s="1655"/>
      <c r="EX569" s="1655"/>
      <c r="EY569" s="1655"/>
      <c r="EZ569" s="1655"/>
      <c r="FA569" s="1655"/>
      <c r="FB569" s="1655"/>
      <c r="FC569" s="1655"/>
      <c r="FD569" s="1655"/>
      <c r="FE569" s="1655"/>
      <c r="FF569" s="1655"/>
      <c r="FG569" s="1655"/>
      <c r="FH569" s="1655"/>
      <c r="FI569" s="1655"/>
    </row>
    <row r="570" spans="1:165">
      <c r="A570" s="1655"/>
      <c r="B570" s="1655"/>
      <c r="C570" s="1655"/>
      <c r="D570" s="1655"/>
      <c r="E570" s="1655"/>
      <c r="F570" s="1655"/>
      <c r="G570" s="1655"/>
      <c r="H570" s="1655"/>
      <c r="I570" s="1655"/>
      <c r="J570" s="1655"/>
      <c r="K570" s="1655"/>
      <c r="L570" s="1655"/>
      <c r="M570" s="1655"/>
      <c r="N570" s="1655"/>
      <c r="O570" s="1655"/>
      <c r="P570" s="1655"/>
      <c r="Q570" s="1655"/>
      <c r="R570" s="1655"/>
      <c r="S570" s="1655"/>
      <c r="T570" s="1655"/>
      <c r="U570" s="1655"/>
      <c r="V570" s="1655"/>
      <c r="W570" s="1655"/>
      <c r="X570" s="1655"/>
      <c r="Y570" s="1655"/>
      <c r="Z570" s="1655"/>
      <c r="AA570" s="1655"/>
      <c r="AB570" s="1655"/>
      <c r="AC570" s="1655"/>
      <c r="AD570" s="1655"/>
      <c r="AE570" s="1655"/>
      <c r="AF570" s="1655"/>
      <c r="AG570" s="1655"/>
      <c r="AH570" s="1655"/>
      <c r="AI570" s="1655"/>
      <c r="AJ570" s="1655"/>
      <c r="AK570" s="1655"/>
      <c r="AL570" s="1655"/>
      <c r="AM570" s="1655"/>
      <c r="AN570" s="1655"/>
      <c r="AO570" s="1655"/>
      <c r="AP570" s="1655"/>
      <c r="AQ570" s="1655"/>
      <c r="AR570" s="1655"/>
      <c r="AS570" s="1655"/>
      <c r="AT570" s="1655"/>
      <c r="AU570" s="1655"/>
      <c r="AV570" s="1655"/>
      <c r="AW570" s="1655"/>
      <c r="AX570" s="1655"/>
      <c r="AY570" s="1655"/>
      <c r="AZ570" s="1655"/>
      <c r="BA570" s="1655"/>
      <c r="BB570" s="1655"/>
      <c r="BC570" s="1655"/>
      <c r="BD570" s="1655"/>
      <c r="BE570" s="1655"/>
      <c r="BF570" s="1655"/>
      <c r="BG570" s="1655"/>
      <c r="BH570" s="1655"/>
      <c r="BI570" s="1655"/>
      <c r="BJ570" s="1655"/>
      <c r="BK570" s="1655"/>
      <c r="BL570" s="1655"/>
      <c r="BM570" s="1655"/>
      <c r="BN570" s="1655"/>
      <c r="BO570" s="1655"/>
      <c r="BP570" s="1655"/>
      <c r="BQ570" s="1655"/>
      <c r="BR570" s="1655"/>
      <c r="BS570" s="1655"/>
      <c r="BT570" s="1655"/>
      <c r="BU570" s="1655"/>
      <c r="BV570" s="1655"/>
      <c r="BW570" s="1655"/>
      <c r="BX570" s="1655"/>
      <c r="BY570" s="1655"/>
      <c r="BZ570" s="1655"/>
      <c r="CA570" s="1655"/>
      <c r="CB570" s="1655"/>
      <c r="CC570" s="1655"/>
      <c r="CD570" s="1655"/>
      <c r="CE570" s="1655"/>
      <c r="CF570" s="1655"/>
      <c r="CG570" s="1655"/>
      <c r="CH570" s="1655"/>
      <c r="CI570" s="1655"/>
      <c r="CJ570" s="1655"/>
      <c r="CK570" s="1655"/>
      <c r="CL570" s="1655"/>
      <c r="CM570" s="1655"/>
      <c r="CN570" s="1655"/>
      <c r="CO570" s="1655"/>
      <c r="CP570" s="1655"/>
      <c r="CQ570" s="1655"/>
      <c r="CR570" s="1655"/>
      <c r="CS570" s="1655"/>
      <c r="CT570" s="1655"/>
      <c r="CU570" s="1655"/>
      <c r="CV570" s="1655"/>
      <c r="CW570" s="1655"/>
      <c r="CX570" s="1655"/>
      <c r="CY570" s="1655"/>
      <c r="CZ570" s="1655"/>
      <c r="DA570" s="1655"/>
      <c r="DB570" s="1655"/>
      <c r="DC570" s="1655"/>
      <c r="DD570" s="1655"/>
      <c r="DE570" s="1655"/>
      <c r="DF570" s="1655"/>
      <c r="DG570" s="1655"/>
      <c r="DH570" s="1655"/>
      <c r="DI570" s="1655"/>
      <c r="DJ570" s="1655"/>
      <c r="DK570" s="1655"/>
      <c r="DL570" s="1655"/>
      <c r="DM570" s="1655"/>
      <c r="DN570" s="1655"/>
      <c r="DO570" s="1655"/>
      <c r="DP570" s="1655"/>
      <c r="DQ570" s="1655"/>
      <c r="DR570" s="1655"/>
      <c r="DS570" s="1655"/>
      <c r="DT570" s="1655"/>
      <c r="DU570" s="1655"/>
      <c r="DV570" s="1655"/>
      <c r="DW570" s="1655"/>
      <c r="DX570" s="1655"/>
      <c r="DY570" s="1655"/>
      <c r="DZ570" s="1655"/>
      <c r="EA570" s="1655"/>
      <c r="EB570" s="1655"/>
      <c r="EC570" s="1655"/>
      <c r="ED570" s="1655"/>
      <c r="EE570" s="1655"/>
      <c r="EF570" s="1655"/>
      <c r="EG570" s="1655"/>
      <c r="EH570" s="1655"/>
      <c r="EI570" s="1655"/>
      <c r="EJ570" s="1655"/>
      <c r="EK570" s="1655"/>
      <c r="EL570" s="1655"/>
      <c r="EM570" s="1655"/>
      <c r="EN570" s="1655"/>
      <c r="EO570" s="1655"/>
      <c r="EP570" s="1655"/>
      <c r="EQ570" s="1655"/>
      <c r="ER570" s="1655"/>
      <c r="ES570" s="1655"/>
      <c r="ET570" s="1655"/>
      <c r="EU570" s="1655"/>
      <c r="EV570" s="1655"/>
      <c r="EW570" s="1655"/>
      <c r="EX570" s="1655"/>
      <c r="EY570" s="1655"/>
      <c r="EZ570" s="1655"/>
      <c r="FA570" s="1655"/>
      <c r="FB570" s="1655"/>
      <c r="FC570" s="1655"/>
      <c r="FD570" s="1655"/>
      <c r="FE570" s="1655"/>
      <c r="FF570" s="1655"/>
      <c r="FG570" s="1655"/>
      <c r="FH570" s="1655"/>
      <c r="FI570" s="1655"/>
    </row>
    <row r="571" spans="1:165">
      <c r="A571" s="1655"/>
      <c r="B571" s="1655"/>
      <c r="C571" s="1655"/>
      <c r="D571" s="1655"/>
      <c r="E571" s="1655"/>
      <c r="F571" s="1655"/>
      <c r="G571" s="1655"/>
      <c r="H571" s="1655"/>
      <c r="I571" s="1655"/>
      <c r="J571" s="1655"/>
      <c r="K571" s="1655"/>
      <c r="L571" s="1655"/>
      <c r="M571" s="1655"/>
      <c r="N571" s="1655"/>
      <c r="O571" s="1655"/>
      <c r="P571" s="1655"/>
      <c r="Q571" s="1655"/>
      <c r="R571" s="1655"/>
      <c r="S571" s="1655"/>
      <c r="T571" s="1655"/>
      <c r="U571" s="1655"/>
      <c r="V571" s="1655"/>
      <c r="W571" s="1655"/>
      <c r="X571" s="1655"/>
      <c r="Y571" s="1655"/>
      <c r="Z571" s="1655"/>
      <c r="AA571" s="1655"/>
      <c r="AB571" s="1655"/>
      <c r="AC571" s="1655"/>
      <c r="AD571" s="1655"/>
      <c r="AE571" s="1655"/>
      <c r="AF571" s="1655"/>
      <c r="AG571" s="1655"/>
      <c r="AH571" s="1655"/>
      <c r="AI571" s="1655"/>
      <c r="AJ571" s="1655"/>
      <c r="AK571" s="1655"/>
      <c r="AL571" s="1655"/>
      <c r="AM571" s="1655"/>
      <c r="AN571" s="1655"/>
      <c r="AO571" s="1655"/>
      <c r="AP571" s="1655"/>
      <c r="AQ571" s="1655"/>
      <c r="AR571" s="1655"/>
      <c r="AS571" s="1655"/>
      <c r="AT571" s="1655"/>
      <c r="AU571" s="1655"/>
      <c r="AV571" s="1655"/>
      <c r="AW571" s="1655"/>
      <c r="AX571" s="1655"/>
      <c r="AY571" s="1655"/>
      <c r="AZ571" s="1655"/>
      <c r="BA571" s="1655"/>
      <c r="BB571" s="1655"/>
      <c r="BC571" s="1655"/>
      <c r="BD571" s="1655"/>
      <c r="BE571" s="1655"/>
      <c r="BF571" s="1655"/>
      <c r="BG571" s="1655"/>
      <c r="BH571" s="1655"/>
      <c r="BI571" s="1655"/>
      <c r="BJ571" s="1655"/>
      <c r="BK571" s="1655"/>
      <c r="BL571" s="1655"/>
      <c r="BM571" s="1655"/>
      <c r="BN571" s="1655"/>
      <c r="BO571" s="1655"/>
      <c r="BP571" s="1655"/>
      <c r="BQ571" s="1655"/>
      <c r="BR571" s="1655"/>
      <c r="BS571" s="1655"/>
      <c r="BT571" s="1655"/>
      <c r="BU571" s="1655"/>
      <c r="BV571" s="1655"/>
      <c r="BW571" s="1655"/>
      <c r="BX571" s="1655"/>
      <c r="BY571" s="1655"/>
      <c r="BZ571" s="1655"/>
      <c r="CA571" s="1655"/>
      <c r="CB571" s="1655"/>
      <c r="CC571" s="1655"/>
      <c r="CD571" s="1655"/>
      <c r="CE571" s="1655"/>
      <c r="CF571" s="1655"/>
      <c r="CG571" s="1655"/>
      <c r="CH571" s="1655"/>
      <c r="CI571" s="1655"/>
      <c r="CJ571" s="1655"/>
      <c r="CK571" s="1655"/>
      <c r="CL571" s="1655"/>
      <c r="CM571" s="1655"/>
      <c r="CN571" s="1655"/>
      <c r="CO571" s="1655"/>
      <c r="CP571" s="1655"/>
      <c r="CQ571" s="1655"/>
      <c r="CR571" s="1655"/>
      <c r="CS571" s="1655"/>
      <c r="CT571" s="1655"/>
      <c r="CU571" s="1655"/>
      <c r="CV571" s="1655"/>
      <c r="CW571" s="1655"/>
      <c r="CX571" s="1655"/>
      <c r="CY571" s="1655"/>
      <c r="CZ571" s="1655"/>
      <c r="DA571" s="1655"/>
      <c r="DB571" s="1655"/>
      <c r="DC571" s="1655"/>
      <c r="DD571" s="1655"/>
      <c r="DE571" s="1655"/>
      <c r="DF571" s="1655"/>
      <c r="DG571" s="1655"/>
      <c r="DH571" s="1655"/>
      <c r="DI571" s="1655"/>
      <c r="DJ571" s="1655"/>
      <c r="DK571" s="1655"/>
      <c r="DL571" s="1655"/>
      <c r="DM571" s="1655"/>
      <c r="DN571" s="1655"/>
      <c r="DO571" s="1655"/>
      <c r="DP571" s="1655"/>
      <c r="DQ571" s="1655"/>
      <c r="DR571" s="1655"/>
      <c r="DS571" s="1655"/>
      <c r="DT571" s="1655"/>
      <c r="DU571" s="1655"/>
      <c r="DV571" s="1655"/>
      <c r="DW571" s="1655"/>
      <c r="DX571" s="1655"/>
      <c r="DY571" s="1655"/>
      <c r="DZ571" s="1655"/>
      <c r="EA571" s="1655"/>
      <c r="EB571" s="1655"/>
      <c r="EC571" s="1655"/>
      <c r="ED571" s="1655"/>
      <c r="EE571" s="1655"/>
      <c r="EF571" s="1655"/>
      <c r="EG571" s="1655"/>
      <c r="EH571" s="1655"/>
      <c r="EI571" s="1655"/>
      <c r="EJ571" s="1655"/>
      <c r="EK571" s="1655"/>
      <c r="EL571" s="1655"/>
      <c r="EM571" s="1655"/>
      <c r="EN571" s="1655"/>
      <c r="EO571" s="1655"/>
      <c r="EP571" s="1655"/>
      <c r="EQ571" s="1655"/>
      <c r="ER571" s="1655"/>
      <c r="ES571" s="1655"/>
      <c r="ET571" s="1655"/>
      <c r="EU571" s="1655"/>
      <c r="EV571" s="1655"/>
      <c r="EW571" s="1655"/>
      <c r="EX571" s="1655"/>
      <c r="EY571" s="1655"/>
      <c r="EZ571" s="1655"/>
      <c r="FA571" s="1655"/>
      <c r="FB571" s="1655"/>
      <c r="FC571" s="1655"/>
      <c r="FD571" s="1655"/>
      <c r="FE571" s="1655"/>
      <c r="FF571" s="1655"/>
      <c r="FG571" s="1655"/>
      <c r="FH571" s="1655"/>
      <c r="FI571" s="1655"/>
    </row>
    <row r="572" spans="1:165">
      <c r="A572" s="1655"/>
      <c r="B572" s="1655"/>
      <c r="C572" s="1655"/>
      <c r="D572" s="1655"/>
      <c r="E572" s="1655"/>
      <c r="F572" s="1655"/>
      <c r="G572" s="1655"/>
      <c r="H572" s="1655"/>
      <c r="I572" s="1655"/>
      <c r="J572" s="1655"/>
      <c r="K572" s="1655"/>
      <c r="L572" s="1655"/>
      <c r="M572" s="1655"/>
      <c r="N572" s="1655"/>
      <c r="O572" s="1655"/>
      <c r="P572" s="1655"/>
      <c r="Q572" s="1655"/>
      <c r="R572" s="1655"/>
      <c r="S572" s="1655"/>
      <c r="T572" s="1655"/>
      <c r="U572" s="1655"/>
      <c r="V572" s="1655"/>
      <c r="W572" s="1655"/>
      <c r="X572" s="1655"/>
      <c r="Y572" s="1655"/>
      <c r="Z572" s="1655"/>
      <c r="AA572" s="1655"/>
      <c r="AB572" s="1655"/>
      <c r="AC572" s="1655"/>
      <c r="AD572" s="1655"/>
      <c r="AE572" s="1655"/>
      <c r="AF572" s="1655"/>
      <c r="AG572" s="1655"/>
      <c r="AH572" s="1655"/>
      <c r="AI572" s="1655"/>
      <c r="AJ572" s="1655"/>
      <c r="AK572" s="1655"/>
      <c r="AL572" s="1655"/>
      <c r="AM572" s="1655"/>
      <c r="AN572" s="1655"/>
      <c r="AO572" s="1655"/>
      <c r="AP572" s="1655"/>
      <c r="AQ572" s="1655"/>
      <c r="AR572" s="1655"/>
      <c r="AS572" s="1655"/>
      <c r="AT572" s="1655"/>
      <c r="AU572" s="1655"/>
      <c r="AV572" s="1655"/>
      <c r="AW572" s="1655"/>
      <c r="AX572" s="1655"/>
      <c r="AY572" s="1655"/>
      <c r="AZ572" s="1655"/>
      <c r="BA572" s="1655"/>
      <c r="BB572" s="1655"/>
      <c r="BC572" s="1655"/>
      <c r="BD572" s="1655"/>
      <c r="BE572" s="1655"/>
      <c r="BF572" s="1655"/>
      <c r="BG572" s="1655"/>
      <c r="BH572" s="1655"/>
      <c r="BI572" s="1655"/>
      <c r="BJ572" s="1655"/>
      <c r="BK572" s="1655"/>
      <c r="BL572" s="1655"/>
      <c r="BM572" s="1655"/>
      <c r="BN572" s="1655"/>
      <c r="BO572" s="1655"/>
      <c r="BP572" s="1655"/>
      <c r="BQ572" s="1655"/>
      <c r="BR572" s="1655"/>
      <c r="BS572" s="1655"/>
      <c r="BT572" s="1655"/>
      <c r="BU572" s="1655"/>
      <c r="BV572" s="1655"/>
      <c r="BW572" s="1655"/>
      <c r="BX572" s="1655"/>
      <c r="BY572" s="1655"/>
      <c r="BZ572" s="1655"/>
      <c r="CA572" s="1655"/>
      <c r="CB572" s="1655"/>
      <c r="CC572" s="1655"/>
      <c r="CD572" s="1655"/>
      <c r="CE572" s="1655"/>
      <c r="CF572" s="1655"/>
      <c r="CG572" s="1655"/>
      <c r="CH572" s="1655"/>
      <c r="CI572" s="1655"/>
      <c r="CJ572" s="1655"/>
      <c r="CK572" s="1655"/>
      <c r="CL572" s="1655"/>
      <c r="CM572" s="1655"/>
      <c r="CN572" s="1655"/>
      <c r="CO572" s="1655"/>
      <c r="CP572" s="1655"/>
      <c r="CQ572" s="1655"/>
      <c r="CR572" s="1655"/>
      <c r="CS572" s="1655"/>
      <c r="CT572" s="1655"/>
      <c r="CU572" s="1655"/>
      <c r="CV572" s="1655"/>
      <c r="CW572" s="1655"/>
      <c r="CX572" s="1655"/>
      <c r="CY572" s="1655"/>
      <c r="CZ572" s="1655"/>
      <c r="DA572" s="1655"/>
      <c r="DB572" s="1655"/>
      <c r="DC572" s="1655"/>
      <c r="DD572" s="1655"/>
      <c r="DE572" s="1655"/>
      <c r="DF572" s="1655"/>
      <c r="DG572" s="1655"/>
      <c r="DH572" s="1655"/>
      <c r="DI572" s="1655"/>
      <c r="DJ572" s="1655"/>
      <c r="DK572" s="1655"/>
      <c r="DL572" s="1655"/>
      <c r="DM572" s="1655"/>
      <c r="DN572" s="1655"/>
      <c r="DO572" s="1655"/>
      <c r="DP572" s="1655"/>
      <c r="DQ572" s="1655"/>
      <c r="DR572" s="1655"/>
      <c r="DS572" s="1655"/>
      <c r="DT572" s="1655"/>
      <c r="DU572" s="1655"/>
      <c r="DV572" s="1655"/>
      <c r="DW572" s="1655"/>
      <c r="DX572" s="1655"/>
      <c r="DY572" s="1655"/>
      <c r="DZ572" s="1655"/>
      <c r="EA572" s="1655"/>
      <c r="EB572" s="1655"/>
      <c r="EC572" s="1655"/>
      <c r="ED572" s="1655"/>
      <c r="EE572" s="1655"/>
      <c r="EF572" s="1655"/>
      <c r="EG572" s="1655"/>
      <c r="EH572" s="1655"/>
      <c r="EI572" s="1655"/>
      <c r="EJ572" s="1655"/>
      <c r="EK572" s="1655"/>
      <c r="EL572" s="1655"/>
      <c r="EM572" s="1655"/>
      <c r="EN572" s="1655"/>
      <c r="EO572" s="1655"/>
      <c r="EP572" s="1655"/>
      <c r="EQ572" s="1655"/>
      <c r="ER572" s="1655"/>
      <c r="ES572" s="1655"/>
      <c r="ET572" s="1655"/>
      <c r="EU572" s="1655"/>
      <c r="EV572" s="1655"/>
      <c r="EW572" s="1655"/>
      <c r="EX572" s="1655"/>
      <c r="EY572" s="1655"/>
      <c r="EZ572" s="1655"/>
      <c r="FA572" s="1655"/>
      <c r="FB572" s="1655"/>
      <c r="FC572" s="1655"/>
      <c r="FD572" s="1655"/>
      <c r="FE572" s="1655"/>
      <c r="FF572" s="1655"/>
      <c r="FG572" s="1655"/>
      <c r="FH572" s="1655"/>
      <c r="FI572" s="1655"/>
    </row>
    <row r="573" spans="1:165">
      <c r="A573" s="1655"/>
      <c r="B573" s="1655"/>
      <c r="C573" s="1655"/>
      <c r="D573" s="1655"/>
      <c r="E573" s="1655"/>
      <c r="F573" s="1655"/>
      <c r="G573" s="1655"/>
      <c r="H573" s="1655"/>
      <c r="I573" s="1655"/>
      <c r="J573" s="1655"/>
      <c r="K573" s="1655"/>
      <c r="L573" s="1655"/>
      <c r="M573" s="1655"/>
      <c r="N573" s="1655"/>
      <c r="O573" s="1655"/>
      <c r="P573" s="1655"/>
      <c r="Q573" s="1655"/>
      <c r="R573" s="1655"/>
      <c r="S573" s="1655"/>
      <c r="T573" s="1655"/>
      <c r="U573" s="1655"/>
      <c r="V573" s="1655"/>
      <c r="W573" s="1655"/>
      <c r="X573" s="1655"/>
      <c r="Y573" s="1655"/>
      <c r="Z573" s="1655"/>
      <c r="AA573" s="1655"/>
      <c r="AB573" s="1655"/>
      <c r="AC573" s="1655"/>
      <c r="AD573" s="1655"/>
      <c r="AE573" s="1655"/>
      <c r="AF573" s="1655"/>
      <c r="AG573" s="1655"/>
      <c r="AH573" s="1655"/>
      <c r="AI573" s="1655"/>
      <c r="AJ573" s="1655"/>
      <c r="AK573" s="1655"/>
      <c r="AL573" s="1655"/>
      <c r="AM573" s="1655"/>
      <c r="AN573" s="1655"/>
      <c r="AO573" s="1655"/>
      <c r="AP573" s="1655"/>
      <c r="AQ573" s="1655"/>
      <c r="AR573" s="1655"/>
      <c r="AS573" s="1655"/>
      <c r="AT573" s="1655"/>
      <c r="AU573" s="1655"/>
      <c r="AV573" s="1655"/>
      <c r="AW573" s="1655"/>
      <c r="AX573" s="1655"/>
      <c r="AY573" s="1655"/>
      <c r="AZ573" s="1655"/>
      <c r="BA573" s="1655"/>
      <c r="BB573" s="1655"/>
      <c r="BC573" s="1655"/>
      <c r="BD573" s="1655"/>
      <c r="BE573" s="1655"/>
      <c r="BF573" s="1655"/>
      <c r="BG573" s="1655"/>
      <c r="BH573" s="1655"/>
      <c r="BI573" s="1655"/>
      <c r="BJ573" s="1655"/>
      <c r="BK573" s="1655"/>
      <c r="BL573" s="1655"/>
      <c r="BM573" s="1655"/>
      <c r="BN573" s="1655"/>
      <c r="BO573" s="1655"/>
      <c r="BP573" s="1655"/>
      <c r="BQ573" s="1655"/>
      <c r="BR573" s="1655"/>
      <c r="BS573" s="1655"/>
      <c r="BT573" s="1655"/>
      <c r="BU573" s="1655"/>
      <c r="BV573" s="1655"/>
      <c r="BW573" s="1655"/>
      <c r="BX573" s="1655"/>
      <c r="BY573" s="1655"/>
      <c r="BZ573" s="1655"/>
      <c r="CA573" s="1655"/>
      <c r="CB573" s="1655"/>
      <c r="CC573" s="1655"/>
      <c r="CD573" s="1655"/>
      <c r="CE573" s="1655"/>
      <c r="CF573" s="1655"/>
      <c r="CG573" s="1655"/>
      <c r="CH573" s="1655"/>
      <c r="CI573" s="1655"/>
      <c r="CJ573" s="1655"/>
      <c r="CK573" s="1655"/>
      <c r="CL573" s="1655"/>
      <c r="CM573" s="1655"/>
      <c r="CN573" s="1655"/>
      <c r="CO573" s="1655"/>
      <c r="CP573" s="1655"/>
      <c r="CQ573" s="1655"/>
      <c r="CR573" s="1655"/>
      <c r="CS573" s="1655"/>
      <c r="CT573" s="1655"/>
      <c r="CU573" s="1655"/>
      <c r="CV573" s="1655"/>
      <c r="CW573" s="1655"/>
      <c r="CX573" s="1655"/>
      <c r="CY573" s="1655"/>
      <c r="CZ573" s="1655"/>
      <c r="DA573" s="1655"/>
      <c r="DB573" s="1655"/>
      <c r="DC573" s="1655"/>
      <c r="DD573" s="1655"/>
      <c r="DE573" s="1655"/>
      <c r="DF573" s="1655"/>
      <c r="DG573" s="1655"/>
      <c r="DH573" s="1655"/>
      <c r="DI573" s="1655"/>
      <c r="DJ573" s="1655"/>
      <c r="DK573" s="1655"/>
      <c r="DL573" s="1655"/>
      <c r="DM573" s="1655"/>
      <c r="DN573" s="1655"/>
      <c r="DO573" s="1655"/>
      <c r="DP573" s="1655"/>
      <c r="DQ573" s="1655"/>
      <c r="DR573" s="1655"/>
      <c r="DS573" s="1655"/>
      <c r="DT573" s="1655"/>
      <c r="DU573" s="1655"/>
      <c r="DV573" s="1655"/>
      <c r="DW573" s="1655"/>
      <c r="DX573" s="1655"/>
      <c r="DY573" s="1655"/>
      <c r="DZ573" s="1655"/>
      <c r="EA573" s="1655"/>
      <c r="EB573" s="1655"/>
      <c r="EC573" s="1655"/>
      <c r="ED573" s="1655"/>
      <c r="EE573" s="1655"/>
      <c r="EF573" s="1655"/>
      <c r="EG573" s="1655"/>
      <c r="EH573" s="1655"/>
      <c r="EI573" s="1655"/>
      <c r="EJ573" s="1655"/>
      <c r="EK573" s="1655"/>
      <c r="EL573" s="1655"/>
      <c r="EM573" s="1655"/>
      <c r="EN573" s="1655"/>
      <c r="EO573" s="1655"/>
      <c r="EP573" s="1655"/>
      <c r="EQ573" s="1655"/>
      <c r="ER573" s="1655"/>
      <c r="ES573" s="1655"/>
      <c r="ET573" s="1655"/>
      <c r="EU573" s="1655"/>
      <c r="EV573" s="1655"/>
      <c r="EW573" s="1655"/>
      <c r="EX573" s="1655"/>
      <c r="EY573" s="1655"/>
      <c r="EZ573" s="1655"/>
      <c r="FA573" s="1655"/>
      <c r="FB573" s="1655"/>
      <c r="FC573" s="1655"/>
      <c r="FD573" s="1655"/>
      <c r="FE573" s="1655"/>
      <c r="FF573" s="1655"/>
      <c r="FG573" s="1655"/>
      <c r="FH573" s="1655"/>
      <c r="FI573" s="1655"/>
    </row>
    <row r="574" spans="1:165">
      <c r="A574" s="1655"/>
      <c r="B574" s="1655"/>
      <c r="C574" s="1655"/>
      <c r="D574" s="1655"/>
      <c r="E574" s="1655"/>
      <c r="F574" s="1655"/>
      <c r="G574" s="1655"/>
      <c r="H574" s="1655"/>
      <c r="I574" s="1655"/>
      <c r="J574" s="1655"/>
      <c r="K574" s="1655"/>
      <c r="L574" s="1655"/>
      <c r="M574" s="1655"/>
      <c r="N574" s="1655"/>
      <c r="O574" s="1655"/>
      <c r="P574" s="1655"/>
      <c r="Q574" s="1655"/>
      <c r="R574" s="1655"/>
      <c r="S574" s="1655"/>
      <c r="T574" s="1655"/>
      <c r="U574" s="1655"/>
      <c r="V574" s="1655"/>
      <c r="W574" s="1655"/>
      <c r="X574" s="1655"/>
      <c r="Y574" s="1655"/>
      <c r="Z574" s="1655"/>
      <c r="AA574" s="1655"/>
      <c r="AB574" s="1655"/>
      <c r="AC574" s="1655"/>
      <c r="AD574" s="1655"/>
      <c r="AE574" s="1655"/>
      <c r="AF574" s="1655"/>
      <c r="AG574" s="1655"/>
      <c r="AH574" s="1655"/>
      <c r="AI574" s="1655"/>
      <c r="AJ574" s="1655"/>
      <c r="AK574" s="1655"/>
      <c r="AL574" s="1655"/>
      <c r="AM574" s="1655"/>
      <c r="AN574" s="1655"/>
      <c r="AO574" s="1655"/>
      <c r="AP574" s="1655"/>
      <c r="AQ574" s="1655"/>
      <c r="AR574" s="1655"/>
      <c r="AS574" s="1655"/>
      <c r="AT574" s="1655"/>
      <c r="AU574" s="1655"/>
      <c r="AV574" s="1655"/>
      <c r="AW574" s="1655"/>
      <c r="AX574" s="1655"/>
      <c r="AY574" s="1655"/>
      <c r="AZ574" s="1655"/>
      <c r="BA574" s="1655"/>
      <c r="BB574" s="1655"/>
      <c r="BC574" s="1655"/>
      <c r="BD574" s="1655"/>
      <c r="BE574" s="1655"/>
      <c r="BF574" s="1655"/>
      <c r="BG574" s="1655"/>
      <c r="BH574" s="1655"/>
      <c r="BI574" s="1655"/>
      <c r="BJ574" s="1655"/>
      <c r="BK574" s="1655"/>
      <c r="BL574" s="1655"/>
      <c r="BM574" s="1655"/>
      <c r="BN574" s="1655"/>
      <c r="BO574" s="1655"/>
      <c r="BP574" s="1655"/>
      <c r="BQ574" s="1655"/>
      <c r="BR574" s="1655"/>
      <c r="BS574" s="1655"/>
      <c r="BT574" s="1655"/>
      <c r="BU574" s="1655"/>
      <c r="BV574" s="1655"/>
      <c r="BW574" s="1655"/>
      <c r="BX574" s="1655"/>
      <c r="BY574" s="1655"/>
      <c r="BZ574" s="1655"/>
      <c r="CA574" s="1655"/>
      <c r="CB574" s="1655"/>
      <c r="CC574" s="1655"/>
      <c r="CD574" s="1655"/>
      <c r="CE574" s="1655"/>
      <c r="CF574" s="1655"/>
      <c r="CG574" s="1655"/>
      <c r="CH574" s="1655"/>
      <c r="CI574" s="1655"/>
      <c r="CJ574" s="1655"/>
      <c r="CK574" s="1655"/>
      <c r="CL574" s="1655"/>
      <c r="CM574" s="1655"/>
      <c r="CN574" s="1655"/>
      <c r="CO574" s="1655"/>
      <c r="CP574" s="1655"/>
      <c r="CQ574" s="1655"/>
      <c r="CR574" s="1655"/>
      <c r="CS574" s="1655"/>
      <c r="CT574" s="1655"/>
      <c r="CU574" s="1655"/>
      <c r="CV574" s="1655"/>
      <c r="CW574" s="1655"/>
      <c r="CX574" s="1655"/>
      <c r="CY574" s="1655"/>
      <c r="CZ574" s="1655"/>
      <c r="DA574" s="1655"/>
      <c r="DB574" s="1655"/>
      <c r="DC574" s="1655"/>
      <c r="DD574" s="1655"/>
      <c r="DE574" s="1655"/>
      <c r="DF574" s="1655"/>
      <c r="DG574" s="1655"/>
      <c r="DH574" s="1655"/>
      <c r="DI574" s="1655"/>
      <c r="DJ574" s="1655"/>
      <c r="DK574" s="1655"/>
      <c r="DL574" s="1655"/>
      <c r="DM574" s="1655"/>
      <c r="DN574" s="1655"/>
      <c r="DO574" s="1655"/>
      <c r="DP574" s="1655"/>
      <c r="DQ574" s="1655"/>
      <c r="DR574" s="1655"/>
      <c r="DS574" s="1655"/>
      <c r="DT574" s="1655"/>
      <c r="DU574" s="1655"/>
      <c r="DV574" s="1655"/>
      <c r="DW574" s="1655"/>
      <c r="DX574" s="1655"/>
      <c r="DY574" s="1655"/>
      <c r="DZ574" s="1655"/>
      <c r="EA574" s="1655"/>
      <c r="EB574" s="1655"/>
      <c r="EC574" s="1655"/>
      <c r="ED574" s="1655"/>
      <c r="EE574" s="1655"/>
      <c r="EF574" s="1655"/>
      <c r="EG574" s="1655"/>
      <c r="EH574" s="1655"/>
      <c r="EI574" s="1655"/>
      <c r="EJ574" s="1655"/>
      <c r="EK574" s="1655"/>
      <c r="EL574" s="1655"/>
      <c r="EM574" s="1655"/>
      <c r="EN574" s="1655"/>
      <c r="EO574" s="1655"/>
      <c r="EP574" s="1655"/>
      <c r="EQ574" s="1655"/>
      <c r="ER574" s="1655"/>
      <c r="ES574" s="1655"/>
      <c r="ET574" s="1655"/>
      <c r="EU574" s="1655"/>
      <c r="EV574" s="1655"/>
      <c r="EW574" s="1655"/>
      <c r="EX574" s="1655"/>
      <c r="EY574" s="1655"/>
      <c r="EZ574" s="1655"/>
      <c r="FA574" s="1655"/>
      <c r="FB574" s="1655"/>
      <c r="FC574" s="1655"/>
      <c r="FD574" s="1655"/>
      <c r="FE574" s="1655"/>
      <c r="FF574" s="1655"/>
      <c r="FG574" s="1655"/>
      <c r="FH574" s="1655"/>
      <c r="FI574" s="1655"/>
    </row>
    <row r="575" spans="1:165">
      <c r="A575" s="1655"/>
      <c r="B575" s="1655"/>
      <c r="C575" s="1655"/>
      <c r="D575" s="1655"/>
      <c r="E575" s="1655"/>
      <c r="F575" s="1655"/>
      <c r="G575" s="1655"/>
      <c r="H575" s="1655"/>
      <c r="I575" s="1655"/>
      <c r="J575" s="1655"/>
      <c r="K575" s="1655"/>
      <c r="L575" s="1655"/>
      <c r="M575" s="1655"/>
      <c r="N575" s="1655"/>
      <c r="O575" s="1655"/>
      <c r="P575" s="1655"/>
      <c r="Q575" s="1655"/>
      <c r="R575" s="1655"/>
      <c r="S575" s="1655"/>
      <c r="T575" s="1655"/>
      <c r="U575" s="1655"/>
      <c r="V575" s="1655"/>
      <c r="W575" s="1655"/>
      <c r="X575" s="1655"/>
      <c r="Y575" s="1655"/>
      <c r="Z575" s="1655"/>
      <c r="AA575" s="1655"/>
      <c r="AB575" s="1655"/>
      <c r="AC575" s="1655"/>
      <c r="AD575" s="1655"/>
      <c r="AE575" s="1655"/>
      <c r="AF575" s="1655"/>
      <c r="AG575" s="1655"/>
      <c r="AH575" s="1655"/>
      <c r="AI575" s="1655"/>
      <c r="AJ575" s="1655"/>
      <c r="AK575" s="1655"/>
      <c r="AL575" s="1655"/>
      <c r="AM575" s="1655"/>
      <c r="AN575" s="1655"/>
      <c r="AO575" s="1655"/>
      <c r="AP575" s="1655"/>
      <c r="AQ575" s="1655"/>
      <c r="AR575" s="1655"/>
      <c r="AS575" s="1655"/>
      <c r="AT575" s="1655"/>
      <c r="AU575" s="1655"/>
      <c r="AV575" s="1655"/>
      <c r="AW575" s="1655"/>
      <c r="AX575" s="1655"/>
      <c r="AY575" s="1655"/>
      <c r="AZ575" s="1655"/>
      <c r="BA575" s="1655"/>
      <c r="BB575" s="1655"/>
      <c r="BC575" s="1655"/>
      <c r="BD575" s="1655"/>
      <c r="BE575" s="1655"/>
      <c r="BF575" s="1655"/>
      <c r="BG575" s="1655"/>
      <c r="BH575" s="1655"/>
      <c r="BI575" s="1655"/>
      <c r="BJ575" s="1655"/>
      <c r="BK575" s="1655"/>
      <c r="BL575" s="1655"/>
      <c r="BM575" s="1655"/>
      <c r="BN575" s="1655"/>
      <c r="BO575" s="1655"/>
      <c r="BP575" s="1655"/>
      <c r="BQ575" s="1655"/>
      <c r="BR575" s="1655"/>
      <c r="BS575" s="1655"/>
      <c r="BT575" s="1655"/>
      <c r="BU575" s="1655"/>
      <c r="BV575" s="1655"/>
      <c r="BW575" s="1655"/>
      <c r="BX575" s="1655"/>
      <c r="BY575" s="1655"/>
      <c r="BZ575" s="1655"/>
      <c r="CA575" s="1655"/>
      <c r="CB575" s="1655"/>
      <c r="CC575" s="1655"/>
      <c r="CD575" s="1655"/>
      <c r="CE575" s="1655"/>
      <c r="CF575" s="1655"/>
      <c r="CG575" s="1655"/>
      <c r="CH575" s="1655"/>
      <c r="CI575" s="1655"/>
      <c r="CJ575" s="1655"/>
      <c r="CK575" s="1655"/>
      <c r="CL575" s="1655"/>
      <c r="CM575" s="1655"/>
      <c r="CN575" s="1655"/>
      <c r="CO575" s="1655"/>
      <c r="CP575" s="1655"/>
      <c r="CQ575" s="1655"/>
      <c r="CR575" s="1655"/>
      <c r="CS575" s="1655"/>
      <c r="CT575" s="1655"/>
      <c r="CU575" s="1655"/>
      <c r="CV575" s="1655"/>
      <c r="CW575" s="1655"/>
      <c r="CX575" s="1655"/>
      <c r="CY575" s="1655"/>
      <c r="CZ575" s="1655"/>
      <c r="DA575" s="1655"/>
      <c r="DB575" s="1655"/>
      <c r="DC575" s="1655"/>
      <c r="DD575" s="1655"/>
      <c r="DE575" s="1655"/>
      <c r="DF575" s="1655"/>
      <c r="DG575" s="1655"/>
      <c r="DH575" s="1655"/>
      <c r="DI575" s="1655"/>
      <c r="DJ575" s="1655"/>
      <c r="DK575" s="1655"/>
      <c r="DL575" s="1655"/>
      <c r="DM575" s="1655"/>
      <c r="DN575" s="1655"/>
      <c r="DO575" s="1655"/>
      <c r="DP575" s="1655"/>
      <c r="DQ575" s="1655"/>
      <c r="DR575" s="1655"/>
      <c r="DS575" s="1655"/>
      <c r="DT575" s="1655"/>
      <c r="DU575" s="1655"/>
      <c r="DV575" s="1655"/>
      <c r="DW575" s="1655"/>
      <c r="DX575" s="1655"/>
      <c r="DY575" s="1655"/>
      <c r="DZ575" s="1655"/>
      <c r="EA575" s="1655"/>
      <c r="EB575" s="1655"/>
      <c r="EC575" s="1655"/>
      <c r="ED575" s="1655"/>
      <c r="EE575" s="1655"/>
      <c r="EF575" s="1655"/>
      <c r="EG575" s="1655"/>
      <c r="EH575" s="1655"/>
      <c r="EI575" s="1655"/>
      <c r="EJ575" s="1655"/>
      <c r="EK575" s="1655"/>
      <c r="EL575" s="1655"/>
      <c r="EM575" s="1655"/>
      <c r="EN575" s="1655"/>
      <c r="EO575" s="1655"/>
      <c r="EP575" s="1655"/>
      <c r="EQ575" s="1655"/>
      <c r="ER575" s="1655"/>
      <c r="ES575" s="1655"/>
      <c r="ET575" s="1655"/>
      <c r="EU575" s="1655"/>
      <c r="EV575" s="1655"/>
      <c r="EW575" s="1655"/>
      <c r="EX575" s="1655"/>
      <c r="EY575" s="1655"/>
      <c r="EZ575" s="1655"/>
      <c r="FA575" s="1655"/>
      <c r="FB575" s="1655"/>
      <c r="FC575" s="1655"/>
      <c r="FD575" s="1655"/>
      <c r="FE575" s="1655"/>
      <c r="FF575" s="1655"/>
      <c r="FG575" s="1655"/>
      <c r="FH575" s="1655"/>
      <c r="FI575" s="1655"/>
    </row>
    <row r="576" spans="1:165">
      <c r="A576" s="1655"/>
      <c r="B576" s="1655"/>
      <c r="C576" s="1655"/>
      <c r="D576" s="1655"/>
      <c r="E576" s="1655"/>
      <c r="F576" s="1655"/>
      <c r="G576" s="1655"/>
      <c r="H576" s="1655"/>
      <c r="I576" s="1655"/>
      <c r="J576" s="1655"/>
      <c r="K576" s="1655"/>
      <c r="L576" s="1655"/>
      <c r="M576" s="1655"/>
      <c r="N576" s="1655"/>
      <c r="O576" s="1655"/>
      <c r="P576" s="1655"/>
      <c r="Q576" s="1655"/>
      <c r="R576" s="1655"/>
      <c r="S576" s="1655"/>
      <c r="T576" s="1655"/>
      <c r="U576" s="1655"/>
      <c r="V576" s="1655"/>
      <c r="W576" s="1655"/>
      <c r="X576" s="1655"/>
      <c r="Y576" s="1655"/>
      <c r="Z576" s="1655"/>
      <c r="AA576" s="1655"/>
      <c r="AB576" s="1655"/>
      <c r="AC576" s="1655"/>
      <c r="AD576" s="1655"/>
      <c r="AE576" s="1655"/>
      <c r="AF576" s="1655"/>
      <c r="AG576" s="1655"/>
      <c r="AH576" s="1655"/>
      <c r="AI576" s="1655"/>
      <c r="AJ576" s="1655"/>
      <c r="AK576" s="1655"/>
      <c r="AL576" s="1655"/>
      <c r="AM576" s="1655"/>
      <c r="AN576" s="1655"/>
      <c r="AO576" s="1655"/>
      <c r="AP576" s="1655"/>
      <c r="AQ576" s="1655"/>
      <c r="AR576" s="1655"/>
      <c r="AS576" s="1655"/>
      <c r="AT576" s="1655"/>
      <c r="AU576" s="1655"/>
      <c r="AV576" s="1655"/>
      <c r="AW576" s="1655"/>
      <c r="AX576" s="1655"/>
      <c r="AY576" s="1655"/>
      <c r="AZ576" s="1655"/>
      <c r="BA576" s="1655"/>
      <c r="BB576" s="1655"/>
      <c r="BC576" s="1655"/>
      <c r="BD576" s="1655"/>
      <c r="BE576" s="1655"/>
      <c r="BF576" s="1655"/>
      <c r="BG576" s="1655"/>
      <c r="BH576" s="1655"/>
      <c r="BI576" s="1655"/>
      <c r="BJ576" s="1655"/>
      <c r="BK576" s="1655"/>
      <c r="BL576" s="1655"/>
      <c r="BM576" s="1655"/>
      <c r="BN576" s="1655"/>
      <c r="BO576" s="1655"/>
      <c r="BP576" s="1655"/>
      <c r="BQ576" s="1655"/>
      <c r="BR576" s="1655"/>
      <c r="BS576" s="1655"/>
      <c r="BT576" s="1655"/>
      <c r="BU576" s="1655"/>
      <c r="BV576" s="1655"/>
      <c r="BW576" s="1655"/>
      <c r="BX576" s="1655"/>
      <c r="BY576" s="1655"/>
      <c r="BZ576" s="1655"/>
      <c r="CA576" s="1655"/>
      <c r="CB576" s="1655"/>
      <c r="CC576" s="1655"/>
      <c r="CD576" s="1655"/>
      <c r="CE576" s="1655"/>
      <c r="CF576" s="1655"/>
      <c r="CG576" s="1655"/>
      <c r="CH576" s="1655"/>
      <c r="CI576" s="1655"/>
      <c r="CJ576" s="1655"/>
      <c r="CK576" s="1655"/>
      <c r="CL576" s="1655"/>
      <c r="CM576" s="1655"/>
      <c r="CN576" s="1655"/>
      <c r="CO576" s="1655"/>
      <c r="CP576" s="1655"/>
      <c r="CQ576" s="1655"/>
      <c r="CR576" s="1655"/>
      <c r="CS576" s="1655"/>
      <c r="CT576" s="1655"/>
      <c r="CU576" s="1655"/>
      <c r="CV576" s="1655"/>
      <c r="CW576" s="1655"/>
      <c r="CX576" s="1655"/>
      <c r="CY576" s="1655"/>
      <c r="CZ576" s="1655"/>
      <c r="DA576" s="1655"/>
      <c r="DB576" s="1655"/>
      <c r="DC576" s="1655"/>
      <c r="DD576" s="1655"/>
      <c r="DE576" s="1655"/>
      <c r="DF576" s="1655"/>
      <c r="DG576" s="1655"/>
      <c r="DH576" s="1655"/>
      <c r="DI576" s="1655"/>
      <c r="DJ576" s="1655"/>
      <c r="DK576" s="1655"/>
      <c r="DL576" s="1655"/>
      <c r="DM576" s="1655"/>
      <c r="DN576" s="1655"/>
      <c r="DO576" s="1655"/>
      <c r="DP576" s="1655"/>
      <c r="DQ576" s="1655"/>
      <c r="DR576" s="1655"/>
      <c r="DS576" s="1655"/>
      <c r="DT576" s="1655"/>
      <c r="DU576" s="1655"/>
      <c r="DV576" s="1655"/>
      <c r="DW576" s="1655"/>
      <c r="DX576" s="1655"/>
      <c r="DY576" s="1655"/>
      <c r="DZ576" s="1655"/>
      <c r="EA576" s="1655"/>
      <c r="EB576" s="1655"/>
      <c r="EC576" s="1655"/>
      <c r="ED576" s="1655"/>
      <c r="EE576" s="1655"/>
      <c r="EF576" s="1655"/>
      <c r="EG576" s="1655"/>
      <c r="EH576" s="1655"/>
      <c r="EI576" s="1655"/>
      <c r="EJ576" s="1655"/>
      <c r="EK576" s="1655"/>
      <c r="EL576" s="1655"/>
      <c r="EM576" s="1655"/>
      <c r="EN576" s="1655"/>
      <c r="EO576" s="1655"/>
      <c r="EP576" s="1655"/>
      <c r="EQ576" s="1655"/>
      <c r="ER576" s="1655"/>
      <c r="ES576" s="1655"/>
      <c r="ET576" s="1655"/>
      <c r="EU576" s="1655"/>
      <c r="EV576" s="1655"/>
      <c r="EW576" s="1655"/>
      <c r="EX576" s="1655"/>
      <c r="EY576" s="1655"/>
      <c r="EZ576" s="1655"/>
      <c r="FA576" s="1655"/>
      <c r="FB576" s="1655"/>
      <c r="FC576" s="1655"/>
      <c r="FD576" s="1655"/>
      <c r="FE576" s="1655"/>
      <c r="FF576" s="1655"/>
      <c r="FG576" s="1655"/>
      <c r="FH576" s="1655"/>
      <c r="FI576" s="1655"/>
    </row>
    <row r="577" spans="1:165">
      <c r="A577" s="1655"/>
      <c r="B577" s="1655"/>
      <c r="C577" s="1655"/>
      <c r="D577" s="1655"/>
      <c r="E577" s="1655"/>
      <c r="F577" s="1655"/>
      <c r="G577" s="1655"/>
      <c r="H577" s="1655"/>
      <c r="I577" s="1655"/>
      <c r="J577" s="1655"/>
      <c r="K577" s="1655"/>
      <c r="L577" s="1655"/>
      <c r="M577" s="1655"/>
      <c r="N577" s="1655"/>
      <c r="O577" s="1655"/>
      <c r="P577" s="1655"/>
      <c r="Q577" s="1655"/>
      <c r="R577" s="1655"/>
      <c r="S577" s="1655"/>
      <c r="T577" s="1655"/>
      <c r="U577" s="1655"/>
      <c r="V577" s="1655"/>
      <c r="W577" s="1655"/>
      <c r="X577" s="1655"/>
      <c r="Y577" s="1655"/>
      <c r="Z577" s="1655"/>
      <c r="AA577" s="1655"/>
      <c r="AB577" s="1655"/>
      <c r="AC577" s="1655"/>
      <c r="AD577" s="1655"/>
      <c r="AE577" s="1655"/>
      <c r="AF577" s="1655"/>
      <c r="AG577" s="1655"/>
      <c r="AH577" s="1655"/>
      <c r="AI577" s="1655"/>
      <c r="AJ577" s="1655"/>
      <c r="AK577" s="1655"/>
      <c r="AL577" s="1655"/>
      <c r="AM577" s="1655"/>
      <c r="AN577" s="1655"/>
      <c r="AO577" s="1655"/>
      <c r="AP577" s="1655"/>
      <c r="AQ577" s="1655"/>
      <c r="AR577" s="1655"/>
      <c r="AS577" s="1655"/>
      <c r="AT577" s="1655"/>
      <c r="AU577" s="1655"/>
      <c r="AV577" s="1655"/>
      <c r="AW577" s="1655"/>
      <c r="AX577" s="1655"/>
      <c r="AY577" s="1655"/>
      <c r="AZ577" s="1655"/>
      <c r="BA577" s="1655"/>
      <c r="BB577" s="1655"/>
      <c r="BC577" s="1655"/>
      <c r="BD577" s="1655"/>
      <c r="BE577" s="1655"/>
      <c r="BF577" s="1655"/>
      <c r="BG577" s="1655"/>
      <c r="BH577" s="1655"/>
      <c r="BI577" s="1655"/>
      <c r="BJ577" s="1655"/>
      <c r="BK577" s="1655"/>
      <c r="BL577" s="1655"/>
      <c r="BM577" s="1655"/>
      <c r="BN577" s="1655"/>
      <c r="BO577" s="1655"/>
      <c r="BP577" s="1655"/>
      <c r="BQ577" s="1655"/>
      <c r="BR577" s="1655"/>
      <c r="BS577" s="1655"/>
      <c r="BT577" s="1655"/>
      <c r="BU577" s="1655"/>
      <c r="BV577" s="1655"/>
      <c r="BW577" s="1655"/>
      <c r="BX577" s="1655"/>
      <c r="BY577" s="1655"/>
      <c r="BZ577" s="1655"/>
      <c r="CA577" s="1655"/>
      <c r="CB577" s="1655"/>
      <c r="CC577" s="1655"/>
      <c r="CD577" s="1655"/>
      <c r="CE577" s="1655"/>
      <c r="CF577" s="1655"/>
      <c r="CG577" s="1655"/>
      <c r="CH577" s="1655"/>
      <c r="CI577" s="1655"/>
      <c r="CJ577" s="1655"/>
      <c r="CK577" s="1655"/>
      <c r="CL577" s="1655"/>
      <c r="CM577" s="1655"/>
      <c r="CN577" s="1655"/>
      <c r="CO577" s="1655"/>
      <c r="CP577" s="1655"/>
      <c r="CQ577" s="1655"/>
      <c r="CR577" s="1655"/>
      <c r="CS577" s="1655"/>
      <c r="CT577" s="1655"/>
      <c r="CU577" s="1655"/>
      <c r="CV577" s="1655"/>
      <c r="CW577" s="1655"/>
      <c r="CX577" s="1655"/>
      <c r="CY577" s="1655"/>
      <c r="CZ577" s="1655"/>
      <c r="DA577" s="1655"/>
      <c r="DB577" s="1655"/>
      <c r="DC577" s="1655"/>
      <c r="DD577" s="1655"/>
      <c r="DE577" s="1655"/>
      <c r="DF577" s="1655"/>
      <c r="DG577" s="1655"/>
      <c r="DH577" s="1655"/>
      <c r="DI577" s="1655"/>
      <c r="DJ577" s="1655"/>
      <c r="DK577" s="1655"/>
      <c r="DL577" s="1655"/>
      <c r="DM577" s="1655"/>
      <c r="DN577" s="1655"/>
      <c r="DO577" s="1655"/>
      <c r="DP577" s="1655"/>
      <c r="DQ577" s="1655"/>
      <c r="DR577" s="1655"/>
      <c r="DS577" s="1655"/>
      <c r="DT577" s="1655"/>
      <c r="DU577" s="1655"/>
      <c r="DV577" s="1655"/>
      <c r="DW577" s="1655"/>
      <c r="DX577" s="1655"/>
      <c r="DY577" s="1655"/>
      <c r="DZ577" s="1655"/>
      <c r="EA577" s="1655"/>
      <c r="EB577" s="1655"/>
      <c r="EC577" s="1655"/>
      <c r="ED577" s="1655"/>
      <c r="EE577" s="1655"/>
      <c r="EF577" s="1655"/>
      <c r="EG577" s="1655"/>
      <c r="EH577" s="1655"/>
      <c r="EI577" s="1655"/>
      <c r="EJ577" s="1655"/>
      <c r="EK577" s="1655"/>
      <c r="EL577" s="1655"/>
      <c r="EM577" s="1655"/>
      <c r="EN577" s="1655"/>
      <c r="EO577" s="1655"/>
      <c r="EP577" s="1655"/>
      <c r="EQ577" s="1655"/>
      <c r="ER577" s="1655"/>
      <c r="ES577" s="1655"/>
      <c r="ET577" s="1655"/>
      <c r="EU577" s="1655"/>
      <c r="EV577" s="1655"/>
      <c r="EW577" s="1655"/>
      <c r="EX577" s="1655"/>
      <c r="EY577" s="1655"/>
      <c r="EZ577" s="1655"/>
      <c r="FA577" s="1655"/>
      <c r="FB577" s="1655"/>
      <c r="FC577" s="1655"/>
      <c r="FD577" s="1655"/>
      <c r="FE577" s="1655"/>
      <c r="FF577" s="1655"/>
      <c r="FG577" s="1655"/>
      <c r="FH577" s="1655"/>
      <c r="FI577" s="1655"/>
    </row>
    <row r="578" spans="1:165">
      <c r="A578" s="1655"/>
      <c r="B578" s="1655"/>
      <c r="C578" s="1655"/>
      <c r="D578" s="1655"/>
      <c r="E578" s="1655"/>
      <c r="F578" s="1655"/>
      <c r="G578" s="1655"/>
      <c r="H578" s="1655"/>
      <c r="I578" s="1655"/>
      <c r="J578" s="1655"/>
      <c r="K578" s="1655"/>
      <c r="L578" s="1655"/>
      <c r="M578" s="1655"/>
      <c r="N578" s="1655"/>
      <c r="O578" s="1655"/>
      <c r="P578" s="1655"/>
      <c r="Q578" s="1655"/>
      <c r="R578" s="1655"/>
      <c r="S578" s="1655"/>
      <c r="T578" s="1655"/>
      <c r="U578" s="1655"/>
      <c r="V578" s="1655"/>
      <c r="W578" s="1655"/>
      <c r="X578" s="1655"/>
      <c r="Y578" s="1655"/>
      <c r="Z578" s="1655"/>
      <c r="AA578" s="1655"/>
      <c r="AB578" s="1655"/>
      <c r="AC578" s="1655"/>
      <c r="AD578" s="1655"/>
      <c r="AE578" s="1655"/>
      <c r="AF578" s="1655"/>
      <c r="AG578" s="1655"/>
      <c r="AH578" s="1655"/>
      <c r="AI578" s="1655"/>
      <c r="AJ578" s="1655"/>
      <c r="AK578" s="1655"/>
      <c r="AL578" s="1655"/>
      <c r="AM578" s="1655"/>
      <c r="AN578" s="1655"/>
      <c r="AO578" s="1655"/>
      <c r="AP578" s="1655"/>
      <c r="AQ578" s="1655"/>
      <c r="AR578" s="1655"/>
      <c r="AS578" s="1655"/>
      <c r="AT578" s="1655"/>
      <c r="AU578" s="1655"/>
      <c r="AV578" s="1655"/>
      <c r="AW578" s="1655"/>
      <c r="AX578" s="1655"/>
      <c r="AY578" s="1655"/>
      <c r="AZ578" s="1655"/>
      <c r="BA578" s="1655"/>
      <c r="BB578" s="1655"/>
      <c r="BC578" s="1655"/>
      <c r="BD578" s="1655"/>
      <c r="BE578" s="1655"/>
      <c r="BF578" s="1655"/>
      <c r="BG578" s="1655"/>
      <c r="BH578" s="1655"/>
      <c r="BI578" s="1655"/>
      <c r="BJ578" s="1655"/>
      <c r="BK578" s="1655"/>
      <c r="BL578" s="1655"/>
      <c r="BM578" s="1655"/>
      <c r="BN578" s="1655"/>
      <c r="BO578" s="1655"/>
      <c r="BP578" s="1655"/>
      <c r="BQ578" s="1655"/>
      <c r="BR578" s="1655"/>
      <c r="BS578" s="1655"/>
      <c r="BT578" s="1655"/>
      <c r="BU578" s="1655"/>
      <c r="BV578" s="1655"/>
      <c r="BW578" s="1655"/>
      <c r="BX578" s="1655"/>
      <c r="BY578" s="1655"/>
      <c r="BZ578" s="1655"/>
      <c r="CA578" s="1655"/>
      <c r="CB578" s="1655"/>
      <c r="CC578" s="1655"/>
      <c r="CD578" s="1655"/>
      <c r="CE578" s="1655"/>
      <c r="CF578" s="1655"/>
      <c r="CG578" s="1655"/>
      <c r="CH578" s="1655"/>
      <c r="CI578" s="1655"/>
      <c r="CJ578" s="1655"/>
      <c r="CK578" s="1655"/>
      <c r="CL578" s="1655"/>
      <c r="CM578" s="1655"/>
      <c r="CN578" s="1655"/>
      <c r="CO578" s="1655"/>
      <c r="CP578" s="1655"/>
      <c r="CQ578" s="1655"/>
      <c r="CR578" s="1655"/>
      <c r="CS578" s="1655"/>
      <c r="CT578" s="1655"/>
      <c r="CU578" s="1655"/>
      <c r="CV578" s="1655"/>
      <c r="CW578" s="1655"/>
      <c r="CX578" s="1655"/>
      <c r="CY578" s="1655"/>
      <c r="CZ578" s="1655"/>
      <c r="DA578" s="1655"/>
      <c r="DB578" s="1655"/>
      <c r="DC578" s="1655"/>
      <c r="DD578" s="1655"/>
      <c r="DE578" s="1655"/>
      <c r="DF578" s="1655"/>
      <c r="DG578" s="1655"/>
      <c r="DH578" s="1655"/>
      <c r="DI578" s="1655"/>
      <c r="DJ578" s="1655"/>
      <c r="DK578" s="1655"/>
      <c r="DL578" s="1655"/>
      <c r="DM578" s="1655"/>
      <c r="DN578" s="1655"/>
      <c r="DO578" s="1655"/>
      <c r="DP578" s="1655"/>
      <c r="DQ578" s="1655"/>
      <c r="DR578" s="1655"/>
      <c r="DS578" s="1655"/>
      <c r="DT578" s="1655"/>
      <c r="DU578" s="1655"/>
      <c r="DV578" s="1655"/>
      <c r="DW578" s="1655"/>
      <c r="DX578" s="1655"/>
      <c r="DY578" s="1655"/>
      <c r="DZ578" s="1655"/>
      <c r="EA578" s="1655"/>
      <c r="EB578" s="1655"/>
      <c r="EC578" s="1655"/>
      <c r="ED578" s="1655"/>
      <c r="EE578" s="1655"/>
      <c r="EF578" s="1655"/>
      <c r="EG578" s="1655"/>
      <c r="EH578" s="1655"/>
      <c r="EI578" s="1655"/>
      <c r="EJ578" s="1655"/>
      <c r="EK578" s="1655"/>
      <c r="EL578" s="1655"/>
      <c r="EM578" s="1655"/>
      <c r="EN578" s="1655"/>
      <c r="EO578" s="1655"/>
      <c r="EP578" s="1655"/>
      <c r="EQ578" s="1655"/>
      <c r="ER578" s="1655"/>
      <c r="ES578" s="1655"/>
      <c r="ET578" s="1655"/>
      <c r="EU578" s="1655"/>
      <c r="EV578" s="1655"/>
      <c r="EW578" s="1655"/>
      <c r="EX578" s="1655"/>
      <c r="EY578" s="1655"/>
      <c r="EZ578" s="1655"/>
      <c r="FA578" s="1655"/>
      <c r="FB578" s="1655"/>
      <c r="FC578" s="1655"/>
      <c r="FD578" s="1655"/>
      <c r="FE578" s="1655"/>
      <c r="FF578" s="1655"/>
      <c r="FG578" s="1655"/>
      <c r="FH578" s="1655"/>
      <c r="FI578" s="1655"/>
    </row>
    <row r="579" spans="1:165">
      <c r="A579" s="1655"/>
      <c r="B579" s="1655"/>
      <c r="C579" s="1655"/>
      <c r="D579" s="1655"/>
      <c r="E579" s="1655"/>
      <c r="F579" s="1655"/>
      <c r="G579" s="1655"/>
      <c r="H579" s="1655"/>
      <c r="I579" s="1655"/>
      <c r="J579" s="1655"/>
      <c r="K579" s="1655"/>
      <c r="L579" s="1655"/>
      <c r="M579" s="1655"/>
      <c r="N579" s="1655"/>
      <c r="O579" s="1655"/>
      <c r="P579" s="1655"/>
      <c r="Q579" s="1655"/>
      <c r="R579" s="1655"/>
      <c r="S579" s="1655"/>
      <c r="T579" s="1655"/>
      <c r="U579" s="1655"/>
      <c r="V579" s="1655"/>
      <c r="W579" s="1655"/>
      <c r="X579" s="1655"/>
      <c r="Y579" s="1655"/>
      <c r="Z579" s="1655"/>
      <c r="AA579" s="1655"/>
      <c r="AB579" s="1655"/>
      <c r="AC579" s="1655"/>
      <c r="AD579" s="1655"/>
      <c r="AE579" s="1655"/>
      <c r="AF579" s="1655"/>
      <c r="AG579" s="1655"/>
      <c r="AH579" s="1655"/>
      <c r="AI579" s="1655"/>
      <c r="AJ579" s="1655"/>
      <c r="AK579" s="1655"/>
      <c r="AL579" s="1655"/>
      <c r="AM579" s="1655"/>
      <c r="AN579" s="1655"/>
      <c r="AO579" s="1655"/>
      <c r="AP579" s="1655"/>
      <c r="AQ579" s="1655"/>
      <c r="AR579" s="1655"/>
      <c r="AS579" s="1655"/>
      <c r="AT579" s="1655"/>
      <c r="AU579" s="1655"/>
      <c r="AV579" s="1655"/>
      <c r="AW579" s="1655"/>
      <c r="AX579" s="1655"/>
      <c r="AY579" s="1655"/>
      <c r="AZ579" s="1655"/>
      <c r="BA579" s="1655"/>
      <c r="BB579" s="1655"/>
      <c r="BC579" s="1655"/>
      <c r="BD579" s="1655"/>
      <c r="BE579" s="1655"/>
      <c r="BF579" s="1655"/>
      <c r="BG579" s="1655"/>
      <c r="BH579" s="1655"/>
      <c r="BI579" s="1655"/>
      <c r="BJ579" s="1655"/>
      <c r="BK579" s="1655"/>
      <c r="BL579" s="1655"/>
      <c r="BM579" s="1655"/>
      <c r="BN579" s="1655"/>
      <c r="BO579" s="1655"/>
      <c r="BP579" s="1655"/>
      <c r="BQ579" s="1655"/>
      <c r="BR579" s="1655"/>
      <c r="BS579" s="1655"/>
      <c r="BT579" s="1655"/>
      <c r="BU579" s="1655"/>
      <c r="BV579" s="1655"/>
      <c r="BW579" s="1655"/>
      <c r="BX579" s="1655"/>
      <c r="BY579" s="1655"/>
      <c r="BZ579" s="1655"/>
      <c r="CA579" s="1655"/>
      <c r="CB579" s="1655"/>
      <c r="CC579" s="1655"/>
      <c r="CD579" s="1655"/>
      <c r="CE579" s="1655"/>
      <c r="CF579" s="1655"/>
      <c r="CG579" s="1655"/>
      <c r="CH579" s="1655"/>
      <c r="CI579" s="1655"/>
      <c r="CJ579" s="1655"/>
      <c r="CK579" s="1655"/>
      <c r="CL579" s="1655"/>
      <c r="CM579" s="1655"/>
      <c r="CN579" s="1655"/>
      <c r="CO579" s="1655"/>
      <c r="CP579" s="1655"/>
      <c r="CQ579" s="1655"/>
      <c r="CR579" s="1655"/>
      <c r="CS579" s="1655"/>
      <c r="CT579" s="1655"/>
      <c r="CU579" s="1655"/>
      <c r="CV579" s="1655"/>
      <c r="CW579" s="1655"/>
      <c r="CX579" s="1655"/>
      <c r="CY579" s="1655"/>
      <c r="CZ579" s="1655"/>
      <c r="DA579" s="1655"/>
      <c r="DB579" s="1655"/>
      <c r="DC579" s="1655"/>
      <c r="DD579" s="1655"/>
      <c r="DE579" s="1655"/>
      <c r="DF579" s="1655"/>
      <c r="DG579" s="1655"/>
      <c r="DH579" s="1655"/>
      <c r="DI579" s="1655"/>
      <c r="DJ579" s="1655"/>
      <c r="DK579" s="1655"/>
      <c r="DL579" s="1655"/>
      <c r="DM579" s="1655"/>
      <c r="DN579" s="1655"/>
      <c r="DO579" s="1655"/>
      <c r="DP579" s="1655"/>
      <c r="DQ579" s="1655"/>
      <c r="DR579" s="1655"/>
      <c r="DS579" s="1655"/>
      <c r="DT579" s="1655"/>
      <c r="DU579" s="1655"/>
      <c r="DV579" s="1655"/>
      <c r="DW579" s="1655"/>
      <c r="DX579" s="1655"/>
      <c r="DY579" s="1655"/>
      <c r="DZ579" s="1655"/>
      <c r="EA579" s="1655"/>
      <c r="EB579" s="1655"/>
      <c r="EC579" s="1655"/>
      <c r="ED579" s="1655"/>
      <c r="EE579" s="1655"/>
      <c r="EF579" s="1655"/>
      <c r="EG579" s="1655"/>
      <c r="EH579" s="1655"/>
      <c r="EI579" s="1655"/>
      <c r="EJ579" s="1655"/>
      <c r="EK579" s="1655"/>
      <c r="EL579" s="1655"/>
      <c r="EM579" s="1655"/>
      <c r="EN579" s="1655"/>
      <c r="EO579" s="1655"/>
      <c r="EP579" s="1655"/>
      <c r="EQ579" s="1655"/>
      <c r="ER579" s="1655"/>
      <c r="ES579" s="1655"/>
      <c r="ET579" s="1655"/>
      <c r="EU579" s="1655"/>
      <c r="EV579" s="1655"/>
      <c r="EW579" s="1655"/>
      <c r="EX579" s="1655"/>
      <c r="EY579" s="1655"/>
      <c r="EZ579" s="1655"/>
      <c r="FA579" s="1655"/>
      <c r="FB579" s="1655"/>
      <c r="FC579" s="1655"/>
      <c r="FD579" s="1655"/>
      <c r="FE579" s="1655"/>
      <c r="FF579" s="1655"/>
      <c r="FG579" s="1655"/>
      <c r="FH579" s="1655"/>
      <c r="FI579" s="1655"/>
    </row>
    <row r="580" spans="1:165">
      <c r="A580" s="1655"/>
      <c r="B580" s="1655"/>
      <c r="C580" s="1655"/>
      <c r="D580" s="1655"/>
      <c r="E580" s="1655"/>
      <c r="F580" s="1655"/>
      <c r="G580" s="1655"/>
      <c r="H580" s="1655"/>
      <c r="I580" s="1655"/>
      <c r="J580" s="1655"/>
      <c r="K580" s="1655"/>
      <c r="L580" s="1655"/>
      <c r="M580" s="1655"/>
      <c r="N580" s="1655"/>
      <c r="O580" s="1655"/>
      <c r="P580" s="1655"/>
      <c r="Q580" s="1655"/>
      <c r="R580" s="1655"/>
      <c r="S580" s="1655"/>
      <c r="T580" s="1655"/>
      <c r="U580" s="1655"/>
      <c r="V580" s="1655"/>
      <c r="W580" s="1655"/>
      <c r="X580" s="1655"/>
      <c r="Y580" s="1655"/>
      <c r="Z580" s="1655"/>
      <c r="AA580" s="1655"/>
      <c r="AB580" s="1655"/>
      <c r="AC580" s="1655"/>
      <c r="AD580" s="1655"/>
      <c r="AE580" s="1655"/>
      <c r="AF580" s="1655"/>
      <c r="AG580" s="1655"/>
      <c r="AH580" s="1655"/>
      <c r="AI580" s="1655"/>
      <c r="AJ580" s="1655"/>
      <c r="AK580" s="1655"/>
      <c r="AL580" s="1655"/>
      <c r="AM580" s="1655"/>
      <c r="AN580" s="1655"/>
      <c r="AO580" s="1655"/>
      <c r="AP580" s="1655"/>
      <c r="AQ580" s="1655"/>
      <c r="AR580" s="1655"/>
      <c r="AS580" s="1655"/>
      <c r="AT580" s="1655"/>
      <c r="AU580" s="1655"/>
      <c r="AV580" s="1655"/>
      <c r="AW580" s="1655"/>
      <c r="AX580" s="1655"/>
      <c r="AY580" s="1655"/>
      <c r="AZ580" s="1655"/>
      <c r="BA580" s="1655"/>
      <c r="BB580" s="1655"/>
      <c r="BC580" s="1655"/>
      <c r="BD580" s="1655"/>
      <c r="BE580" s="1655"/>
      <c r="BF580" s="1655"/>
      <c r="BG580" s="1655"/>
      <c r="BH580" s="1655"/>
      <c r="BI580" s="1655"/>
      <c r="BJ580" s="1655"/>
      <c r="BK580" s="1655"/>
      <c r="BL580" s="1655"/>
      <c r="BM580" s="1655"/>
      <c r="BN580" s="1655"/>
      <c r="BO580" s="1655"/>
      <c r="BP580" s="1655"/>
      <c r="BQ580" s="1655"/>
      <c r="BR580" s="1655"/>
      <c r="BS580" s="1655"/>
      <c r="BT580" s="1655"/>
      <c r="BU580" s="1655"/>
      <c r="BV580" s="1655"/>
      <c r="BW580" s="1655"/>
      <c r="BX580" s="1655"/>
      <c r="BY580" s="1655"/>
      <c r="BZ580" s="1655"/>
      <c r="CA580" s="1655"/>
      <c r="CB580" s="1655"/>
      <c r="CC580" s="1655"/>
      <c r="CD580" s="1655"/>
      <c r="CE580" s="1655"/>
      <c r="CF580" s="1655"/>
      <c r="CG580" s="1655"/>
      <c r="CH580" s="1655"/>
      <c r="CI580" s="1655"/>
      <c r="CJ580" s="1655"/>
      <c r="CK580" s="1655"/>
      <c r="CL580" s="1655"/>
      <c r="CM580" s="1655"/>
      <c r="CN580" s="1655"/>
      <c r="CO580" s="1655"/>
      <c r="CP580" s="1655"/>
      <c r="CQ580" s="1655"/>
      <c r="CR580" s="1655"/>
      <c r="CS580" s="1655"/>
      <c r="CT580" s="1655"/>
      <c r="CU580" s="1655"/>
      <c r="CV580" s="1655"/>
      <c r="CW580" s="1655"/>
      <c r="CX580" s="1655"/>
      <c r="CY580" s="1655"/>
      <c r="CZ580" s="1655"/>
      <c r="DA580" s="1655"/>
      <c r="DB580" s="1655"/>
      <c r="DC580" s="1655"/>
      <c r="DD580" s="1655"/>
      <c r="DE580" s="1655"/>
      <c r="DF580" s="1655"/>
      <c r="DG580" s="1655"/>
      <c r="DH580" s="1655"/>
      <c r="DI580" s="1655"/>
      <c r="DJ580" s="1655"/>
      <c r="DK580" s="1655"/>
      <c r="DL580" s="1655"/>
      <c r="DM580" s="1655"/>
      <c r="DN580" s="1655"/>
      <c r="DO580" s="1655"/>
      <c r="DP580" s="1655"/>
      <c r="DQ580" s="1655"/>
      <c r="DR580" s="1655"/>
      <c r="DS580" s="1655"/>
      <c r="DT580" s="1655"/>
      <c r="DU580" s="1655"/>
      <c r="DV580" s="1655"/>
      <c r="DW580" s="1655"/>
      <c r="DX580" s="1655"/>
      <c r="DY580" s="1655"/>
      <c r="DZ580" s="1655"/>
      <c r="EA580" s="1655"/>
      <c r="EB580" s="1655"/>
      <c r="EC580" s="1655"/>
      <c r="ED580" s="1655"/>
      <c r="EE580" s="1655"/>
      <c r="EF580" s="1655"/>
      <c r="EG580" s="1655"/>
      <c r="EH580" s="1655"/>
      <c r="EI580" s="1655"/>
      <c r="EJ580" s="1655"/>
      <c r="EK580" s="1655"/>
      <c r="EL580" s="1655"/>
      <c r="EM580" s="1655"/>
      <c r="EN580" s="1655"/>
      <c r="EO580" s="1655"/>
      <c r="EP580" s="1655"/>
      <c r="EQ580" s="1655"/>
      <c r="ER580" s="1655"/>
      <c r="ES580" s="1655"/>
      <c r="ET580" s="1655"/>
      <c r="EU580" s="1655"/>
      <c r="EV580" s="1655"/>
      <c r="EW580" s="1655"/>
      <c r="EX580" s="1655"/>
      <c r="EY580" s="1655"/>
      <c r="EZ580" s="1655"/>
      <c r="FA580" s="1655"/>
      <c r="FB580" s="1655"/>
      <c r="FC580" s="1655"/>
      <c r="FD580" s="1655"/>
      <c r="FE580" s="1655"/>
      <c r="FF580" s="1655"/>
      <c r="FG580" s="1655"/>
      <c r="FH580" s="1655"/>
      <c r="FI580" s="1655"/>
    </row>
    <row r="581" spans="1:165">
      <c r="A581" s="1655"/>
      <c r="B581" s="1655"/>
      <c r="C581" s="1655"/>
      <c r="D581" s="1655"/>
      <c r="E581" s="1655"/>
      <c r="F581" s="1655"/>
      <c r="G581" s="1655"/>
      <c r="H581" s="1655"/>
      <c r="I581" s="1655"/>
      <c r="J581" s="1655"/>
      <c r="K581" s="1655"/>
      <c r="L581" s="1655"/>
      <c r="M581" s="1655"/>
      <c r="N581" s="1655"/>
      <c r="O581" s="1655"/>
      <c r="P581" s="1655"/>
      <c r="Q581" s="1655"/>
      <c r="R581" s="1655"/>
      <c r="S581" s="1655"/>
      <c r="T581" s="1655"/>
      <c r="U581" s="1655"/>
      <c r="V581" s="1655"/>
      <c r="W581" s="1655"/>
      <c r="X581" s="1655"/>
      <c r="Y581" s="1655"/>
      <c r="Z581" s="1655"/>
      <c r="AA581" s="1655"/>
      <c r="AB581" s="1655"/>
      <c r="AC581" s="1655"/>
      <c r="AD581" s="1655"/>
      <c r="AE581" s="1655"/>
      <c r="AF581" s="1655"/>
      <c r="AG581" s="1655"/>
      <c r="AH581" s="1655"/>
      <c r="AI581" s="1655"/>
      <c r="AJ581" s="1655"/>
      <c r="AK581" s="1655"/>
      <c r="AL581" s="1655"/>
      <c r="AM581" s="1655"/>
      <c r="AN581" s="1655"/>
      <c r="AO581" s="1655"/>
      <c r="AP581" s="1655"/>
      <c r="AQ581" s="1655"/>
      <c r="AR581" s="1655"/>
      <c r="AS581" s="1655"/>
      <c r="AT581" s="1655"/>
      <c r="AU581" s="1655"/>
      <c r="AV581" s="1655"/>
      <c r="AW581" s="1655"/>
      <c r="AX581" s="1655"/>
      <c r="AY581" s="1655"/>
      <c r="AZ581" s="1655"/>
      <c r="BA581" s="1655"/>
      <c r="BB581" s="1655"/>
      <c r="BC581" s="1655"/>
      <c r="BD581" s="1655"/>
      <c r="BE581" s="1655"/>
      <c r="BF581" s="1655"/>
      <c r="BG581" s="1655"/>
      <c r="BH581" s="1655"/>
      <c r="BI581" s="1655"/>
      <c r="BJ581" s="1655"/>
      <c r="BK581" s="1655"/>
      <c r="BL581" s="1655"/>
      <c r="BM581" s="1655"/>
      <c r="BN581" s="1655"/>
      <c r="BO581" s="1655"/>
      <c r="BP581" s="1655"/>
      <c r="BQ581" s="1655"/>
      <c r="BR581" s="1655"/>
      <c r="BS581" s="1655"/>
      <c r="BT581" s="1655"/>
      <c r="BU581" s="1655"/>
      <c r="BV581" s="1655"/>
      <c r="BW581" s="1655"/>
      <c r="BX581" s="1655"/>
      <c r="BY581" s="1655"/>
      <c r="BZ581" s="1655"/>
      <c r="CA581" s="1655"/>
      <c r="CB581" s="1655"/>
      <c r="CC581" s="1655"/>
      <c r="CD581" s="1655"/>
      <c r="CE581" s="1655"/>
      <c r="CF581" s="1655"/>
      <c r="CG581" s="1655"/>
      <c r="CH581" s="1655"/>
      <c r="CI581" s="1655"/>
      <c r="CJ581" s="1655"/>
      <c r="CK581" s="1655"/>
      <c r="CL581" s="1655"/>
      <c r="CM581" s="1655"/>
      <c r="CN581" s="1655"/>
      <c r="CO581" s="1655"/>
      <c r="CP581" s="1655"/>
      <c r="CQ581" s="1655"/>
      <c r="CR581" s="1655"/>
      <c r="CS581" s="1655"/>
      <c r="CT581" s="1655"/>
      <c r="CU581" s="1655"/>
      <c r="CV581" s="1655"/>
      <c r="CW581" s="1655"/>
      <c r="CX581" s="1655"/>
      <c r="CY581" s="1655"/>
      <c r="CZ581" s="1655"/>
      <c r="DA581" s="1655"/>
      <c r="DB581" s="1655"/>
      <c r="DC581" s="1655"/>
      <c r="DD581" s="1655"/>
      <c r="DE581" s="1655"/>
      <c r="DF581" s="1655"/>
      <c r="DG581" s="1655"/>
      <c r="DH581" s="1655"/>
      <c r="DI581" s="1655"/>
      <c r="DJ581" s="1655"/>
      <c r="DK581" s="1655"/>
      <c r="DL581" s="1655"/>
      <c r="DM581" s="1655"/>
      <c r="DN581" s="1655"/>
      <c r="DO581" s="1655"/>
      <c r="DP581" s="1655"/>
      <c r="DQ581" s="1655"/>
      <c r="DR581" s="1655"/>
      <c r="DS581" s="1655"/>
      <c r="DT581" s="1655"/>
      <c r="DU581" s="1655"/>
      <c r="DV581" s="1655"/>
      <c r="DW581" s="1655"/>
      <c r="DX581" s="1655"/>
      <c r="DY581" s="1655"/>
      <c r="DZ581" s="1655"/>
      <c r="EA581" s="1655"/>
      <c r="EB581" s="1655"/>
      <c r="EC581" s="1655"/>
      <c r="ED581" s="1655"/>
      <c r="EE581" s="1655"/>
      <c r="EF581" s="1655"/>
      <c r="EG581" s="1655"/>
      <c r="EH581" s="1655"/>
      <c r="EI581" s="1655"/>
      <c r="EJ581" s="1655"/>
      <c r="EK581" s="1655"/>
      <c r="EL581" s="1655"/>
      <c r="EM581" s="1655"/>
      <c r="EN581" s="1655"/>
      <c r="EO581" s="1655"/>
      <c r="EP581" s="1655"/>
      <c r="EQ581" s="1655"/>
      <c r="ER581" s="1655"/>
      <c r="ES581" s="1655"/>
      <c r="ET581" s="1655"/>
      <c r="EU581" s="1655"/>
      <c r="EV581" s="1655"/>
      <c r="EW581" s="1655"/>
      <c r="EX581" s="1655"/>
      <c r="EY581" s="1655"/>
      <c r="EZ581" s="1655"/>
      <c r="FA581" s="1655"/>
      <c r="FB581" s="1655"/>
      <c r="FC581" s="1655"/>
      <c r="FD581" s="1655"/>
      <c r="FE581" s="1655"/>
      <c r="FF581" s="1655"/>
      <c r="FG581" s="1655"/>
      <c r="FH581" s="1655"/>
      <c r="FI581" s="1655"/>
    </row>
    <row r="582" spans="1:165">
      <c r="A582" s="1655"/>
      <c r="B582" s="1655"/>
      <c r="C582" s="1655"/>
      <c r="D582" s="1655"/>
      <c r="E582" s="1655"/>
      <c r="F582" s="1655"/>
      <c r="G582" s="1655"/>
      <c r="H582" s="1655"/>
      <c r="I582" s="1655"/>
      <c r="J582" s="1655"/>
      <c r="K582" s="1655"/>
      <c r="L582" s="1655"/>
      <c r="M582" s="1655"/>
      <c r="N582" s="1655"/>
      <c r="O582" s="1655"/>
      <c r="P582" s="1655"/>
      <c r="Q582" s="1655"/>
      <c r="R582" s="1655"/>
      <c r="S582" s="1655"/>
      <c r="T582" s="1655"/>
      <c r="U582" s="1655"/>
      <c r="V582" s="1655"/>
      <c r="W582" s="1655"/>
      <c r="X582" s="1655"/>
      <c r="Y582" s="1655"/>
      <c r="Z582" s="1655"/>
      <c r="AA582" s="1655"/>
      <c r="AB582" s="1655"/>
      <c r="AC582" s="1655"/>
      <c r="AD582" s="1655"/>
      <c r="AE582" s="1655"/>
      <c r="AF582" s="1655"/>
      <c r="AG582" s="1655"/>
      <c r="AH582" s="1655"/>
      <c r="AI582" s="1655"/>
      <c r="AJ582" s="1655"/>
      <c r="AK582" s="1655"/>
      <c r="AL582" s="1655"/>
      <c r="AM582" s="1655"/>
      <c r="AN582" s="1655"/>
      <c r="AO582" s="1655"/>
      <c r="AP582" s="1655"/>
      <c r="AQ582" s="1655"/>
      <c r="AR582" s="1655"/>
      <c r="AS582" s="1655"/>
      <c r="AT582" s="1655"/>
      <c r="AU582" s="1655"/>
      <c r="AV582" s="1655"/>
      <c r="AW582" s="1655"/>
      <c r="AX582" s="1655"/>
      <c r="AY582" s="1655"/>
      <c r="AZ582" s="1655"/>
      <c r="BA582" s="1655"/>
      <c r="BB582" s="1655"/>
      <c r="BC582" s="1655"/>
      <c r="BD582" s="1655"/>
      <c r="BE582" s="1655"/>
      <c r="BF582" s="1655"/>
      <c r="BG582" s="1655"/>
      <c r="BH582" s="1655"/>
      <c r="BI582" s="1655"/>
      <c r="BJ582" s="1655"/>
      <c r="BK582" s="1655"/>
      <c r="BL582" s="1655"/>
      <c r="BM582" s="1655"/>
      <c r="BN582" s="1655"/>
      <c r="BO582" s="1655"/>
      <c r="BP582" s="1655"/>
      <c r="BQ582" s="1655"/>
      <c r="BR582" s="1655"/>
      <c r="BS582" s="1655"/>
      <c r="BT582" s="1655"/>
      <c r="BU582" s="1655"/>
      <c r="BV582" s="1655"/>
      <c r="BW582" s="1655"/>
      <c r="BX582" s="1655"/>
      <c r="BY582" s="1655"/>
      <c r="BZ582" s="1655"/>
      <c r="CA582" s="1655"/>
      <c r="CB582" s="1655"/>
      <c r="CC582" s="1655"/>
      <c r="CD582" s="1655"/>
      <c r="CE582" s="1655"/>
      <c r="CF582" s="1655"/>
      <c r="CG582" s="1655"/>
      <c r="CH582" s="1655"/>
      <c r="CI582" s="1655"/>
      <c r="CJ582" s="1655"/>
      <c r="CK582" s="1655"/>
      <c r="CL582" s="1655"/>
      <c r="CM582" s="1655"/>
      <c r="CN582" s="1655"/>
      <c r="CO582" s="1655"/>
      <c r="CP582" s="1655"/>
      <c r="CQ582" s="1655"/>
      <c r="CR582" s="1655"/>
      <c r="CS582" s="1655"/>
      <c r="CT582" s="1655"/>
      <c r="CU582" s="1655"/>
      <c r="CV582" s="1655"/>
      <c r="CW582" s="1655"/>
      <c r="CX582" s="1655"/>
      <c r="CY582" s="1655"/>
      <c r="CZ582" s="1655"/>
      <c r="DA582" s="1655"/>
      <c r="DB582" s="1655"/>
      <c r="DC582" s="1655"/>
      <c r="DD582" s="1655"/>
      <c r="DE582" s="1655"/>
      <c r="DF582" s="1655"/>
      <c r="DG582" s="1655"/>
      <c r="DH582" s="1655"/>
      <c r="DI582" s="1655"/>
      <c r="DJ582" s="1655"/>
      <c r="DK582" s="1655"/>
      <c r="DL582" s="1655"/>
      <c r="DM582" s="1655"/>
      <c r="DN582" s="1655"/>
      <c r="DO582" s="1655"/>
      <c r="DP582" s="1655"/>
      <c r="DQ582" s="1655"/>
      <c r="DR582" s="1655"/>
      <c r="DS582" s="1655"/>
      <c r="DT582" s="1655"/>
      <c r="DU582" s="1655"/>
      <c r="DV582" s="1655"/>
      <c r="DW582" s="1655"/>
      <c r="DX582" s="1655"/>
      <c r="DY582" s="1655"/>
      <c r="DZ582" s="1655"/>
      <c r="EA582" s="1655"/>
      <c r="EB582" s="1655"/>
      <c r="EC582" s="1655"/>
      <c r="ED582" s="1655"/>
      <c r="EE582" s="1655"/>
      <c r="EF582" s="1655"/>
      <c r="EG582" s="1655"/>
      <c r="EH582" s="1655"/>
      <c r="EI582" s="1655"/>
      <c r="EJ582" s="1655"/>
      <c r="EK582" s="1655"/>
      <c r="EL582" s="1655"/>
      <c r="EM582" s="1655"/>
      <c r="EN582" s="1655"/>
      <c r="EO582" s="1655"/>
      <c r="EP582" s="1655"/>
      <c r="EQ582" s="1655"/>
      <c r="ER582" s="1655"/>
      <c r="ES582" s="1655"/>
      <c r="ET582" s="1655"/>
      <c r="EU582" s="1655"/>
      <c r="EV582" s="1655"/>
      <c r="EW582" s="1655"/>
      <c r="EX582" s="1655"/>
      <c r="EY582" s="1655"/>
      <c r="EZ582" s="1655"/>
      <c r="FA582" s="1655"/>
      <c r="FB582" s="1655"/>
      <c r="FC582" s="1655"/>
      <c r="FD582" s="1655"/>
      <c r="FE582" s="1655"/>
      <c r="FF582" s="1655"/>
      <c r="FG582" s="1655"/>
      <c r="FH582" s="1655"/>
      <c r="FI582" s="1655"/>
    </row>
    <row r="583" spans="1:165">
      <c r="A583" s="1655"/>
      <c r="B583" s="1655"/>
      <c r="C583" s="1655"/>
      <c r="D583" s="1655"/>
      <c r="E583" s="1655"/>
      <c r="F583" s="1655"/>
      <c r="G583" s="1655"/>
      <c r="H583" s="1655"/>
      <c r="I583" s="1655"/>
      <c r="J583" s="1655"/>
      <c r="K583" s="1655"/>
      <c r="L583" s="1655"/>
      <c r="M583" s="1655"/>
      <c r="N583" s="1655"/>
      <c r="O583" s="1655"/>
      <c r="P583" s="1655"/>
      <c r="Q583" s="1655"/>
      <c r="R583" s="1655"/>
      <c r="S583" s="1655"/>
      <c r="T583" s="1655"/>
      <c r="U583" s="1655"/>
      <c r="V583" s="1655"/>
      <c r="W583" s="1655"/>
      <c r="X583" s="1655"/>
      <c r="Y583" s="1655"/>
      <c r="Z583" s="1655"/>
      <c r="AA583" s="1655"/>
      <c r="AB583" s="1655"/>
      <c r="AC583" s="1655"/>
      <c r="AD583" s="1655"/>
      <c r="AE583" s="1655"/>
      <c r="AF583" s="1655"/>
      <c r="AG583" s="1655"/>
      <c r="AH583" s="1655"/>
      <c r="AI583" s="1655"/>
      <c r="AJ583" s="1655"/>
      <c r="AK583" s="1655"/>
      <c r="AL583" s="1655"/>
      <c r="AM583" s="1655"/>
      <c r="AN583" s="1655"/>
      <c r="AO583" s="1655"/>
      <c r="AP583" s="1655"/>
      <c r="AQ583" s="1655"/>
      <c r="AR583" s="1655"/>
      <c r="AS583" s="1655"/>
      <c r="AT583" s="1655"/>
      <c r="AU583" s="1655"/>
      <c r="AV583" s="1655"/>
      <c r="AW583" s="1655"/>
      <c r="AX583" s="1655"/>
      <c r="AY583" s="1655"/>
      <c r="AZ583" s="1655"/>
      <c r="BA583" s="1655"/>
      <c r="BB583" s="1655"/>
      <c r="BC583" s="1655"/>
      <c r="BD583" s="1655"/>
      <c r="BE583" s="1655"/>
      <c r="BF583" s="1655"/>
      <c r="BG583" s="1655"/>
      <c r="BH583" s="1655"/>
      <c r="BI583" s="1655"/>
      <c r="BJ583" s="1655"/>
      <c r="BK583" s="1655"/>
      <c r="BL583" s="1655"/>
      <c r="BM583" s="1655"/>
      <c r="BN583" s="1655"/>
      <c r="BO583" s="1655"/>
      <c r="BP583" s="1655"/>
      <c r="BQ583" s="1655"/>
      <c r="BR583" s="1655"/>
      <c r="BS583" s="1655"/>
      <c r="BT583" s="1655"/>
      <c r="BU583" s="1655"/>
      <c r="BV583" s="1655"/>
      <c r="BW583" s="1655"/>
      <c r="BX583" s="1655"/>
      <c r="BY583" s="1655"/>
      <c r="BZ583" s="1655"/>
      <c r="CA583" s="1655"/>
      <c r="CB583" s="1655"/>
      <c r="CC583" s="1655"/>
      <c r="CD583" s="1655"/>
      <c r="CE583" s="1655"/>
      <c r="CF583" s="1655"/>
      <c r="CG583" s="1655"/>
      <c r="CH583" s="1655"/>
      <c r="CI583" s="1655"/>
      <c r="CJ583" s="1655"/>
      <c r="CK583" s="1655"/>
      <c r="CL583" s="1655"/>
      <c r="CM583" s="1655"/>
      <c r="CN583" s="1655"/>
      <c r="CO583" s="1655"/>
      <c r="CP583" s="1655"/>
      <c r="CQ583" s="1655"/>
      <c r="CR583" s="1655"/>
      <c r="CS583" s="1655"/>
      <c r="CT583" s="1655"/>
      <c r="CU583" s="1655"/>
      <c r="CV583" s="1655"/>
      <c r="CW583" s="1655"/>
      <c r="CX583" s="1655"/>
      <c r="CY583" s="1655"/>
      <c r="CZ583" s="1655"/>
      <c r="DA583" s="1655"/>
      <c r="DB583" s="1655"/>
      <c r="DC583" s="1655"/>
      <c r="DD583" s="1655"/>
      <c r="DE583" s="1655"/>
      <c r="DF583" s="1655"/>
      <c r="DG583" s="1655"/>
      <c r="DH583" s="1655"/>
      <c r="DI583" s="1655"/>
      <c r="DJ583" s="1655"/>
      <c r="DK583" s="1655"/>
      <c r="DL583" s="1655"/>
      <c r="DM583" s="1655"/>
      <c r="DN583" s="1655"/>
      <c r="DO583" s="1655"/>
      <c r="DP583" s="1655"/>
      <c r="DQ583" s="1655"/>
      <c r="DR583" s="1655"/>
      <c r="DS583" s="1655"/>
      <c r="DT583" s="1655"/>
      <c r="DU583" s="1655"/>
      <c r="DV583" s="1655"/>
      <c r="DW583" s="1655"/>
      <c r="DX583" s="1655"/>
      <c r="DY583" s="1655"/>
      <c r="DZ583" s="1655"/>
      <c r="EA583" s="1655"/>
      <c r="EB583" s="1655"/>
      <c r="EC583" s="1655"/>
      <c r="ED583" s="1655"/>
      <c r="EE583" s="1655"/>
      <c r="EF583" s="1655"/>
      <c r="EG583" s="1655"/>
      <c r="EH583" s="1655"/>
      <c r="EI583" s="1655"/>
      <c r="EJ583" s="1655"/>
      <c r="EK583" s="1655"/>
      <c r="EL583" s="1655"/>
      <c r="EM583" s="1655"/>
      <c r="EN583" s="1655"/>
      <c r="EO583" s="1655"/>
      <c r="EP583" s="1655"/>
      <c r="EQ583" s="1655"/>
      <c r="ER583" s="1655"/>
      <c r="ES583" s="1655"/>
      <c r="ET583" s="1655"/>
      <c r="EU583" s="1655"/>
      <c r="EV583" s="1655"/>
      <c r="EW583" s="1655"/>
      <c r="EX583" s="1655"/>
      <c r="EY583" s="1655"/>
      <c r="EZ583" s="1655"/>
      <c r="FA583" s="1655"/>
      <c r="FB583" s="1655"/>
      <c r="FC583" s="1655"/>
      <c r="FD583" s="1655"/>
      <c r="FE583" s="1655"/>
      <c r="FF583" s="1655"/>
      <c r="FG583" s="1655"/>
      <c r="FH583" s="1655"/>
      <c r="FI583" s="1655"/>
    </row>
    <row r="584" spans="1:165">
      <c r="A584" s="1655"/>
      <c r="B584" s="1655"/>
      <c r="C584" s="1655"/>
      <c r="D584" s="1655"/>
      <c r="E584" s="1655"/>
      <c r="F584" s="1655"/>
      <c r="G584" s="1655"/>
      <c r="H584" s="1655"/>
      <c r="I584" s="1655"/>
      <c r="J584" s="1655"/>
      <c r="K584" s="1655"/>
      <c r="L584" s="1655"/>
      <c r="M584" s="1655"/>
      <c r="N584" s="1655"/>
      <c r="O584" s="1655"/>
      <c r="P584" s="1655"/>
      <c r="Q584" s="1655"/>
      <c r="R584" s="1655"/>
      <c r="S584" s="1655"/>
      <c r="T584" s="1655"/>
      <c r="U584" s="1655"/>
      <c r="V584" s="1655"/>
      <c r="W584" s="1655"/>
      <c r="X584" s="1655"/>
      <c r="Y584" s="1655"/>
      <c r="Z584" s="1655"/>
      <c r="AA584" s="1655"/>
      <c r="AB584" s="1655"/>
      <c r="AC584" s="1655"/>
      <c r="AD584" s="1655"/>
      <c r="AE584" s="1655"/>
      <c r="AF584" s="1655"/>
      <c r="AG584" s="1655"/>
      <c r="AH584" s="1655"/>
      <c r="AI584" s="1655"/>
      <c r="AJ584" s="1655"/>
      <c r="AK584" s="1655"/>
      <c r="AL584" s="1655"/>
      <c r="AM584" s="1655"/>
      <c r="AN584" s="1655"/>
      <c r="AO584" s="1655"/>
      <c r="AP584" s="1655"/>
      <c r="AQ584" s="1655"/>
      <c r="AR584" s="1655"/>
      <c r="AS584" s="1655"/>
      <c r="AT584" s="1655"/>
      <c r="AU584" s="1655"/>
      <c r="AV584" s="1655"/>
      <c r="AW584" s="1655"/>
      <c r="AX584" s="1655"/>
      <c r="AY584" s="1655"/>
      <c r="AZ584" s="1655"/>
      <c r="BA584" s="1655"/>
      <c r="BB584" s="1655"/>
      <c r="BC584" s="1655"/>
      <c r="BD584" s="1655"/>
      <c r="BE584" s="1655"/>
      <c r="BF584" s="1655"/>
      <c r="BG584" s="1655"/>
      <c r="BH584" s="1655"/>
      <c r="BI584" s="1655"/>
      <c r="BJ584" s="1655"/>
      <c r="BK584" s="1655"/>
      <c r="BL584" s="1655"/>
      <c r="BM584" s="1655"/>
      <c r="BN584" s="1655"/>
      <c r="BO584" s="1655"/>
      <c r="BP584" s="1655"/>
      <c r="BQ584" s="1655"/>
      <c r="BR584" s="1655"/>
      <c r="BS584" s="1655"/>
      <c r="BT584" s="1655"/>
      <c r="BU584" s="1655"/>
      <c r="BV584" s="1655"/>
      <c r="BW584" s="1655"/>
      <c r="BX584" s="1655"/>
      <c r="BY584" s="1655"/>
      <c r="BZ584" s="1655"/>
      <c r="CA584" s="1655"/>
      <c r="CB584" s="1655"/>
      <c r="CC584" s="1655"/>
      <c r="CD584" s="1655"/>
      <c r="CE584" s="1655"/>
      <c r="CF584" s="1655"/>
      <c r="CG584" s="1655"/>
      <c r="CH584" s="1655"/>
      <c r="CI584" s="1655"/>
      <c r="CJ584" s="1655"/>
      <c r="CK584" s="1655"/>
      <c r="CL584" s="1655"/>
      <c r="CM584" s="1655"/>
      <c r="CN584" s="1655"/>
      <c r="CO584" s="1655"/>
      <c r="CP584" s="1655"/>
      <c r="CQ584" s="1655"/>
      <c r="CR584" s="1655"/>
      <c r="CS584" s="1655"/>
      <c r="CT584" s="1655"/>
      <c r="CU584" s="1655"/>
      <c r="CV584" s="1655"/>
      <c r="CW584" s="1655"/>
      <c r="CX584" s="1655"/>
      <c r="CY584" s="1655"/>
      <c r="CZ584" s="1655"/>
      <c r="DA584" s="1655"/>
      <c r="DB584" s="1655"/>
      <c r="DC584" s="1655"/>
      <c r="DD584" s="1655"/>
      <c r="DE584" s="1655"/>
      <c r="DF584" s="1655"/>
      <c r="DG584" s="1655"/>
      <c r="DH584" s="1655"/>
      <c r="DI584" s="1655"/>
      <c r="DJ584" s="1655"/>
      <c r="DK584" s="1655"/>
      <c r="DL584" s="1655"/>
      <c r="DM584" s="1655"/>
      <c r="DN584" s="1655"/>
      <c r="DO584" s="1655"/>
      <c r="DP584" s="1655"/>
      <c r="DQ584" s="1655"/>
      <c r="DR584" s="1655"/>
      <c r="DS584" s="1655"/>
      <c r="DT584" s="1655"/>
      <c r="DU584" s="1655"/>
      <c r="DV584" s="1655"/>
      <c r="DW584" s="1655"/>
      <c r="DX584" s="1655"/>
      <c r="DY584" s="1655"/>
      <c r="DZ584" s="1655"/>
      <c r="EA584" s="1655"/>
      <c r="EB584" s="1655"/>
      <c r="EC584" s="1655"/>
      <c r="ED584" s="1655"/>
      <c r="EE584" s="1655"/>
      <c r="EF584" s="1655"/>
      <c r="EG584" s="1655"/>
      <c r="EH584" s="1655"/>
      <c r="EI584" s="1655"/>
      <c r="EJ584" s="1655"/>
      <c r="EK584" s="1655"/>
      <c r="EL584" s="1655"/>
      <c r="EM584" s="1655"/>
      <c r="EN584" s="1655"/>
      <c r="EO584" s="1655"/>
      <c r="EP584" s="1655"/>
      <c r="EQ584" s="1655"/>
      <c r="ER584" s="1655"/>
      <c r="ES584" s="1655"/>
      <c r="ET584" s="1655"/>
      <c r="EU584" s="1655"/>
      <c r="EV584" s="1655"/>
      <c r="EW584" s="1655"/>
      <c r="EX584" s="1655"/>
      <c r="EY584" s="1655"/>
      <c r="EZ584" s="1655"/>
      <c r="FA584" s="1655"/>
      <c r="FB584" s="1655"/>
      <c r="FC584" s="1655"/>
      <c r="FD584" s="1655"/>
      <c r="FE584" s="1655"/>
      <c r="FF584" s="1655"/>
      <c r="FG584" s="1655"/>
      <c r="FH584" s="1655"/>
      <c r="FI584" s="1655"/>
    </row>
    <row r="585" spans="1:165">
      <c r="A585" s="1655"/>
      <c r="B585" s="1655"/>
      <c r="C585" s="1655"/>
      <c r="D585" s="1655"/>
      <c r="E585" s="1655"/>
      <c r="F585" s="1655"/>
      <c r="G585" s="1655"/>
      <c r="H585" s="1655"/>
      <c r="I585" s="1655"/>
      <c r="J585" s="1655"/>
      <c r="K585" s="1655"/>
      <c r="L585" s="1655"/>
      <c r="M585" s="1655"/>
      <c r="N585" s="1655"/>
      <c r="O585" s="1655"/>
      <c r="P585" s="1655"/>
      <c r="Q585" s="1655"/>
      <c r="R585" s="1655"/>
      <c r="S585" s="1655"/>
      <c r="T585" s="1655"/>
      <c r="U585" s="1655"/>
      <c r="V585" s="1655"/>
      <c r="W585" s="1655"/>
      <c r="X585" s="1655"/>
      <c r="Y585" s="1655"/>
      <c r="Z585" s="1655"/>
      <c r="AA585" s="1655"/>
      <c r="AB585" s="1655"/>
      <c r="AC585" s="1655"/>
      <c r="AD585" s="1655"/>
      <c r="AE585" s="1655"/>
      <c r="AF585" s="1655"/>
      <c r="AG585" s="1655"/>
      <c r="AH585" s="1655"/>
      <c r="AI585" s="1655"/>
      <c r="AJ585" s="1655"/>
      <c r="AK585" s="1655"/>
      <c r="AL585" s="1655"/>
      <c r="AM585" s="1655"/>
      <c r="AN585" s="1655"/>
      <c r="AO585" s="1655"/>
      <c r="AP585" s="1655"/>
      <c r="AQ585" s="1655"/>
      <c r="AR585" s="1655"/>
      <c r="AS585" s="1655"/>
      <c r="AT585" s="1655"/>
      <c r="AU585" s="1655"/>
      <c r="AV585" s="1655"/>
      <c r="AW585" s="1655"/>
      <c r="AX585" s="1655"/>
      <c r="AY585" s="1655"/>
      <c r="AZ585" s="1655"/>
      <c r="BA585" s="1655"/>
      <c r="BB585" s="1655"/>
      <c r="BC585" s="1655"/>
      <c r="BD585" s="1655"/>
      <c r="BE585" s="1655"/>
      <c r="BF585" s="1655"/>
      <c r="BG585" s="1655"/>
      <c r="BH585" s="1655"/>
      <c r="BI585" s="1655"/>
      <c r="BJ585" s="1655"/>
      <c r="BK585" s="1655"/>
      <c r="BL585" s="1655"/>
      <c r="BM585" s="1655"/>
      <c r="BN585" s="1655"/>
      <c r="BO585" s="1655"/>
      <c r="BP585" s="1655"/>
      <c r="BQ585" s="1655"/>
      <c r="BR585" s="1655"/>
      <c r="BS585" s="1655"/>
      <c r="BT585" s="1655"/>
      <c r="BU585" s="1655"/>
      <c r="BV585" s="1655"/>
      <c r="BW585" s="1655"/>
      <c r="BX585" s="1655"/>
      <c r="BY585" s="1655"/>
      <c r="BZ585" s="1655"/>
      <c r="CA585" s="1655"/>
      <c r="CB585" s="1655"/>
      <c r="CC585" s="1655"/>
      <c r="CD585" s="1655"/>
      <c r="CE585" s="1655"/>
      <c r="CF585" s="1655"/>
      <c r="CG585" s="1655"/>
      <c r="CH585" s="1655"/>
      <c r="CI585" s="1655"/>
      <c r="CJ585" s="1655"/>
      <c r="CK585" s="1655"/>
      <c r="CL585" s="1655"/>
      <c r="CM585" s="1655"/>
      <c r="CN585" s="1655"/>
      <c r="CO585" s="1655"/>
      <c r="CP585" s="1655"/>
      <c r="CQ585" s="1655"/>
      <c r="CR585" s="1655"/>
      <c r="CS585" s="1655"/>
      <c r="CT585" s="1655"/>
      <c r="CU585" s="1655"/>
      <c r="CV585" s="1655"/>
      <c r="CW585" s="1655"/>
      <c r="CX585" s="1655"/>
      <c r="CY585" s="1655"/>
      <c r="CZ585" s="1655"/>
      <c r="DA585" s="1655"/>
      <c r="DB585" s="1655"/>
      <c r="DC585" s="1655"/>
      <c r="DD585" s="1655"/>
      <c r="DE585" s="1655"/>
      <c r="DF585" s="1655"/>
      <c r="DG585" s="1655"/>
      <c r="DH585" s="1655"/>
      <c r="DI585" s="1655"/>
      <c r="DJ585" s="1655"/>
      <c r="DK585" s="1655"/>
      <c r="DL585" s="1655"/>
      <c r="DM585" s="1655"/>
      <c r="DN585" s="1655"/>
      <c r="DO585" s="1655"/>
      <c r="DP585" s="1655"/>
      <c r="DQ585" s="1655"/>
      <c r="DR585" s="1655"/>
      <c r="DS585" s="1655"/>
      <c r="DT585" s="1655"/>
      <c r="DU585" s="1655"/>
      <c r="DV585" s="1655"/>
      <c r="DW585" s="1655"/>
      <c r="DX585" s="1655"/>
      <c r="DY585" s="1655"/>
      <c r="DZ585" s="1655"/>
      <c r="EA585" s="1655"/>
      <c r="EB585" s="1655"/>
      <c r="EC585" s="1655"/>
      <c r="ED585" s="1655"/>
      <c r="EE585" s="1655"/>
      <c r="EF585" s="1655"/>
      <c r="EG585" s="1655"/>
      <c r="EH585" s="1655"/>
      <c r="EI585" s="1655"/>
      <c r="EJ585" s="1655"/>
      <c r="EK585" s="1655"/>
      <c r="EL585" s="1655"/>
      <c r="EM585" s="1655"/>
      <c r="EN585" s="1655"/>
      <c r="EO585" s="1655"/>
      <c r="EP585" s="1655"/>
      <c r="EQ585" s="1655"/>
      <c r="ER585" s="1655"/>
      <c r="ES585" s="1655"/>
      <c r="ET585" s="1655"/>
      <c r="EU585" s="1655"/>
      <c r="EV585" s="1655"/>
      <c r="EW585" s="1655"/>
      <c r="EX585" s="1655"/>
      <c r="EY585" s="1655"/>
      <c r="EZ585" s="1655"/>
      <c r="FA585" s="1655"/>
      <c r="FB585" s="1655"/>
      <c r="FC585" s="1655"/>
      <c r="FD585" s="1655"/>
      <c r="FE585" s="1655"/>
      <c r="FF585" s="1655"/>
      <c r="FG585" s="1655"/>
      <c r="FH585" s="1655"/>
      <c r="FI585" s="1655"/>
    </row>
    <row r="586" spans="1:165">
      <c r="A586" s="1655"/>
      <c r="B586" s="1655"/>
      <c r="C586" s="1655"/>
      <c r="D586" s="1655"/>
      <c r="E586" s="1655"/>
      <c r="F586" s="1655"/>
      <c r="G586" s="1655"/>
      <c r="H586" s="1655"/>
      <c r="I586" s="1655"/>
      <c r="J586" s="1655"/>
      <c r="K586" s="1655"/>
      <c r="L586" s="1655"/>
      <c r="M586" s="1655"/>
      <c r="N586" s="1655"/>
      <c r="O586" s="1655"/>
      <c r="P586" s="1655"/>
      <c r="Q586" s="1655"/>
      <c r="R586" s="1655"/>
      <c r="S586" s="1655"/>
      <c r="T586" s="1655"/>
      <c r="U586" s="1655"/>
      <c r="V586" s="1655"/>
      <c r="W586" s="1655"/>
      <c r="X586" s="1655"/>
      <c r="Y586" s="1655"/>
      <c r="Z586" s="1655"/>
      <c r="AA586" s="1655"/>
      <c r="AB586" s="1655"/>
      <c r="AC586" s="1655"/>
      <c r="AD586" s="1655"/>
      <c r="AE586" s="1655"/>
      <c r="AF586" s="1655"/>
      <c r="AG586" s="1655"/>
      <c r="AH586" s="1655"/>
      <c r="AI586" s="1655"/>
      <c r="AJ586" s="1655"/>
      <c r="AK586" s="1655"/>
      <c r="AL586" s="1655"/>
      <c r="AM586" s="1655"/>
      <c r="AN586" s="1655"/>
      <c r="AO586" s="1655"/>
      <c r="AP586" s="1655"/>
      <c r="AQ586" s="1655"/>
      <c r="AR586" s="1655"/>
      <c r="AS586" s="1655"/>
      <c r="AT586" s="1655"/>
      <c r="AU586" s="1655"/>
      <c r="AV586" s="1655"/>
      <c r="AW586" s="1655"/>
      <c r="AX586" s="1655"/>
      <c r="AY586" s="1655"/>
      <c r="AZ586" s="1655"/>
      <c r="BA586" s="1655"/>
      <c r="BB586" s="1655"/>
      <c r="BC586" s="1655"/>
      <c r="BD586" s="1655"/>
      <c r="BE586" s="1655"/>
      <c r="BF586" s="1655"/>
      <c r="BG586" s="1655"/>
      <c r="BH586" s="1655"/>
      <c r="BI586" s="1655"/>
      <c r="BJ586" s="1655"/>
      <c r="BK586" s="1655"/>
      <c r="BL586" s="1655"/>
      <c r="BM586" s="1655"/>
      <c r="BN586" s="1655"/>
      <c r="BO586" s="1655"/>
      <c r="BP586" s="1655"/>
      <c r="BQ586" s="1655"/>
      <c r="BR586" s="1655"/>
      <c r="BS586" s="1655"/>
      <c r="BT586" s="1655"/>
      <c r="BU586" s="1655"/>
      <c r="BV586" s="1655"/>
      <c r="BW586" s="1655"/>
      <c r="BX586" s="1655"/>
      <c r="BY586" s="1655"/>
      <c r="BZ586" s="1655"/>
      <c r="CA586" s="1655"/>
      <c r="CB586" s="1655"/>
      <c r="CC586" s="1655"/>
      <c r="CD586" s="1655"/>
      <c r="CE586" s="1655"/>
      <c r="CF586" s="1655"/>
      <c r="CG586" s="1655"/>
      <c r="CH586" s="1655"/>
      <c r="CI586" s="1655"/>
      <c r="CJ586" s="1655"/>
      <c r="CK586" s="1655"/>
      <c r="CL586" s="1655"/>
      <c r="CM586" s="1655"/>
      <c r="CN586" s="1655"/>
      <c r="CO586" s="1655"/>
      <c r="CP586" s="1655"/>
      <c r="CQ586" s="1655"/>
      <c r="CR586" s="1655"/>
      <c r="CS586" s="1655"/>
      <c r="CT586" s="1655"/>
      <c r="CU586" s="1655"/>
      <c r="CV586" s="1655"/>
      <c r="CW586" s="1655"/>
      <c r="CX586" s="1655"/>
      <c r="CY586" s="1655"/>
      <c r="CZ586" s="1655"/>
      <c r="DA586" s="1655"/>
      <c r="DB586" s="1655"/>
      <c r="DC586" s="1655"/>
      <c r="DD586" s="1655"/>
      <c r="DE586" s="1655"/>
      <c r="DF586" s="1655"/>
      <c r="DG586" s="1655"/>
      <c r="DH586" s="1655"/>
      <c r="DI586" s="1655"/>
      <c r="DJ586" s="1655"/>
      <c r="DK586" s="1655"/>
      <c r="DL586" s="1655"/>
      <c r="DM586" s="1655"/>
      <c r="DN586" s="1655"/>
      <c r="DO586" s="1655"/>
      <c r="DP586" s="1655"/>
      <c r="DQ586" s="1655"/>
      <c r="DR586" s="1655"/>
      <c r="DS586" s="1655"/>
      <c r="DT586" s="1655"/>
      <c r="DU586" s="1655"/>
      <c r="DV586" s="1655"/>
      <c r="DW586" s="1655"/>
      <c r="DX586" s="1655"/>
      <c r="DY586" s="1655"/>
      <c r="DZ586" s="1655"/>
      <c r="EA586" s="1655"/>
      <c r="EB586" s="1655"/>
      <c r="EC586" s="1655"/>
      <c r="ED586" s="1655"/>
      <c r="EE586" s="1655"/>
      <c r="EF586" s="1655"/>
      <c r="EG586" s="1655"/>
      <c r="EH586" s="1655"/>
      <c r="EI586" s="1655"/>
      <c r="EJ586" s="1655"/>
      <c r="EK586" s="1655"/>
      <c r="EL586" s="1655"/>
      <c r="EM586" s="1655"/>
      <c r="EN586" s="1655"/>
      <c r="EO586" s="1655"/>
      <c r="EP586" s="1655"/>
      <c r="EQ586" s="1655"/>
      <c r="ER586" s="1655"/>
      <c r="ES586" s="1655"/>
      <c r="ET586" s="1655"/>
      <c r="EU586" s="1655"/>
      <c r="EV586" s="1655"/>
      <c r="EW586" s="1655"/>
      <c r="EX586" s="1655"/>
      <c r="EY586" s="1655"/>
      <c r="EZ586" s="1655"/>
      <c r="FA586" s="1655"/>
      <c r="FB586" s="1655"/>
      <c r="FC586" s="1655"/>
      <c r="FD586" s="1655"/>
      <c r="FE586" s="1655"/>
      <c r="FF586" s="1655"/>
      <c r="FG586" s="1655"/>
      <c r="FH586" s="1655"/>
      <c r="FI586" s="1655"/>
    </row>
    <row r="587" spans="1:165">
      <c r="A587" s="1655"/>
      <c r="B587" s="1655"/>
      <c r="C587" s="1655"/>
      <c r="D587" s="1655"/>
      <c r="E587" s="1655"/>
      <c r="F587" s="1655"/>
      <c r="G587" s="1655"/>
      <c r="H587" s="1655"/>
      <c r="I587" s="1655"/>
      <c r="J587" s="1655"/>
      <c r="K587" s="1655"/>
      <c r="L587" s="1655"/>
      <c r="M587" s="1655"/>
      <c r="N587" s="1655"/>
      <c r="O587" s="1655"/>
      <c r="P587" s="1655"/>
      <c r="Q587" s="1655"/>
      <c r="R587" s="1655"/>
      <c r="S587" s="1655"/>
      <c r="T587" s="1655"/>
      <c r="U587" s="1655"/>
      <c r="V587" s="1655"/>
      <c r="W587" s="1655"/>
      <c r="X587" s="1655"/>
      <c r="Y587" s="1655"/>
      <c r="Z587" s="1655"/>
      <c r="AA587" s="1655"/>
      <c r="AB587" s="1655"/>
      <c r="AC587" s="1655"/>
      <c r="AD587" s="1655"/>
      <c r="AE587" s="1655"/>
      <c r="AF587" s="1655"/>
      <c r="AG587" s="1655"/>
      <c r="AH587" s="1655"/>
      <c r="AI587" s="1655"/>
      <c r="AJ587" s="1655"/>
      <c r="AK587" s="1655"/>
      <c r="AL587" s="1655"/>
      <c r="AM587" s="1655"/>
      <c r="AN587" s="1655"/>
      <c r="AO587" s="1655"/>
      <c r="AP587" s="1655"/>
      <c r="AQ587" s="1655"/>
      <c r="AR587" s="1655"/>
      <c r="AS587" s="1655"/>
      <c r="AT587" s="1655"/>
      <c r="AU587" s="1655"/>
      <c r="AV587" s="1655"/>
      <c r="AW587" s="1655"/>
      <c r="AX587" s="1655"/>
      <c r="AY587" s="1655"/>
      <c r="AZ587" s="1655"/>
      <c r="BA587" s="1655"/>
      <c r="BB587" s="1655"/>
      <c r="BC587" s="1655"/>
      <c r="BD587" s="1655"/>
      <c r="BE587" s="1655"/>
      <c r="BF587" s="1655"/>
      <c r="BG587" s="1655"/>
      <c r="BH587" s="1655"/>
      <c r="BI587" s="1655"/>
      <c r="BJ587" s="1655"/>
      <c r="BK587" s="1655"/>
      <c r="BL587" s="1655"/>
      <c r="BM587" s="1655"/>
      <c r="BN587" s="1655"/>
      <c r="BO587" s="1655"/>
      <c r="BP587" s="1655"/>
      <c r="BQ587" s="1655"/>
      <c r="BR587" s="1655"/>
      <c r="BS587" s="1655"/>
      <c r="BT587" s="1655"/>
      <c r="BU587" s="1655"/>
      <c r="BV587" s="1655"/>
      <c r="BW587" s="1655"/>
      <c r="BX587" s="1655"/>
      <c r="BY587" s="1655"/>
      <c r="BZ587" s="1655"/>
      <c r="CA587" s="1655"/>
      <c r="CB587" s="1655"/>
      <c r="CC587" s="1655"/>
      <c r="CD587" s="1655"/>
      <c r="CE587" s="1655"/>
      <c r="CF587" s="1655"/>
      <c r="CG587" s="1655"/>
      <c r="CH587" s="1655"/>
      <c r="CI587" s="1655"/>
      <c r="CJ587" s="1655"/>
      <c r="CK587" s="1655"/>
      <c r="CL587" s="1655"/>
      <c r="CM587" s="1655"/>
      <c r="CN587" s="1655"/>
      <c r="CO587" s="1655"/>
      <c r="CP587" s="1655"/>
      <c r="CQ587" s="1655"/>
      <c r="CR587" s="1655"/>
      <c r="CS587" s="1655"/>
      <c r="CT587" s="1655"/>
      <c r="CU587" s="1655"/>
      <c r="CV587" s="1655"/>
      <c r="CW587" s="1655"/>
      <c r="CX587" s="1655"/>
      <c r="CY587" s="1655"/>
      <c r="CZ587" s="1655"/>
      <c r="DA587" s="1655"/>
      <c r="DB587" s="1655"/>
      <c r="DC587" s="1655"/>
      <c r="DD587" s="1655"/>
      <c r="DE587" s="1655"/>
      <c r="DF587" s="1655"/>
      <c r="DG587" s="1655"/>
      <c r="DH587" s="1655"/>
      <c r="DI587" s="1655"/>
      <c r="DJ587" s="1655"/>
      <c r="DK587" s="1655"/>
      <c r="DL587" s="1655"/>
      <c r="DM587" s="1655"/>
      <c r="DN587" s="1655"/>
      <c r="DO587" s="1655"/>
      <c r="DP587" s="1655"/>
      <c r="DQ587" s="1655"/>
      <c r="DR587" s="1655"/>
      <c r="DS587" s="1655"/>
      <c r="DT587" s="1655"/>
      <c r="DU587" s="1655"/>
      <c r="DV587" s="1655"/>
      <c r="DW587" s="1655"/>
      <c r="DX587" s="1655"/>
      <c r="DY587" s="1655"/>
      <c r="DZ587" s="1655"/>
      <c r="EA587" s="1655"/>
      <c r="EB587" s="1655"/>
      <c r="EC587" s="1655"/>
      <c r="ED587" s="1655"/>
      <c r="EE587" s="1655"/>
      <c r="EF587" s="1655"/>
      <c r="EG587" s="1655"/>
      <c r="EH587" s="1655"/>
      <c r="EI587" s="1655"/>
      <c r="EJ587" s="1655"/>
      <c r="EK587" s="1655"/>
      <c r="EL587" s="1655"/>
      <c r="EM587" s="1655"/>
      <c r="EN587" s="1655"/>
      <c r="EO587" s="1655"/>
      <c r="EP587" s="1655"/>
      <c r="EQ587" s="1655"/>
      <c r="ER587" s="1655"/>
      <c r="ES587" s="1655"/>
      <c r="ET587" s="1655"/>
      <c r="EU587" s="1655"/>
      <c r="EV587" s="1655"/>
      <c r="EW587" s="1655"/>
      <c r="EX587" s="1655"/>
      <c r="EY587" s="1655"/>
      <c r="EZ587" s="1655"/>
      <c r="FA587" s="1655"/>
      <c r="FB587" s="1655"/>
      <c r="FC587" s="1655"/>
      <c r="FD587" s="1655"/>
      <c r="FE587" s="1655"/>
      <c r="FF587" s="1655"/>
      <c r="FG587" s="1655"/>
      <c r="FH587" s="1655"/>
      <c r="FI587" s="1655"/>
    </row>
    <row r="588" spans="1:165">
      <c r="A588" s="1655"/>
      <c r="B588" s="1655"/>
      <c r="C588" s="1655"/>
      <c r="D588" s="1655"/>
      <c r="E588" s="1655"/>
      <c r="F588" s="1655"/>
      <c r="G588" s="1655"/>
      <c r="H588" s="1655"/>
      <c r="I588" s="1655"/>
      <c r="J588" s="1655"/>
      <c r="K588" s="1655"/>
      <c r="L588" s="1655"/>
      <c r="M588" s="1655"/>
      <c r="N588" s="1655"/>
      <c r="O588" s="1655"/>
      <c r="P588" s="1655"/>
      <c r="Q588" s="1655"/>
      <c r="R588" s="1655"/>
      <c r="S588" s="1655"/>
      <c r="T588" s="1655"/>
      <c r="U588" s="1655"/>
      <c r="V588" s="1655"/>
      <c r="W588" s="1655"/>
      <c r="X588" s="1655"/>
      <c r="Y588" s="1655"/>
      <c r="Z588" s="1655"/>
      <c r="AA588" s="1655"/>
      <c r="AB588" s="1655"/>
      <c r="AC588" s="1655"/>
      <c r="AD588" s="1655"/>
      <c r="AE588" s="1655"/>
      <c r="AF588" s="1655"/>
      <c r="AG588" s="1655"/>
      <c r="AH588" s="1655"/>
      <c r="AI588" s="1655"/>
      <c r="AJ588" s="1655"/>
      <c r="AK588" s="1655"/>
      <c r="AL588" s="1655"/>
      <c r="AM588" s="1655"/>
      <c r="AN588" s="1655"/>
      <c r="AO588" s="1655"/>
      <c r="AP588" s="1655"/>
      <c r="AQ588" s="1655"/>
      <c r="AR588" s="1655"/>
      <c r="AS588" s="1655"/>
      <c r="AT588" s="1655"/>
      <c r="AU588" s="1655"/>
      <c r="AV588" s="1655"/>
      <c r="AW588" s="1655"/>
      <c r="AX588" s="1655"/>
      <c r="AY588" s="1655"/>
      <c r="AZ588" s="1655"/>
      <c r="BA588" s="1655"/>
      <c r="BB588" s="1655"/>
      <c r="BC588" s="1655"/>
      <c r="BD588" s="1655"/>
      <c r="BE588" s="1655"/>
      <c r="BF588" s="1655"/>
      <c r="BG588" s="1655"/>
      <c r="BH588" s="1655"/>
      <c r="BI588" s="1655"/>
      <c r="BJ588" s="1655"/>
      <c r="BK588" s="1655"/>
      <c r="BL588" s="1655"/>
      <c r="BM588" s="1655"/>
      <c r="BN588" s="1655"/>
      <c r="BO588" s="1655"/>
      <c r="BP588" s="1655"/>
      <c r="BQ588" s="1655"/>
      <c r="BR588" s="1655"/>
      <c r="BS588" s="1655"/>
      <c r="BT588" s="1655"/>
      <c r="BU588" s="1655"/>
      <c r="BV588" s="1655"/>
      <c r="BW588" s="1655"/>
      <c r="BX588" s="1655"/>
      <c r="BY588" s="1655"/>
      <c r="BZ588" s="1655"/>
      <c r="CA588" s="1655"/>
      <c r="CB588" s="1655"/>
      <c r="CC588" s="1655"/>
      <c r="CD588" s="1655"/>
      <c r="CE588" s="1655"/>
      <c r="CF588" s="1655"/>
      <c r="CG588" s="1655"/>
      <c r="CH588" s="1655"/>
      <c r="CI588" s="1655"/>
      <c r="CJ588" s="1655"/>
      <c r="CK588" s="1655"/>
      <c r="CL588" s="1655"/>
      <c r="CM588" s="1655"/>
      <c r="CN588" s="1655"/>
      <c r="CO588" s="1655"/>
      <c r="CP588" s="1655"/>
      <c r="CQ588" s="1655"/>
      <c r="CR588" s="1655"/>
      <c r="CS588" s="1655"/>
      <c r="CT588" s="1655"/>
      <c r="CU588" s="1655"/>
      <c r="CV588" s="1655"/>
      <c r="CW588" s="1655"/>
      <c r="CX588" s="1655"/>
      <c r="CY588" s="1655"/>
      <c r="CZ588" s="1655"/>
      <c r="DA588" s="1655"/>
      <c r="DB588" s="1655"/>
      <c r="DC588" s="1655"/>
      <c r="DD588" s="1655"/>
      <c r="DE588" s="1655"/>
      <c r="DF588" s="1655"/>
      <c r="DG588" s="1655"/>
      <c r="DH588" s="1655"/>
      <c r="DI588" s="1655"/>
      <c r="DJ588" s="1655"/>
      <c r="DK588" s="1655"/>
      <c r="DL588" s="1655"/>
      <c r="DM588" s="1655"/>
      <c r="DN588" s="1655"/>
      <c r="DO588" s="1655"/>
      <c r="DP588" s="1655"/>
      <c r="DQ588" s="1655"/>
      <c r="DR588" s="1655"/>
      <c r="DS588" s="1655"/>
      <c r="DT588" s="1655"/>
      <c r="DU588" s="1655"/>
      <c r="DV588" s="1655"/>
      <c r="DW588" s="1655"/>
      <c r="DX588" s="1655"/>
      <c r="DY588" s="1655"/>
      <c r="DZ588" s="1655"/>
      <c r="EA588" s="1655"/>
      <c r="EB588" s="1655"/>
      <c r="EC588" s="1655"/>
      <c r="ED588" s="1655"/>
      <c r="EE588" s="1655"/>
      <c r="EF588" s="1655"/>
      <c r="EG588" s="1655"/>
      <c r="EH588" s="1655"/>
      <c r="EI588" s="1655"/>
      <c r="EJ588" s="1655"/>
      <c r="EK588" s="1655"/>
      <c r="EL588" s="1655"/>
      <c r="EM588" s="1655"/>
      <c r="EN588" s="1655"/>
      <c r="EO588" s="1655"/>
      <c r="EP588" s="1655"/>
      <c r="EQ588" s="1655"/>
      <c r="ER588" s="1655"/>
      <c r="ES588" s="1655"/>
      <c r="ET588" s="1655"/>
      <c r="EU588" s="1655"/>
      <c r="EV588" s="1655"/>
      <c r="EW588" s="1655"/>
      <c r="EX588" s="1655"/>
      <c r="EY588" s="1655"/>
      <c r="EZ588" s="1655"/>
      <c r="FA588" s="1655"/>
      <c r="FB588" s="1655"/>
      <c r="FC588" s="1655"/>
      <c r="FD588" s="1655"/>
      <c r="FE588" s="1655"/>
      <c r="FF588" s="1655"/>
      <c r="FG588" s="1655"/>
      <c r="FH588" s="1655"/>
      <c r="FI588" s="1655"/>
    </row>
    <row r="589" spans="1:165">
      <c r="A589" s="1655"/>
      <c r="B589" s="1655"/>
      <c r="C589" s="1655"/>
      <c r="D589" s="1655"/>
      <c r="E589" s="1655"/>
      <c r="F589" s="1655"/>
      <c r="G589" s="1655"/>
      <c r="H589" s="1655"/>
      <c r="I589" s="1655"/>
      <c r="J589" s="1655"/>
      <c r="K589" s="1655"/>
      <c r="L589" s="1655"/>
      <c r="M589" s="1655"/>
      <c r="N589" s="1655"/>
      <c r="O589" s="1655"/>
      <c r="P589" s="1655"/>
      <c r="Q589" s="1655"/>
      <c r="R589" s="1655"/>
      <c r="S589" s="1655"/>
      <c r="T589" s="1655"/>
      <c r="U589" s="1655"/>
      <c r="V589" s="1655"/>
      <c r="W589" s="1655"/>
      <c r="X589" s="1655"/>
      <c r="Y589" s="1655"/>
      <c r="Z589" s="1655"/>
      <c r="AA589" s="1655"/>
      <c r="AB589" s="1655"/>
      <c r="AC589" s="1655"/>
      <c r="AD589" s="1655"/>
      <c r="AE589" s="1655"/>
      <c r="AF589" s="1655"/>
      <c r="AG589" s="1655"/>
      <c r="AH589" s="1655"/>
      <c r="AI589" s="1655"/>
      <c r="AJ589" s="1655"/>
      <c r="AK589" s="1655"/>
      <c r="AL589" s="1655"/>
      <c r="AM589" s="1655"/>
      <c r="AN589" s="1655"/>
      <c r="AO589" s="1655"/>
      <c r="AP589" s="1655"/>
      <c r="AQ589" s="1655"/>
      <c r="AR589" s="1655"/>
      <c r="AS589" s="1655"/>
      <c r="AT589" s="1655"/>
      <c r="AU589" s="1655"/>
      <c r="AV589" s="1655"/>
      <c r="AW589" s="1655"/>
      <c r="AX589" s="1655"/>
      <c r="AY589" s="1655"/>
      <c r="AZ589" s="1655"/>
      <c r="BA589" s="1655"/>
      <c r="BB589" s="1655"/>
      <c r="BC589" s="1655"/>
      <c r="BD589" s="1655"/>
      <c r="BE589" s="1655"/>
      <c r="BF589" s="1655"/>
      <c r="BG589" s="1655"/>
      <c r="BH589" s="1655"/>
      <c r="BI589" s="1655"/>
      <c r="BJ589" s="1655"/>
      <c r="BK589" s="1655"/>
      <c r="BL589" s="1655"/>
      <c r="BM589" s="1655"/>
      <c r="BN589" s="1655"/>
      <c r="BO589" s="1655"/>
      <c r="BP589" s="1655"/>
      <c r="BQ589" s="1655"/>
      <c r="BR589" s="1655"/>
      <c r="BS589" s="1655"/>
      <c r="BT589" s="1655"/>
      <c r="BU589" s="1655"/>
      <c r="BV589" s="1655"/>
      <c r="BW589" s="1655"/>
      <c r="BX589" s="1655"/>
      <c r="BY589" s="1655"/>
      <c r="BZ589" s="1655"/>
      <c r="CA589" s="1655"/>
      <c r="CB589" s="1655"/>
      <c r="CC589" s="1655"/>
      <c r="CD589" s="1655"/>
      <c r="CE589" s="1655"/>
      <c r="CF589" s="1655"/>
      <c r="CG589" s="1655"/>
      <c r="CH589" s="1655"/>
      <c r="CI589" s="1655"/>
      <c r="CJ589" s="1655"/>
      <c r="CK589" s="1655"/>
      <c r="CL589" s="1655"/>
      <c r="CM589" s="1655"/>
      <c r="CN589" s="1655"/>
      <c r="CO589" s="1655"/>
      <c r="CP589" s="1655"/>
      <c r="CQ589" s="1655"/>
      <c r="CR589" s="1655"/>
      <c r="CS589" s="1655"/>
      <c r="CT589" s="1655"/>
      <c r="CU589" s="1655"/>
      <c r="CV589" s="1655"/>
      <c r="CW589" s="1655"/>
      <c r="CX589" s="1655"/>
      <c r="CY589" s="1655"/>
      <c r="CZ589" s="1655"/>
      <c r="DA589" s="1655"/>
      <c r="DB589" s="1655"/>
      <c r="DC589" s="1655"/>
      <c r="DD589" s="1655"/>
      <c r="DE589" s="1655"/>
      <c r="DF589" s="1655"/>
      <c r="DG589" s="1655"/>
      <c r="DH589" s="1655"/>
      <c r="DI589" s="1655"/>
      <c r="DJ589" s="1655"/>
      <c r="DK589" s="1655"/>
      <c r="DL589" s="1655"/>
      <c r="DM589" s="1655"/>
      <c r="DN589" s="1655"/>
      <c r="DO589" s="1655"/>
      <c r="DP589" s="1655"/>
      <c r="DQ589" s="1655"/>
      <c r="DR589" s="1655"/>
      <c r="DS589" s="1655"/>
      <c r="DT589" s="1655"/>
      <c r="DU589" s="1655"/>
      <c r="DV589" s="1655"/>
      <c r="DW589" s="1655"/>
      <c r="DX589" s="1655"/>
      <c r="DY589" s="1655"/>
      <c r="DZ589" s="1655"/>
      <c r="EA589" s="1655"/>
      <c r="EB589" s="1655"/>
      <c r="EC589" s="1655"/>
      <c r="ED589" s="1655"/>
      <c r="EE589" s="1655"/>
      <c r="EF589" s="1655"/>
      <c r="EG589" s="1655"/>
      <c r="EH589" s="1655"/>
      <c r="EI589" s="1655"/>
      <c r="EJ589" s="1655"/>
      <c r="EK589" s="1655"/>
      <c r="EL589" s="1655"/>
      <c r="EM589" s="1655"/>
      <c r="EN589" s="1655"/>
      <c r="EO589" s="1655"/>
      <c r="EP589" s="1655"/>
      <c r="EQ589" s="1655"/>
      <c r="ER589" s="1655"/>
      <c r="ES589" s="1655"/>
      <c r="ET589" s="1655"/>
      <c r="EU589" s="1655"/>
      <c r="EV589" s="1655"/>
      <c r="EW589" s="1655"/>
      <c r="EX589" s="1655"/>
      <c r="EY589" s="1655"/>
      <c r="EZ589" s="1655"/>
      <c r="FA589" s="1655"/>
      <c r="FB589" s="1655"/>
      <c r="FC589" s="1655"/>
      <c r="FD589" s="1655"/>
      <c r="FE589" s="1655"/>
      <c r="FF589" s="1655"/>
      <c r="FG589" s="1655"/>
      <c r="FH589" s="1655"/>
      <c r="FI589" s="1655"/>
    </row>
    <row r="590" spans="1:165">
      <c r="A590" s="1655"/>
      <c r="B590" s="1655"/>
      <c r="C590" s="1655"/>
      <c r="D590" s="1655"/>
      <c r="E590" s="1655"/>
      <c r="F590" s="1655"/>
      <c r="G590" s="1655"/>
      <c r="H590" s="1655"/>
      <c r="I590" s="1655"/>
      <c r="J590" s="1655"/>
      <c r="K590" s="1655"/>
      <c r="L590" s="1655"/>
      <c r="M590" s="1655"/>
      <c r="N590" s="1655"/>
      <c r="O590" s="1655"/>
      <c r="P590" s="1655"/>
      <c r="Q590" s="1655"/>
      <c r="R590" s="1655"/>
      <c r="S590" s="1655"/>
      <c r="T590" s="1655"/>
      <c r="U590" s="1655"/>
      <c r="V590" s="1655"/>
      <c r="W590" s="1655"/>
      <c r="X590" s="1655"/>
      <c r="Y590" s="1655"/>
      <c r="Z590" s="1655"/>
      <c r="AA590" s="1655"/>
      <c r="AB590" s="1655"/>
      <c r="AC590" s="1655"/>
      <c r="AD590" s="1655"/>
      <c r="AE590" s="1655"/>
      <c r="AF590" s="1655"/>
      <c r="AG590" s="1655"/>
      <c r="AH590" s="1655"/>
      <c r="AI590" s="1655"/>
      <c r="AJ590" s="1655"/>
      <c r="AK590" s="1655"/>
      <c r="AL590" s="1655"/>
      <c r="AM590" s="1655"/>
      <c r="AN590" s="1655"/>
      <c r="AO590" s="1655"/>
      <c r="AP590" s="1655"/>
      <c r="AQ590" s="1655"/>
      <c r="AR590" s="1655"/>
      <c r="AS590" s="1655"/>
      <c r="AT590" s="1655"/>
      <c r="AU590" s="1655"/>
      <c r="AV590" s="1655"/>
      <c r="AW590" s="1655"/>
      <c r="AX590" s="1655"/>
      <c r="AY590" s="1655"/>
      <c r="AZ590" s="1655"/>
      <c r="BA590" s="1655"/>
      <c r="BB590" s="1655"/>
      <c r="BC590" s="1655"/>
      <c r="BD590" s="1655"/>
      <c r="BE590" s="1655"/>
      <c r="BF590" s="1655"/>
      <c r="BG590" s="1655"/>
      <c r="BH590" s="1655"/>
      <c r="BI590" s="1655"/>
      <c r="BJ590" s="1655"/>
      <c r="BK590" s="1655"/>
      <c r="BL590" s="1655"/>
      <c r="BM590" s="1655"/>
      <c r="BN590" s="1655"/>
      <c r="BO590" s="1655"/>
      <c r="BP590" s="1655"/>
      <c r="BQ590" s="1655"/>
      <c r="BR590" s="1655"/>
      <c r="BS590" s="1655"/>
      <c r="BT590" s="1655"/>
      <c r="BU590" s="1655"/>
      <c r="BV590" s="1655"/>
      <c r="BW590" s="1655"/>
      <c r="BX590" s="1655"/>
      <c r="BY590" s="1655"/>
      <c r="BZ590" s="1655"/>
      <c r="CA590" s="1655"/>
      <c r="CB590" s="1655"/>
      <c r="CC590" s="1655"/>
      <c r="CD590" s="1655"/>
      <c r="CE590" s="1655"/>
      <c r="CF590" s="1655"/>
      <c r="CG590" s="1655"/>
      <c r="CH590" s="1655"/>
      <c r="CI590" s="1655"/>
      <c r="CJ590" s="1655"/>
      <c r="CK590" s="1655"/>
      <c r="CL590" s="1655"/>
      <c r="CM590" s="1655"/>
      <c r="CN590" s="1655"/>
      <c r="CO590" s="1655"/>
      <c r="CP590" s="1655"/>
      <c r="CQ590" s="1655"/>
      <c r="CR590" s="1655"/>
      <c r="CS590" s="1655"/>
      <c r="CT590" s="1655"/>
      <c r="CU590" s="1655"/>
      <c r="CV590" s="1655"/>
      <c r="CW590" s="1655"/>
      <c r="CX590" s="1655"/>
      <c r="CY590" s="1655"/>
      <c r="CZ590" s="1655"/>
      <c r="DA590" s="1655"/>
      <c r="DB590" s="1655"/>
      <c r="DC590" s="1655"/>
      <c r="DD590" s="1655"/>
      <c r="DE590" s="1655"/>
      <c r="DF590" s="1655"/>
      <c r="DG590" s="1655"/>
      <c r="DH590" s="1655"/>
      <c r="DI590" s="1655"/>
      <c r="DJ590" s="1655"/>
      <c r="DK590" s="1655"/>
      <c r="DL590" s="1655"/>
      <c r="DM590" s="1655"/>
      <c r="DN590" s="1655"/>
      <c r="DO590" s="1655"/>
      <c r="DP590" s="1655"/>
      <c r="DQ590" s="1655"/>
      <c r="DR590" s="1655"/>
      <c r="DS590" s="1655"/>
      <c r="DT590" s="1655"/>
      <c r="DU590" s="1655"/>
      <c r="DV590" s="1655"/>
      <c r="DW590" s="1655"/>
      <c r="DX590" s="1655"/>
      <c r="DY590" s="1655"/>
      <c r="DZ590" s="1655"/>
      <c r="EA590" s="1655"/>
      <c r="EB590" s="1655"/>
      <c r="EC590" s="1655"/>
      <c r="ED590" s="1655"/>
      <c r="EE590" s="1655"/>
      <c r="EF590" s="1655"/>
      <c r="EG590" s="1655"/>
      <c r="EH590" s="1655"/>
      <c r="EI590" s="1655"/>
      <c r="EJ590" s="1655"/>
      <c r="EK590" s="1655"/>
      <c r="EL590" s="1655"/>
      <c r="EM590" s="1655"/>
      <c r="EN590" s="1655"/>
      <c r="EO590" s="1655"/>
      <c r="EP590" s="1655"/>
      <c r="EQ590" s="1655"/>
      <c r="ER590" s="1655"/>
      <c r="ES590" s="1655"/>
      <c r="ET590" s="1655"/>
      <c r="EU590" s="1655"/>
      <c r="EV590" s="1655"/>
      <c r="EW590" s="1655"/>
      <c r="EX590" s="1655"/>
      <c r="EY590" s="1655"/>
      <c r="EZ590" s="1655"/>
      <c r="FA590" s="1655"/>
      <c r="FB590" s="1655"/>
      <c r="FC590" s="1655"/>
      <c r="FD590" s="1655"/>
      <c r="FE590" s="1655"/>
      <c r="FF590" s="1655"/>
      <c r="FG590" s="1655"/>
      <c r="FH590" s="1655"/>
      <c r="FI590" s="1655"/>
    </row>
    <row r="591" spans="1:165">
      <c r="A591" s="1655"/>
      <c r="B591" s="1655"/>
      <c r="C591" s="1655"/>
      <c r="D591" s="1655"/>
      <c r="E591" s="1655"/>
      <c r="F591" s="1655"/>
      <c r="G591" s="1655"/>
      <c r="H591" s="1655"/>
      <c r="I591" s="1655"/>
      <c r="J591" s="1655"/>
      <c r="K591" s="1655"/>
      <c r="L591" s="1655"/>
      <c r="M591" s="1655"/>
      <c r="N591" s="1655"/>
      <c r="O591" s="1655"/>
      <c r="P591" s="1655"/>
      <c r="Q591" s="1655"/>
      <c r="R591" s="1655"/>
      <c r="S591" s="1655"/>
      <c r="T591" s="1655"/>
      <c r="U591" s="1655"/>
      <c r="V591" s="1655"/>
      <c r="W591" s="1655"/>
      <c r="X591" s="1655"/>
      <c r="Y591" s="1655"/>
      <c r="Z591" s="1655"/>
      <c r="AA591" s="1655"/>
      <c r="AB591" s="1655"/>
      <c r="AC591" s="1655"/>
      <c r="AD591" s="1655"/>
      <c r="AE591" s="1655"/>
      <c r="AF591" s="1655"/>
      <c r="AG591" s="1655"/>
      <c r="AH591" s="1655"/>
      <c r="AI591" s="1655"/>
      <c r="AJ591" s="1655"/>
      <c r="AK591" s="1655"/>
      <c r="AL591" s="1655"/>
      <c r="AM591" s="1655"/>
      <c r="AN591" s="1655"/>
      <c r="AO591" s="1655"/>
      <c r="AP591" s="1655"/>
      <c r="AQ591" s="1655"/>
      <c r="AR591" s="1655"/>
      <c r="AS591" s="1655"/>
      <c r="AT591" s="1655"/>
      <c r="AU591" s="1655"/>
      <c r="AV591" s="1655"/>
      <c r="AW591" s="1655"/>
      <c r="AX591" s="1655"/>
      <c r="AY591" s="1655"/>
      <c r="AZ591" s="1655"/>
      <c r="BA591" s="1655"/>
      <c r="BB591" s="1655"/>
      <c r="BC591" s="1655"/>
      <c r="BD591" s="1655"/>
      <c r="BE591" s="1655"/>
      <c r="BF591" s="1655"/>
      <c r="BG591" s="1655"/>
      <c r="BH591" s="1655"/>
      <c r="BI591" s="1655"/>
      <c r="BJ591" s="1655"/>
      <c r="BK591" s="1655"/>
      <c r="BL591" s="1655"/>
      <c r="BM591" s="1655"/>
      <c r="BN591" s="1655"/>
      <c r="BO591" s="1655"/>
      <c r="BP591" s="1655"/>
      <c r="BQ591" s="1655"/>
      <c r="BR591" s="1655"/>
      <c r="BS591" s="1655"/>
      <c r="BT591" s="1655"/>
      <c r="BU591" s="1655"/>
      <c r="BV591" s="1655"/>
      <c r="BW591" s="1655"/>
      <c r="BX591" s="1655"/>
      <c r="BY591" s="1655"/>
      <c r="BZ591" s="1655"/>
      <c r="CA591" s="1655"/>
      <c r="CB591" s="1655"/>
      <c r="CC591" s="1655"/>
      <c r="CD591" s="1655"/>
      <c r="CE591" s="1655"/>
      <c r="CF591" s="1655"/>
      <c r="CG591" s="1655"/>
      <c r="CH591" s="1655"/>
      <c r="CI591" s="1655"/>
      <c r="CJ591" s="1655"/>
      <c r="CK591" s="1655"/>
      <c r="CL591" s="1655"/>
      <c r="CM591" s="1655"/>
      <c r="CN591" s="1655"/>
      <c r="CO591" s="1655"/>
      <c r="CP591" s="1655"/>
      <c r="CQ591" s="1655"/>
      <c r="CR591" s="1655"/>
      <c r="CS591" s="1655"/>
      <c r="CT591" s="1655"/>
      <c r="CU591" s="1655"/>
      <c r="CV591" s="1655"/>
      <c r="CW591" s="1655"/>
      <c r="CX591" s="1655"/>
      <c r="CY591" s="1655"/>
      <c r="CZ591" s="1655"/>
      <c r="DA591" s="1655"/>
      <c r="DB591" s="1655"/>
      <c r="DC591" s="1655"/>
      <c r="DD591" s="1655"/>
      <c r="DE591" s="1655"/>
      <c r="DF591" s="1655"/>
      <c r="DG591" s="1655"/>
      <c r="DH591" s="1655"/>
      <c r="DI591" s="1655"/>
      <c r="DJ591" s="1655"/>
      <c r="DK591" s="1655"/>
      <c r="DL591" s="1655"/>
      <c r="DM591" s="1655"/>
      <c r="DN591" s="1655"/>
      <c r="DO591" s="1655"/>
      <c r="DP591" s="1655"/>
      <c r="DQ591" s="1655"/>
      <c r="DR591" s="1655"/>
      <c r="DS591" s="1655"/>
      <c r="DT591" s="1655"/>
      <c r="DU591" s="1655"/>
      <c r="DV591" s="1655"/>
      <c r="DW591" s="1655"/>
      <c r="DX591" s="1655"/>
      <c r="DY591" s="1655"/>
      <c r="DZ591" s="1655"/>
      <c r="EA591" s="1655"/>
      <c r="EB591" s="1655"/>
      <c r="EC591" s="1655"/>
      <c r="ED591" s="1655"/>
      <c r="EE591" s="1655"/>
      <c r="EF591" s="1655"/>
      <c r="EG591" s="1655"/>
      <c r="EH591" s="1655"/>
      <c r="EI591" s="1655"/>
      <c r="EJ591" s="1655"/>
      <c r="EK591" s="1655"/>
      <c r="EL591" s="1655"/>
      <c r="EM591" s="1655"/>
      <c r="EN591" s="1655"/>
      <c r="EO591" s="1655"/>
      <c r="EP591" s="1655"/>
      <c r="EQ591" s="1655"/>
      <c r="ER591" s="1655"/>
      <c r="ES591" s="1655"/>
      <c r="ET591" s="1655"/>
      <c r="EU591" s="1655"/>
      <c r="EV591" s="1655"/>
      <c r="EW591" s="1655"/>
      <c r="EX591" s="1655"/>
      <c r="EY591" s="1655"/>
      <c r="EZ591" s="1655"/>
      <c r="FA591" s="1655"/>
      <c r="FB591" s="1655"/>
      <c r="FC591" s="1655"/>
      <c r="FD591" s="1655"/>
      <c r="FE591" s="1655"/>
      <c r="FF591" s="1655"/>
      <c r="FG591" s="1655"/>
      <c r="FH591" s="1655"/>
      <c r="FI591" s="1655"/>
    </row>
    <row r="592" spans="1:165">
      <c r="A592" s="1655"/>
      <c r="B592" s="1655"/>
      <c r="C592" s="1655"/>
      <c r="D592" s="1655"/>
      <c r="E592" s="1655"/>
      <c r="F592" s="1655"/>
      <c r="G592" s="1655"/>
      <c r="H592" s="1655"/>
      <c r="I592" s="1655"/>
      <c r="J592" s="1655"/>
      <c r="K592" s="1655"/>
      <c r="L592" s="1655"/>
      <c r="M592" s="1655"/>
      <c r="N592" s="1655"/>
      <c r="O592" s="1655"/>
      <c r="P592" s="1655"/>
      <c r="Q592" s="1655"/>
      <c r="R592" s="1655"/>
      <c r="S592" s="1655"/>
      <c r="T592" s="1655"/>
      <c r="U592" s="1655"/>
      <c r="V592" s="1655"/>
      <c r="W592" s="1655"/>
      <c r="X592" s="1655"/>
      <c r="Y592" s="1655"/>
      <c r="Z592" s="1655"/>
      <c r="AA592" s="1655"/>
      <c r="AB592" s="1655"/>
      <c r="AC592" s="1655"/>
      <c r="AD592" s="1655"/>
      <c r="AE592" s="1655"/>
      <c r="AF592" s="1655"/>
      <c r="AG592" s="1655"/>
      <c r="AH592" s="1655"/>
      <c r="AI592" s="1655"/>
      <c r="AJ592" s="1655"/>
      <c r="AK592" s="1655"/>
      <c r="AL592" s="1655"/>
      <c r="AM592" s="1655"/>
      <c r="AN592" s="1655"/>
      <c r="AO592" s="1655"/>
      <c r="AP592" s="1655"/>
      <c r="AQ592" s="1655"/>
      <c r="AR592" s="1655"/>
      <c r="AS592" s="1655"/>
      <c r="AT592" s="1655"/>
      <c r="AU592" s="1655"/>
      <c r="AV592" s="1655"/>
      <c r="AW592" s="1655"/>
      <c r="AX592" s="1655"/>
      <c r="AY592" s="1655"/>
      <c r="AZ592" s="1655"/>
      <c r="BA592" s="1655"/>
      <c r="BB592" s="1655"/>
      <c r="BC592" s="1655"/>
      <c r="BD592" s="1655"/>
      <c r="BE592" s="1655"/>
      <c r="BF592" s="1655"/>
      <c r="BG592" s="1655"/>
      <c r="BH592" s="1655"/>
      <c r="BI592" s="1655"/>
      <c r="BJ592" s="1655"/>
      <c r="BK592" s="1655"/>
      <c r="BL592" s="1655"/>
      <c r="BM592" s="1655"/>
      <c r="BN592" s="1655"/>
      <c r="BO592" s="1655"/>
      <c r="BP592" s="1655"/>
      <c r="BQ592" s="1655"/>
      <c r="BR592" s="1655"/>
      <c r="BS592" s="1655"/>
      <c r="BT592" s="1655"/>
      <c r="BU592" s="1655"/>
      <c r="BV592" s="1655"/>
      <c r="BW592" s="1655"/>
      <c r="BX592" s="1655"/>
      <c r="BY592" s="1655"/>
      <c r="BZ592" s="1655"/>
      <c r="CA592" s="1655"/>
      <c r="CB592" s="1655"/>
      <c r="CC592" s="1655"/>
      <c r="CD592" s="1655"/>
      <c r="CE592" s="1655"/>
      <c r="CF592" s="1655"/>
      <c r="CG592" s="1655"/>
      <c r="CH592" s="1655"/>
      <c r="CI592" s="1655"/>
      <c r="CJ592" s="1655"/>
      <c r="CK592" s="1655"/>
      <c r="CL592" s="1655"/>
      <c r="CM592" s="1655"/>
      <c r="CN592" s="1655"/>
      <c r="CO592" s="1655"/>
      <c r="CP592" s="1655"/>
      <c r="CQ592" s="1655"/>
      <c r="CR592" s="1655"/>
      <c r="CS592" s="1655"/>
      <c r="CT592" s="1655"/>
      <c r="CU592" s="1655"/>
      <c r="CV592" s="1655"/>
      <c r="CW592" s="1655"/>
      <c r="CX592" s="1655"/>
      <c r="CY592" s="1655"/>
      <c r="CZ592" s="1655"/>
      <c r="DA592" s="1655"/>
      <c r="DB592" s="1655"/>
      <c r="DC592" s="1655"/>
      <c r="DD592" s="1655"/>
      <c r="DE592" s="1655"/>
      <c r="DF592" s="1655"/>
      <c r="DG592" s="1655"/>
      <c r="DH592" s="1655"/>
      <c r="DI592" s="1655"/>
      <c r="DJ592" s="1655"/>
      <c r="DK592" s="1655"/>
      <c r="DL592" s="1655"/>
      <c r="DM592" s="1655"/>
      <c r="DN592" s="1655"/>
      <c r="DO592" s="1655"/>
      <c r="DP592" s="1655"/>
      <c r="DQ592" s="1655"/>
      <c r="DR592" s="1655"/>
      <c r="DS592" s="1655"/>
      <c r="DT592" s="1655"/>
      <c r="DU592" s="1655"/>
      <c r="DV592" s="1655"/>
      <c r="DW592" s="1655"/>
      <c r="DX592" s="1655"/>
      <c r="DY592" s="1655"/>
      <c r="DZ592" s="1655"/>
      <c r="EA592" s="1655"/>
      <c r="EB592" s="1655"/>
      <c r="EC592" s="1655"/>
      <c r="ED592" s="1655"/>
      <c r="EE592" s="1655"/>
      <c r="EF592" s="1655"/>
      <c r="EG592" s="1655"/>
      <c r="EH592" s="1655"/>
      <c r="EI592" s="1655"/>
      <c r="EJ592" s="1655"/>
      <c r="EK592" s="1655"/>
      <c r="EL592" s="1655"/>
      <c r="EM592" s="1655"/>
      <c r="EN592" s="1655"/>
      <c r="EO592" s="1655"/>
      <c r="EP592" s="1655"/>
      <c r="EQ592" s="1655"/>
      <c r="ER592" s="1655"/>
      <c r="ES592" s="1655"/>
      <c r="ET592" s="1655"/>
      <c r="EU592" s="1655"/>
      <c r="EV592" s="1655"/>
      <c r="EW592" s="1655"/>
      <c r="EX592" s="1655"/>
      <c r="EY592" s="1655"/>
      <c r="EZ592" s="1655"/>
      <c r="FA592" s="1655"/>
      <c r="FB592" s="1655"/>
      <c r="FC592" s="1655"/>
      <c r="FD592" s="1655"/>
      <c r="FE592" s="1655"/>
      <c r="FF592" s="1655"/>
      <c r="FG592" s="1655"/>
      <c r="FH592" s="1655"/>
      <c r="FI592" s="1655"/>
    </row>
    <row r="593" spans="1:165">
      <c r="A593" s="1655"/>
      <c r="B593" s="1655"/>
      <c r="C593" s="1655"/>
      <c r="D593" s="1655"/>
      <c r="E593" s="1655"/>
      <c r="F593" s="1655"/>
      <c r="G593" s="1655"/>
      <c r="H593" s="1655"/>
      <c r="I593" s="1655"/>
      <c r="J593" s="1655"/>
      <c r="K593" s="1655"/>
      <c r="L593" s="1655"/>
      <c r="M593" s="1655"/>
      <c r="N593" s="1655"/>
      <c r="O593" s="1655"/>
      <c r="P593" s="1655"/>
      <c r="Q593" s="1655"/>
      <c r="R593" s="1655"/>
      <c r="S593" s="1655"/>
      <c r="T593" s="1655"/>
      <c r="U593" s="1655"/>
      <c r="V593" s="1655"/>
      <c r="W593" s="1655"/>
      <c r="X593" s="1655"/>
      <c r="Y593" s="1655"/>
      <c r="Z593" s="1655"/>
      <c r="AA593" s="1655"/>
      <c r="AB593" s="1655"/>
      <c r="AC593" s="1655"/>
      <c r="AD593" s="1655"/>
      <c r="AE593" s="1655"/>
      <c r="AF593" s="1655"/>
      <c r="AG593" s="1655"/>
      <c r="AH593" s="1655"/>
      <c r="AI593" s="1655"/>
      <c r="AJ593" s="1655"/>
      <c r="AK593" s="1655"/>
      <c r="AL593" s="1655"/>
      <c r="AM593" s="1655"/>
      <c r="AN593" s="1655"/>
      <c r="AO593" s="1655"/>
      <c r="AP593" s="1655"/>
      <c r="AQ593" s="1655"/>
      <c r="AR593" s="1655"/>
      <c r="AS593" s="1655"/>
      <c r="AT593" s="1655"/>
      <c r="AU593" s="1655"/>
      <c r="AV593" s="1655"/>
      <c r="AW593" s="1655"/>
      <c r="AX593" s="1655"/>
      <c r="AY593" s="1655"/>
      <c r="AZ593" s="1655"/>
      <c r="BA593" s="1655"/>
      <c r="BB593" s="1655"/>
      <c r="BC593" s="1655"/>
      <c r="BD593" s="1655"/>
      <c r="BE593" s="1655"/>
      <c r="BF593" s="1655"/>
      <c r="BG593" s="1655"/>
      <c r="BH593" s="1655"/>
      <c r="BI593" s="1655"/>
      <c r="BJ593" s="1655"/>
      <c r="BK593" s="1655"/>
      <c r="BL593" s="1655"/>
      <c r="BM593" s="1655"/>
      <c r="BN593" s="1655"/>
      <c r="BO593" s="1655"/>
      <c r="BP593" s="1655"/>
      <c r="BQ593" s="1655"/>
      <c r="BR593" s="1655"/>
      <c r="BS593" s="1655"/>
      <c r="BT593" s="1655"/>
      <c r="BU593" s="1655"/>
      <c r="BV593" s="1655"/>
      <c r="BW593" s="1655"/>
      <c r="BX593" s="1655"/>
      <c r="BY593" s="1655"/>
      <c r="BZ593" s="1655"/>
      <c r="CA593" s="1655"/>
      <c r="CB593" s="1655"/>
      <c r="CC593" s="1655"/>
      <c r="CD593" s="1655"/>
      <c r="CE593" s="1655"/>
      <c r="CF593" s="1655"/>
      <c r="CG593" s="1655"/>
      <c r="CH593" s="1655"/>
      <c r="CI593" s="1655"/>
      <c r="CJ593" s="1655"/>
      <c r="CK593" s="1655"/>
      <c r="CL593" s="1655"/>
      <c r="CM593" s="1655"/>
      <c r="CN593" s="1655"/>
      <c r="CO593" s="1655"/>
      <c r="CP593" s="1655"/>
      <c r="CQ593" s="1655"/>
      <c r="CR593" s="1655"/>
      <c r="CS593" s="1655"/>
      <c r="CT593" s="1655"/>
      <c r="CU593" s="1655"/>
      <c r="CV593" s="1655"/>
      <c r="CW593" s="1655"/>
      <c r="CX593" s="1655"/>
      <c r="CY593" s="1655"/>
      <c r="CZ593" s="1655"/>
      <c r="DA593" s="1655"/>
      <c r="DB593" s="1655"/>
      <c r="DC593" s="1655"/>
      <c r="DD593" s="1655"/>
      <c r="DE593" s="1655"/>
      <c r="DF593" s="1655"/>
      <c r="DG593" s="1655"/>
      <c r="DH593" s="1655"/>
      <c r="DI593" s="1655"/>
      <c r="DJ593" s="1655"/>
      <c r="DK593" s="1655"/>
      <c r="DL593" s="1655"/>
      <c r="DM593" s="1655"/>
      <c r="DN593" s="1655"/>
      <c r="DO593" s="1655"/>
      <c r="DP593" s="1655"/>
      <c r="DQ593" s="1655"/>
      <c r="DR593" s="1655"/>
      <c r="DS593" s="1655"/>
      <c r="DT593" s="1655"/>
      <c r="DU593" s="1655"/>
      <c r="DV593" s="1655"/>
      <c r="DW593" s="1655"/>
      <c r="DX593" s="1655"/>
      <c r="DY593" s="1655"/>
      <c r="DZ593" s="1655"/>
      <c r="EA593" s="1655"/>
      <c r="EB593" s="1655"/>
      <c r="EC593" s="1655"/>
      <c r="ED593" s="1655"/>
      <c r="EE593" s="1655"/>
      <c r="EF593" s="1655"/>
      <c r="EG593" s="1655"/>
      <c r="EH593" s="1655"/>
      <c r="EI593" s="1655"/>
      <c r="EJ593" s="1655"/>
      <c r="EK593" s="1655"/>
      <c r="EL593" s="1655"/>
      <c r="EM593" s="1655"/>
      <c r="EN593" s="1655"/>
      <c r="EO593" s="1655"/>
      <c r="EP593" s="1655"/>
      <c r="EQ593" s="1655"/>
      <c r="ER593" s="1655"/>
      <c r="ES593" s="1655"/>
      <c r="ET593" s="1655"/>
      <c r="EU593" s="1655"/>
      <c r="EV593" s="1655"/>
      <c r="EW593" s="1655"/>
      <c r="EX593" s="1655"/>
      <c r="EY593" s="1655"/>
      <c r="EZ593" s="1655"/>
      <c r="FA593" s="1655"/>
      <c r="FB593" s="1655"/>
      <c r="FC593" s="1655"/>
      <c r="FD593" s="1655"/>
      <c r="FE593" s="1655"/>
      <c r="FF593" s="1655"/>
      <c r="FG593" s="1655"/>
      <c r="FH593" s="1655"/>
      <c r="FI593" s="1655"/>
    </row>
    <row r="594" spans="1:165">
      <c r="A594" s="1655"/>
      <c r="B594" s="1655"/>
      <c r="C594" s="1655"/>
      <c r="D594" s="1655"/>
      <c r="E594" s="1655"/>
      <c r="F594" s="1655"/>
      <c r="G594" s="1655"/>
      <c r="H594" s="1655"/>
      <c r="I594" s="1655"/>
      <c r="J594" s="1655"/>
      <c r="K594" s="1655"/>
      <c r="L594" s="1655"/>
      <c r="M594" s="1655"/>
      <c r="N594" s="1655"/>
      <c r="O594" s="1655"/>
      <c r="P594" s="1655"/>
      <c r="Q594" s="1655"/>
      <c r="R594" s="1655"/>
      <c r="S594" s="1655"/>
      <c r="T594" s="1655"/>
      <c r="U594" s="1655"/>
      <c r="V594" s="1655"/>
      <c r="W594" s="1655"/>
      <c r="X594" s="1655"/>
      <c r="Y594" s="1655"/>
      <c r="Z594" s="1655"/>
      <c r="AA594" s="1655"/>
      <c r="AB594" s="1655"/>
      <c r="AC594" s="1655"/>
      <c r="AD594" s="1655"/>
      <c r="AE594" s="1655"/>
      <c r="AF594" s="1655"/>
      <c r="AG594" s="1655"/>
      <c r="AH594" s="1655"/>
      <c r="AI594" s="1655"/>
      <c r="AJ594" s="1655"/>
      <c r="AK594" s="1655"/>
      <c r="AL594" s="1655"/>
      <c r="AM594" s="1655"/>
      <c r="AN594" s="1655"/>
      <c r="AO594" s="1655"/>
      <c r="AP594" s="1655"/>
      <c r="AQ594" s="1655"/>
      <c r="AR594" s="1655"/>
      <c r="AS594" s="1655"/>
      <c r="AT594" s="1655"/>
      <c r="AU594" s="1655"/>
      <c r="AV594" s="1655"/>
      <c r="AW594" s="1655"/>
      <c r="AX594" s="1655"/>
      <c r="AY594" s="1655"/>
      <c r="AZ594" s="1655"/>
      <c r="BA594" s="1655"/>
      <c r="BB594" s="1655"/>
      <c r="BC594" s="1655"/>
      <c r="BD594" s="1655"/>
      <c r="BE594" s="1655"/>
      <c r="BF594" s="1655"/>
      <c r="BG594" s="1655"/>
      <c r="BH594" s="1655"/>
      <c r="BI594" s="1655"/>
      <c r="BJ594" s="1655"/>
      <c r="BK594" s="1655"/>
      <c r="BL594" s="1655"/>
      <c r="BM594" s="1655"/>
      <c r="BN594" s="1655"/>
      <c r="BO594" s="1655"/>
      <c r="BP594" s="1655"/>
      <c r="BQ594" s="1655"/>
      <c r="BR594" s="1655"/>
      <c r="BS594" s="1655"/>
      <c r="BT594" s="1655"/>
      <c r="BU594" s="1655"/>
      <c r="BV594" s="1655"/>
      <c r="BW594" s="1655"/>
      <c r="BX594" s="1655"/>
      <c r="BY594" s="1655"/>
      <c r="BZ594" s="1655"/>
      <c r="CA594" s="1655"/>
      <c r="CB594" s="1655"/>
      <c r="CC594" s="1655"/>
      <c r="CD594" s="1655"/>
      <c r="CE594" s="1655"/>
      <c r="CF594" s="1655"/>
      <c r="CG594" s="1655"/>
      <c r="CH594" s="1655"/>
      <c r="CI594" s="1655"/>
      <c r="CJ594" s="1655"/>
      <c r="CK594" s="1655"/>
      <c r="CL594" s="1655"/>
      <c r="CM594" s="1655"/>
      <c r="CN594" s="1655"/>
      <c r="CO594" s="1655"/>
      <c r="CP594" s="1655"/>
      <c r="CQ594" s="1655"/>
      <c r="CR594" s="1655"/>
      <c r="CS594" s="1655"/>
      <c r="CT594" s="1655"/>
      <c r="CU594" s="1655"/>
      <c r="CV594" s="1655"/>
      <c r="CW594" s="1655"/>
      <c r="CX594" s="1655"/>
      <c r="CY594" s="1655"/>
      <c r="CZ594" s="1655"/>
      <c r="DA594" s="1655"/>
      <c r="DB594" s="1655"/>
      <c r="DC594" s="1655"/>
      <c r="DD594" s="1655"/>
      <c r="DE594" s="1655"/>
      <c r="DF594" s="1655"/>
      <c r="DG594" s="1655"/>
      <c r="DH594" s="1655"/>
      <c r="DI594" s="1655"/>
      <c r="DJ594" s="1655"/>
      <c r="DK594" s="1655"/>
      <c r="DL594" s="1655"/>
      <c r="DM594" s="1655"/>
      <c r="DN594" s="1655"/>
      <c r="DO594" s="1655"/>
      <c r="DP594" s="1655"/>
      <c r="DQ594" s="1655"/>
      <c r="DR594" s="1655"/>
      <c r="DS594" s="1655"/>
      <c r="DT594" s="1655"/>
      <c r="DU594" s="1655"/>
      <c r="DV594" s="1655"/>
      <c r="DW594" s="1655"/>
      <c r="DX594" s="1655"/>
      <c r="DY594" s="1655"/>
      <c r="DZ594" s="1655"/>
      <c r="EA594" s="1655"/>
      <c r="EB594" s="1655"/>
      <c r="EC594" s="1655"/>
      <c r="ED594" s="1655"/>
      <c r="EE594" s="1655"/>
      <c r="EF594" s="1655"/>
      <c r="EG594" s="1655"/>
      <c r="EH594" s="1655"/>
      <c r="EI594" s="1655"/>
      <c r="EJ594" s="1655"/>
      <c r="EK594" s="1655"/>
      <c r="EL594" s="1655"/>
      <c r="EM594" s="1655"/>
      <c r="EN594" s="1655"/>
      <c r="EO594" s="1655"/>
      <c r="EP594" s="1655"/>
      <c r="EQ594" s="1655"/>
      <c r="ER594" s="1655"/>
      <c r="ES594" s="1655"/>
      <c r="ET594" s="1655"/>
      <c r="EU594" s="1655"/>
      <c r="EV594" s="1655"/>
      <c r="EW594" s="1655"/>
      <c r="EX594" s="1655"/>
      <c r="EY594" s="1655"/>
      <c r="EZ594" s="1655"/>
      <c r="FA594" s="1655"/>
      <c r="FB594" s="1655"/>
      <c r="FC594" s="1655"/>
      <c r="FD594" s="1655"/>
      <c r="FE594" s="1655"/>
      <c r="FF594" s="1655"/>
      <c r="FG594" s="1655"/>
      <c r="FH594" s="1655"/>
      <c r="FI594" s="1655"/>
    </row>
    <row r="595" spans="1:165">
      <c r="A595" s="1655"/>
      <c r="B595" s="1655"/>
      <c r="C595" s="1655"/>
      <c r="D595" s="1655"/>
      <c r="E595" s="1655"/>
      <c r="F595" s="1655"/>
      <c r="G595" s="1655"/>
      <c r="H595" s="1655"/>
      <c r="I595" s="1655"/>
      <c r="J595" s="1655"/>
      <c r="K595" s="1655"/>
      <c r="L595" s="1655"/>
      <c r="M595" s="1655"/>
      <c r="N595" s="1655"/>
      <c r="O595" s="1655"/>
      <c r="P595" s="1655"/>
      <c r="Q595" s="1655"/>
      <c r="R595" s="1655"/>
      <c r="S595" s="1655"/>
      <c r="T595" s="1655"/>
      <c r="U595" s="1655"/>
      <c r="V595" s="1655"/>
      <c r="W595" s="1655"/>
      <c r="X595" s="1655"/>
      <c r="Y595" s="1655"/>
      <c r="Z595" s="1655"/>
      <c r="AA595" s="1655"/>
      <c r="AB595" s="1655"/>
      <c r="AC595" s="1655"/>
      <c r="AD595" s="1655"/>
      <c r="AE595" s="1655"/>
      <c r="AF595" s="1655"/>
      <c r="AG595" s="1655"/>
      <c r="AH595" s="1655"/>
      <c r="AI595" s="1655"/>
      <c r="AJ595" s="1655"/>
      <c r="AK595" s="1655"/>
      <c r="AL595" s="1655"/>
      <c r="AM595" s="1655"/>
      <c r="AN595" s="1655"/>
      <c r="AO595" s="1655"/>
      <c r="AP595" s="1655"/>
      <c r="AQ595" s="1655"/>
      <c r="AR595" s="1655"/>
      <c r="AS595" s="1655"/>
      <c r="AT595" s="1655"/>
      <c r="AU595" s="1655"/>
      <c r="AV595" s="1655"/>
      <c r="AW595" s="1655"/>
      <c r="AX595" s="1655"/>
      <c r="AY595" s="1655"/>
      <c r="AZ595" s="1655"/>
      <c r="BA595" s="1655"/>
      <c r="BB595" s="1655"/>
      <c r="BC595" s="1655"/>
      <c r="BD595" s="1655"/>
      <c r="BE595" s="1655"/>
      <c r="BF595" s="1655"/>
      <c r="BG595" s="1655"/>
      <c r="BH595" s="1655"/>
      <c r="BI595" s="1655"/>
      <c r="BJ595" s="1655"/>
      <c r="BK595" s="1655"/>
      <c r="BL595" s="1655"/>
      <c r="BM595" s="1655"/>
      <c r="BN595" s="1655"/>
      <c r="BO595" s="1655"/>
      <c r="BP595" s="1655"/>
      <c r="BQ595" s="1655"/>
      <c r="BR595" s="1655"/>
      <c r="BS595" s="1655"/>
      <c r="BT595" s="1655"/>
      <c r="BU595" s="1655"/>
      <c r="BV595" s="1655"/>
      <c r="BW595" s="1655"/>
      <c r="BX595" s="1655"/>
      <c r="BY595" s="1655"/>
      <c r="BZ595" s="1655"/>
      <c r="CA595" s="1655"/>
      <c r="CB595" s="1655"/>
      <c r="CC595" s="1655"/>
      <c r="CD595" s="1655"/>
      <c r="CE595" s="1655"/>
      <c r="CF595" s="1655"/>
      <c r="CG595" s="1655"/>
      <c r="CH595" s="1655"/>
      <c r="CI595" s="1655"/>
      <c r="CJ595" s="1655"/>
      <c r="CK595" s="1655"/>
      <c r="CL595" s="1655"/>
      <c r="CM595" s="1655"/>
      <c r="CN595" s="1655"/>
      <c r="CO595" s="1655"/>
      <c r="CP595" s="1655"/>
      <c r="CQ595" s="1655"/>
      <c r="CR595" s="1655"/>
      <c r="CS595" s="1655"/>
      <c r="CT595" s="1655"/>
      <c r="CU595" s="1655"/>
      <c r="CV595" s="1655"/>
      <c r="CW595" s="1655"/>
      <c r="CX595" s="1655"/>
      <c r="CY595" s="1655"/>
      <c r="CZ595" s="1655"/>
      <c r="DA595" s="1655"/>
      <c r="DB595" s="1655"/>
      <c r="DC595" s="1655"/>
      <c r="DD595" s="1655"/>
      <c r="DE595" s="1655"/>
      <c r="DF595" s="1655"/>
      <c r="DG595" s="1655"/>
      <c r="DH595" s="1655"/>
      <c r="DI595" s="1655"/>
      <c r="DJ595" s="1655"/>
      <c r="DK595" s="1655"/>
      <c r="DL595" s="1655"/>
      <c r="DM595" s="1655"/>
      <c r="DN595" s="1655"/>
      <c r="DO595" s="1655"/>
      <c r="DP595" s="1655"/>
      <c r="DQ595" s="1655"/>
      <c r="DR595" s="1655"/>
      <c r="DS595" s="1655"/>
      <c r="DT595" s="1655"/>
      <c r="DU595" s="1655"/>
      <c r="DV595" s="1655"/>
      <c r="DW595" s="1655"/>
      <c r="DX595" s="1655"/>
      <c r="DY595" s="1655"/>
      <c r="DZ595" s="1655"/>
      <c r="EA595" s="1655"/>
      <c r="EB595" s="1655"/>
      <c r="EC595" s="1655"/>
      <c r="ED595" s="1655"/>
      <c r="EE595" s="1655"/>
      <c r="EF595" s="1655"/>
      <c r="EG595" s="1655"/>
      <c r="EH595" s="1655"/>
      <c r="EI595" s="1655"/>
      <c r="EJ595" s="1655"/>
      <c r="EK595" s="1655"/>
      <c r="EL595" s="1655"/>
      <c r="EM595" s="1655"/>
      <c r="EN595" s="1655"/>
      <c r="EO595" s="1655"/>
      <c r="EP595" s="1655"/>
      <c r="EQ595" s="1655"/>
      <c r="ER595" s="1655"/>
      <c r="ES595" s="1655"/>
      <c r="ET595" s="1655"/>
      <c r="EU595" s="1655"/>
      <c r="EV595" s="1655"/>
      <c r="EW595" s="1655"/>
      <c r="EX595" s="1655"/>
      <c r="EY595" s="1655"/>
      <c r="EZ595" s="1655"/>
      <c r="FA595" s="1655"/>
      <c r="FB595" s="1655"/>
      <c r="FC595" s="1655"/>
      <c r="FD595" s="1655"/>
      <c r="FE595" s="1655"/>
      <c r="FF595" s="1655"/>
      <c r="FG595" s="1655"/>
      <c r="FH595" s="1655"/>
      <c r="FI595" s="1655"/>
    </row>
    <row r="596" spans="1:165">
      <c r="A596" s="1655"/>
      <c r="B596" s="1655"/>
      <c r="C596" s="1655"/>
      <c r="D596" s="1655"/>
      <c r="E596" s="1655"/>
      <c r="F596" s="1655"/>
      <c r="G596" s="1655"/>
      <c r="H596" s="1655"/>
      <c r="I596" s="1655"/>
      <c r="J596" s="1655"/>
      <c r="K596" s="1655"/>
      <c r="L596" s="1655"/>
      <c r="M596" s="1655"/>
      <c r="N596" s="1655"/>
      <c r="O596" s="1655"/>
      <c r="P596" s="1655"/>
      <c r="Q596" s="1655"/>
      <c r="R596" s="1655"/>
      <c r="S596" s="1655"/>
      <c r="T596" s="1655"/>
      <c r="U596" s="1655"/>
      <c r="V596" s="1655"/>
      <c r="W596" s="1655"/>
      <c r="X596" s="1655"/>
      <c r="Y596" s="1655"/>
      <c r="Z596" s="1655"/>
      <c r="AA596" s="1655"/>
      <c r="AB596" s="1655"/>
      <c r="AC596" s="1655"/>
      <c r="AD596" s="1655"/>
      <c r="AE596" s="1655"/>
      <c r="AF596" s="1655"/>
      <c r="AG596" s="1655"/>
      <c r="AH596" s="1655"/>
      <c r="AI596" s="1655"/>
      <c r="AJ596" s="1655"/>
      <c r="AK596" s="1655"/>
      <c r="AL596" s="1655"/>
      <c r="AM596" s="1655"/>
      <c r="AN596" s="1655"/>
      <c r="AO596" s="1655"/>
      <c r="AP596" s="1655"/>
      <c r="AQ596" s="1655"/>
      <c r="AR596" s="1655"/>
      <c r="AS596" s="1655"/>
      <c r="AT596" s="1655"/>
      <c r="AU596" s="1655"/>
      <c r="AV596" s="1655"/>
      <c r="AW596" s="1655"/>
      <c r="AX596" s="1655"/>
      <c r="AY596" s="1655"/>
      <c r="AZ596" s="1655"/>
      <c r="BA596" s="1655"/>
      <c r="BB596" s="1655"/>
      <c r="BC596" s="1655"/>
      <c r="BD596" s="1655"/>
      <c r="BE596" s="1655"/>
      <c r="BF596" s="1655"/>
      <c r="BG596" s="1655"/>
      <c r="BH596" s="1655"/>
      <c r="BI596" s="1655"/>
      <c r="BJ596" s="1655"/>
      <c r="BK596" s="1655"/>
      <c r="BL596" s="1655"/>
      <c r="BM596" s="1655"/>
      <c r="BN596" s="1655"/>
      <c r="BO596" s="1655"/>
      <c r="BP596" s="1655"/>
      <c r="BQ596" s="1655"/>
      <c r="BR596" s="1655"/>
      <c r="BS596" s="1655"/>
      <c r="BT596" s="1655"/>
      <c r="BU596" s="1655"/>
      <c r="BV596" s="1655"/>
      <c r="BW596" s="1655"/>
      <c r="BX596" s="1655"/>
      <c r="BY596" s="1655"/>
      <c r="BZ596" s="1655"/>
      <c r="CA596" s="1655"/>
      <c r="CB596" s="1655"/>
      <c r="CC596" s="1655"/>
      <c r="CD596" s="1655"/>
      <c r="CE596" s="1655"/>
      <c r="CF596" s="1655"/>
      <c r="CG596" s="1655"/>
      <c r="CH596" s="1655"/>
      <c r="CI596" s="1655"/>
      <c r="CJ596" s="1655"/>
      <c r="CK596" s="1655"/>
      <c r="CL596" s="1655"/>
      <c r="CM596" s="1655"/>
      <c r="CN596" s="1655"/>
      <c r="CO596" s="1655"/>
      <c r="CP596" s="1655"/>
      <c r="CQ596" s="1655"/>
      <c r="CR596" s="1655"/>
      <c r="CS596" s="1655"/>
      <c r="CT596" s="1655"/>
      <c r="CU596" s="1655"/>
      <c r="CV596" s="1655"/>
      <c r="CW596" s="1655"/>
      <c r="CX596" s="1655"/>
      <c r="CY596" s="1655"/>
      <c r="CZ596" s="1655"/>
      <c r="DA596" s="1655"/>
      <c r="DB596" s="1655"/>
      <c r="DC596" s="1655"/>
      <c r="DD596" s="1655"/>
      <c r="DE596" s="1655"/>
      <c r="DF596" s="1655"/>
      <c r="DG596" s="1655"/>
      <c r="DH596" s="1655"/>
      <c r="DI596" s="1655"/>
      <c r="DJ596" s="1655"/>
      <c r="DK596" s="1655"/>
      <c r="DL596" s="1655"/>
      <c r="DM596" s="1655"/>
      <c r="DN596" s="1655"/>
      <c r="DO596" s="1655"/>
      <c r="DP596" s="1655"/>
      <c r="DQ596" s="1655"/>
      <c r="DR596" s="1655"/>
      <c r="DS596" s="1655"/>
      <c r="DT596" s="1655"/>
      <c r="DU596" s="1655"/>
      <c r="DV596" s="1655"/>
      <c r="DW596" s="1655"/>
      <c r="DX596" s="1655"/>
      <c r="DY596" s="1655"/>
      <c r="DZ596" s="1655"/>
      <c r="EA596" s="1655"/>
      <c r="EB596" s="1655"/>
      <c r="EC596" s="1655"/>
      <c r="ED596" s="1655"/>
      <c r="EE596" s="1655"/>
      <c r="EF596" s="1655"/>
      <c r="EG596" s="1655"/>
      <c r="EH596" s="1655"/>
      <c r="EI596" s="1655"/>
      <c r="EJ596" s="1655"/>
      <c r="EK596" s="1655"/>
      <c r="EL596" s="1655"/>
      <c r="EM596" s="1655"/>
      <c r="EN596" s="1655"/>
      <c r="EO596" s="1655"/>
      <c r="EP596" s="1655"/>
      <c r="EQ596" s="1655"/>
      <c r="ER596" s="1655"/>
      <c r="ES596" s="1655"/>
      <c r="ET596" s="1655"/>
      <c r="EU596" s="1655"/>
      <c r="EV596" s="1655"/>
      <c r="EW596" s="1655"/>
      <c r="EX596" s="1655"/>
      <c r="EY596" s="1655"/>
      <c r="EZ596" s="1655"/>
      <c r="FA596" s="1655"/>
      <c r="FB596" s="1655"/>
      <c r="FC596" s="1655"/>
      <c r="FD596" s="1655"/>
      <c r="FE596" s="1655"/>
      <c r="FF596" s="1655"/>
      <c r="FG596" s="1655"/>
      <c r="FH596" s="1655"/>
      <c r="FI596" s="1655"/>
    </row>
    <row r="597" spans="1:165">
      <c r="A597" s="1655"/>
      <c r="B597" s="1655"/>
      <c r="C597" s="1655"/>
      <c r="D597" s="1655"/>
      <c r="E597" s="1655"/>
      <c r="F597" s="1655"/>
      <c r="G597" s="1655"/>
      <c r="H597" s="1655"/>
      <c r="I597" s="1655"/>
      <c r="J597" s="1655"/>
      <c r="K597" s="1655"/>
      <c r="L597" s="1655"/>
      <c r="M597" s="1655"/>
      <c r="N597" s="1655"/>
      <c r="O597" s="1655"/>
      <c r="P597" s="1655"/>
      <c r="Q597" s="1655"/>
      <c r="R597" s="1655"/>
      <c r="S597" s="1655"/>
      <c r="T597" s="1655"/>
      <c r="U597" s="1655"/>
      <c r="V597" s="1655"/>
      <c r="W597" s="1655"/>
      <c r="X597" s="1655"/>
      <c r="Y597" s="1655"/>
      <c r="Z597" s="1655"/>
      <c r="AA597" s="1655"/>
      <c r="AB597" s="1655"/>
      <c r="AC597" s="1655"/>
      <c r="AD597" s="1655"/>
      <c r="AE597" s="1655"/>
      <c r="AF597" s="1655"/>
      <c r="AG597" s="1655"/>
      <c r="AH597" s="1655"/>
      <c r="AI597" s="1655"/>
      <c r="AJ597" s="1655"/>
      <c r="AK597" s="1655"/>
      <c r="AL597" s="1655"/>
      <c r="AM597" s="1655"/>
      <c r="AN597" s="1655"/>
      <c r="AO597" s="1655"/>
      <c r="AP597" s="1655"/>
      <c r="AQ597" s="1655"/>
      <c r="AR597" s="1655"/>
      <c r="AS597" s="1655"/>
      <c r="AT597" s="1655"/>
      <c r="AU597" s="1655"/>
      <c r="AV597" s="1655"/>
      <c r="AW597" s="1655"/>
      <c r="AX597" s="1655"/>
      <c r="AY597" s="1655"/>
      <c r="AZ597" s="1655"/>
      <c r="BA597" s="1655"/>
      <c r="BB597" s="1655"/>
      <c r="BC597" s="1655"/>
      <c r="BD597" s="1655"/>
      <c r="BE597" s="1655"/>
      <c r="BF597" s="1655"/>
      <c r="BG597" s="1655"/>
      <c r="BH597" s="1655"/>
      <c r="BI597" s="1655"/>
      <c r="BJ597" s="1655"/>
      <c r="BK597" s="1655"/>
      <c r="BL597" s="1655"/>
      <c r="BM597" s="1655"/>
      <c r="BN597" s="1655"/>
      <c r="BO597" s="1655"/>
      <c r="BP597" s="1655"/>
      <c r="BQ597" s="1655"/>
      <c r="BR597" s="1655"/>
      <c r="BS597" s="1655"/>
      <c r="BT597" s="1655"/>
      <c r="BU597" s="1655"/>
      <c r="BV597" s="1655"/>
      <c r="BW597" s="1655"/>
      <c r="BX597" s="1655"/>
      <c r="BY597" s="1655"/>
      <c r="BZ597" s="1655"/>
      <c r="CA597" s="1655"/>
      <c r="CB597" s="1655"/>
      <c r="CC597" s="1655"/>
      <c r="CD597" s="1655"/>
      <c r="CE597" s="1655"/>
      <c r="CF597" s="1655"/>
      <c r="CG597" s="1655"/>
      <c r="CH597" s="1655"/>
      <c r="CI597" s="1655"/>
      <c r="CJ597" s="1655"/>
      <c r="CK597" s="1655"/>
      <c r="CL597" s="1655"/>
      <c r="CM597" s="1655"/>
      <c r="CN597" s="1655"/>
      <c r="CO597" s="1655"/>
      <c r="CP597" s="1655"/>
      <c r="CQ597" s="1655"/>
      <c r="CR597" s="1655"/>
      <c r="CS597" s="1655"/>
      <c r="CT597" s="1655"/>
      <c r="CU597" s="1655"/>
      <c r="CV597" s="1655"/>
      <c r="CW597" s="1655"/>
      <c r="CX597" s="1655"/>
      <c r="CY597" s="1655"/>
      <c r="CZ597" s="1655"/>
      <c r="DA597" s="1655"/>
      <c r="DB597" s="1655"/>
      <c r="DC597" s="1655"/>
      <c r="DD597" s="1655"/>
      <c r="DE597" s="1655"/>
      <c r="DF597" s="1655"/>
      <c r="DG597" s="1655"/>
      <c r="DH597" s="1655"/>
      <c r="DI597" s="1655"/>
      <c r="DJ597" s="1655"/>
      <c r="DK597" s="1655"/>
      <c r="DL597" s="1655"/>
      <c r="DM597" s="1655"/>
      <c r="DN597" s="1655"/>
      <c r="DO597" s="1655"/>
      <c r="DP597" s="1655"/>
      <c r="DQ597" s="1655"/>
      <c r="DR597" s="1655"/>
      <c r="DS597" s="1655"/>
      <c r="DT597" s="1655"/>
      <c r="DU597" s="1655"/>
      <c r="DV597" s="1655"/>
      <c r="DW597" s="1655"/>
      <c r="DX597" s="1655"/>
      <c r="DY597" s="1655"/>
      <c r="DZ597" s="1655"/>
      <c r="EA597" s="1655"/>
      <c r="EB597" s="1655"/>
      <c r="EC597" s="1655"/>
      <c r="ED597" s="1655"/>
      <c r="EE597" s="1655"/>
      <c r="EF597" s="1655"/>
      <c r="EG597" s="1655"/>
      <c r="EH597" s="1655"/>
      <c r="EI597" s="1655"/>
      <c r="EJ597" s="1655"/>
      <c r="EK597" s="1655"/>
      <c r="EL597" s="1655"/>
      <c r="EM597" s="1655"/>
      <c r="EN597" s="1655"/>
      <c r="EO597" s="1655"/>
      <c r="EP597" s="1655"/>
      <c r="EQ597" s="1655"/>
      <c r="ER597" s="1655"/>
      <c r="ES597" s="1655"/>
      <c r="ET597" s="1655"/>
      <c r="EU597" s="1655"/>
      <c r="EV597" s="1655"/>
      <c r="EW597" s="1655"/>
      <c r="EX597" s="1655"/>
      <c r="EY597" s="1655"/>
      <c r="EZ597" s="1655"/>
      <c r="FA597" s="1655"/>
      <c r="FB597" s="1655"/>
      <c r="FC597" s="1655"/>
      <c r="FD597" s="1655"/>
      <c r="FE597" s="1655"/>
      <c r="FF597" s="1655"/>
      <c r="FG597" s="1655"/>
      <c r="FH597" s="1655"/>
      <c r="FI597" s="1655"/>
    </row>
    <row r="598" spans="1:165">
      <c r="A598" s="1655"/>
      <c r="B598" s="1655"/>
      <c r="C598" s="1655"/>
      <c r="D598" s="1655"/>
      <c r="E598" s="1655"/>
      <c r="F598" s="1655"/>
      <c r="G598" s="1655"/>
      <c r="H598" s="1655"/>
      <c r="I598" s="1655"/>
      <c r="J598" s="1655"/>
      <c r="K598" s="1655"/>
      <c r="L598" s="1655"/>
      <c r="M598" s="1655"/>
      <c r="N598" s="1655"/>
      <c r="O598" s="1655"/>
      <c r="P598" s="1655"/>
      <c r="Q598" s="1655"/>
      <c r="R598" s="1655"/>
      <c r="S598" s="1655"/>
      <c r="T598" s="1655"/>
      <c r="U598" s="1655"/>
      <c r="V598" s="1655"/>
      <c r="W598" s="1655"/>
      <c r="X598" s="1655"/>
      <c r="Y598" s="1655"/>
      <c r="Z598" s="1655"/>
      <c r="AA598" s="1655"/>
      <c r="AB598" s="1655"/>
      <c r="AC598" s="1655"/>
      <c r="AD598" s="1655"/>
      <c r="AE598" s="1655"/>
      <c r="AF598" s="1655"/>
      <c r="AG598" s="1655"/>
      <c r="AH598" s="1655"/>
      <c r="AI598" s="1655"/>
      <c r="AJ598" s="1655"/>
      <c r="AK598" s="1655"/>
      <c r="AL598" s="1655"/>
      <c r="AM598" s="1655"/>
      <c r="AN598" s="1655"/>
      <c r="AO598" s="1655"/>
      <c r="AP598" s="1655"/>
      <c r="AQ598" s="1655"/>
      <c r="AR598" s="1655"/>
      <c r="AS598" s="1655"/>
      <c r="AT598" s="1655"/>
      <c r="AU598" s="1655"/>
      <c r="AV598" s="1655"/>
      <c r="AW598" s="1655"/>
      <c r="AX598" s="1655"/>
      <c r="AY598" s="1655"/>
      <c r="AZ598" s="1655"/>
      <c r="BA598" s="1655"/>
      <c r="BB598" s="1655"/>
      <c r="BC598" s="1655"/>
      <c r="BD598" s="1655"/>
      <c r="BE598" s="1655"/>
      <c r="BF598" s="1655"/>
      <c r="BG598" s="1655"/>
      <c r="BH598" s="1655"/>
      <c r="BI598" s="1655"/>
      <c r="BJ598" s="1655"/>
      <c r="BK598" s="1655"/>
      <c r="BL598" s="1655"/>
      <c r="BM598" s="1655"/>
      <c r="BN598" s="1655"/>
      <c r="BO598" s="1655"/>
      <c r="BP598" s="1655"/>
      <c r="BQ598" s="1655"/>
      <c r="BR598" s="1655"/>
      <c r="BS598" s="1655"/>
      <c r="BT598" s="1655"/>
      <c r="BU598" s="1655"/>
      <c r="BV598" s="1655"/>
      <c r="BW598" s="1655"/>
      <c r="BX598" s="1655"/>
      <c r="BY598" s="1655"/>
      <c r="BZ598" s="1655"/>
      <c r="CA598" s="1655"/>
      <c r="CB598" s="1655"/>
      <c r="CC598" s="1655"/>
      <c r="CD598" s="1655"/>
      <c r="CE598" s="1655"/>
      <c r="CF598" s="1655"/>
      <c r="CG598" s="1655"/>
      <c r="CH598" s="1655"/>
      <c r="CI598" s="1655"/>
      <c r="CJ598" s="1655"/>
      <c r="CK598" s="1655"/>
      <c r="CL598" s="1655"/>
      <c r="CM598" s="1655"/>
      <c r="CN598" s="1655"/>
      <c r="CO598" s="1655"/>
      <c r="CP598" s="1655"/>
      <c r="CQ598" s="1655"/>
      <c r="CR598" s="1655"/>
      <c r="CS598" s="1655"/>
      <c r="CT598" s="1655"/>
      <c r="CU598" s="1655"/>
      <c r="CV598" s="1655"/>
      <c r="CW598" s="1655"/>
      <c r="CX598" s="1655"/>
      <c r="CY598" s="1655"/>
      <c r="CZ598" s="1655"/>
      <c r="DA598" s="1655"/>
      <c r="DB598" s="1655"/>
      <c r="DC598" s="1655"/>
      <c r="DD598" s="1655"/>
      <c r="DE598" s="1655"/>
      <c r="DF598" s="1655"/>
      <c r="DG598" s="1655"/>
      <c r="DH598" s="1655"/>
      <c r="DI598" s="1655"/>
      <c r="DJ598" s="1655"/>
      <c r="DK598" s="1655"/>
      <c r="DL598" s="1655"/>
      <c r="DM598" s="1655"/>
      <c r="DN598" s="1655"/>
      <c r="DO598" s="1655"/>
      <c r="DP598" s="1655"/>
      <c r="DQ598" s="1655"/>
      <c r="DR598" s="1655"/>
      <c r="DS598" s="1655"/>
      <c r="DT598" s="1655"/>
      <c r="DU598" s="1655"/>
      <c r="DV598" s="1655"/>
      <c r="DW598" s="1655"/>
      <c r="DX598" s="1655"/>
      <c r="DY598" s="1655"/>
      <c r="DZ598" s="1655"/>
      <c r="EA598" s="1655"/>
      <c r="EB598" s="1655"/>
      <c r="EC598" s="1655"/>
      <c r="ED598" s="1655"/>
      <c r="EE598" s="1655"/>
      <c r="EF598" s="1655"/>
      <c r="EG598" s="1655"/>
      <c r="EH598" s="1655"/>
      <c r="EI598" s="1655"/>
      <c r="EJ598" s="1655"/>
      <c r="EK598" s="1655"/>
      <c r="EL598" s="1655"/>
      <c r="EM598" s="1655"/>
      <c r="EN598" s="1655"/>
      <c r="EO598" s="1655"/>
      <c r="EP598" s="1655"/>
      <c r="EQ598" s="1655"/>
      <c r="ER598" s="1655"/>
      <c r="ES598" s="1655"/>
      <c r="ET598" s="1655"/>
      <c r="EU598" s="1655"/>
      <c r="EV598" s="1655"/>
      <c r="EW598" s="1655"/>
      <c r="EX598" s="1655"/>
      <c r="EY598" s="1655"/>
      <c r="EZ598" s="1655"/>
      <c r="FA598" s="1655"/>
      <c r="FB598" s="1655"/>
      <c r="FC598" s="1655"/>
      <c r="FD598" s="1655"/>
      <c r="FE598" s="1655"/>
      <c r="FF598" s="1655"/>
      <c r="FG598" s="1655"/>
      <c r="FH598" s="1655"/>
      <c r="FI598" s="1655"/>
    </row>
    <row r="599" spans="1:165">
      <c r="A599" s="1655"/>
      <c r="B599" s="1655"/>
      <c r="C599" s="1655"/>
      <c r="D599" s="1655"/>
      <c r="E599" s="1655"/>
      <c r="F599" s="1655"/>
      <c r="G599" s="1655"/>
      <c r="H599" s="1655"/>
      <c r="I599" s="1655"/>
      <c r="J599" s="1655"/>
      <c r="K599" s="1655"/>
      <c r="L599" s="1655"/>
      <c r="M599" s="1655"/>
      <c r="N599" s="1655"/>
      <c r="O599" s="1655"/>
      <c r="P599" s="1655"/>
      <c r="Q599" s="1655"/>
      <c r="R599" s="1655"/>
      <c r="S599" s="1655"/>
      <c r="T599" s="1655"/>
      <c r="U599" s="1655"/>
      <c r="V599" s="1655"/>
      <c r="W599" s="1655"/>
      <c r="X599" s="1655"/>
      <c r="Y599" s="1655"/>
      <c r="Z599" s="1655"/>
      <c r="AA599" s="1655"/>
      <c r="AB599" s="1655"/>
      <c r="AC599" s="1655"/>
      <c r="AD599" s="1655"/>
      <c r="AE599" s="1655"/>
      <c r="AF599" s="1655"/>
      <c r="AG599" s="1655"/>
      <c r="AH599" s="1655"/>
      <c r="AI599" s="1655"/>
      <c r="AJ599" s="1655"/>
      <c r="AK599" s="1655"/>
      <c r="AL599" s="1655"/>
      <c r="AM599" s="1655"/>
      <c r="AN599" s="1655"/>
      <c r="AO599" s="1655"/>
      <c r="AP599" s="1655"/>
      <c r="AQ599" s="1655"/>
      <c r="AR599" s="1655"/>
      <c r="AS599" s="1655"/>
      <c r="AT599" s="1655"/>
      <c r="AU599" s="1655"/>
      <c r="AV599" s="1655"/>
      <c r="AW599" s="1655"/>
      <c r="AX599" s="1655"/>
      <c r="AY599" s="1655"/>
      <c r="AZ599" s="1655"/>
      <c r="BA599" s="1655"/>
      <c r="BB599" s="1655"/>
      <c r="BC599" s="1655"/>
      <c r="BD599" s="1655"/>
      <c r="BE599" s="1655"/>
      <c r="BF599" s="1655"/>
      <c r="BG599" s="1655"/>
      <c r="BH599" s="1655"/>
      <c r="BI599" s="1655"/>
      <c r="BJ599" s="1655"/>
      <c r="BK599" s="1655"/>
      <c r="BL599" s="1655"/>
      <c r="BM599" s="1655"/>
      <c r="BN599" s="1655"/>
      <c r="BO599" s="1655"/>
      <c r="BP599" s="1655"/>
      <c r="BQ599" s="1655"/>
      <c r="BR599" s="1655"/>
      <c r="BS599" s="1655"/>
      <c r="BT599" s="1655"/>
      <c r="BU599" s="1655"/>
      <c r="BV599" s="1655"/>
      <c r="BW599" s="1655"/>
      <c r="BX599" s="1655"/>
      <c r="BY599" s="1655"/>
      <c r="BZ599" s="1655"/>
      <c r="CA599" s="1655"/>
      <c r="CB599" s="1655"/>
      <c r="CC599" s="1655"/>
      <c r="CD599" s="1655"/>
      <c r="CE599" s="1655"/>
      <c r="CF599" s="1655"/>
      <c r="CG599" s="1655"/>
      <c r="CH599" s="1655"/>
      <c r="CI599" s="1655"/>
      <c r="CJ599" s="1655"/>
      <c r="CK599" s="1655"/>
      <c r="CL599" s="1655"/>
      <c r="CM599" s="1655"/>
      <c r="CN599" s="1655"/>
      <c r="CO599" s="1655"/>
      <c r="CP599" s="1655"/>
      <c r="CQ599" s="1655"/>
      <c r="CR599" s="1655"/>
      <c r="CS599" s="1655"/>
      <c r="CT599" s="1655"/>
      <c r="CU599" s="1655"/>
      <c r="CV599" s="1655"/>
      <c r="CW599" s="1655"/>
      <c r="CX599" s="1655"/>
      <c r="CY599" s="1655"/>
      <c r="CZ599" s="1655"/>
      <c r="DA599" s="1655"/>
      <c r="DB599" s="1655"/>
      <c r="DC599" s="1655"/>
      <c r="DD599" s="1655"/>
      <c r="DE599" s="1655"/>
      <c r="DF599" s="1655"/>
      <c r="DG599" s="1655"/>
      <c r="DH599" s="1655"/>
      <c r="DI599" s="1655"/>
      <c r="DJ599" s="1655"/>
      <c r="DK599" s="1655"/>
      <c r="DL599" s="1655"/>
      <c r="DM599" s="1655"/>
      <c r="DN599" s="1655"/>
      <c r="DO599" s="1655"/>
      <c r="DP599" s="1655"/>
      <c r="DQ599" s="1655"/>
      <c r="DR599" s="1655"/>
      <c r="DS599" s="1655"/>
      <c r="DT599" s="1655"/>
      <c r="DU599" s="1655"/>
      <c r="DV599" s="1655"/>
      <c r="DW599" s="1655"/>
      <c r="DX599" s="1655"/>
      <c r="DY599" s="1655"/>
      <c r="DZ599" s="1655"/>
      <c r="EA599" s="1655"/>
      <c r="EB599" s="1655"/>
      <c r="EC599" s="1655"/>
      <c r="ED599" s="1655"/>
      <c r="EE599" s="1655"/>
      <c r="EF599" s="1655"/>
      <c r="EG599" s="1655"/>
      <c r="EH599" s="1655"/>
      <c r="EI599" s="1655"/>
      <c r="EJ599" s="1655"/>
      <c r="EK599" s="1655"/>
      <c r="EL599" s="1655"/>
      <c r="EM599" s="1655"/>
      <c r="EN599" s="1655"/>
      <c r="EO599" s="1655"/>
      <c r="EP599" s="1655"/>
      <c r="EQ599" s="1655"/>
      <c r="ER599" s="1655"/>
      <c r="ES599" s="1655"/>
      <c r="ET599" s="1655"/>
      <c r="EU599" s="1655"/>
      <c r="EV599" s="1655"/>
      <c r="EW599" s="1655"/>
      <c r="EX599" s="1655"/>
      <c r="EY599" s="1655"/>
      <c r="EZ599" s="1655"/>
      <c r="FA599" s="1655"/>
      <c r="FB599" s="1655"/>
      <c r="FC599" s="1655"/>
      <c r="FD599" s="1655"/>
      <c r="FE599" s="1655"/>
      <c r="FF599" s="1655"/>
      <c r="FG599" s="1655"/>
      <c r="FH599" s="1655"/>
      <c r="FI599" s="1655"/>
    </row>
    <row r="600" spans="1:165">
      <c r="A600" s="1655"/>
      <c r="B600" s="1655"/>
      <c r="C600" s="1655"/>
      <c r="D600" s="1655"/>
      <c r="E600" s="1655"/>
      <c r="F600" s="1655"/>
      <c r="G600" s="1655"/>
      <c r="H600" s="1655"/>
      <c r="I600" s="1655"/>
      <c r="J600" s="1655"/>
      <c r="K600" s="1655"/>
      <c r="L600" s="1655"/>
      <c r="M600" s="1655"/>
      <c r="N600" s="1655"/>
      <c r="O600" s="1655"/>
      <c r="P600" s="1655"/>
      <c r="Q600" s="1655"/>
      <c r="R600" s="1655"/>
      <c r="S600" s="1655"/>
      <c r="T600" s="1655"/>
      <c r="U600" s="1655"/>
      <c r="V600" s="1655"/>
      <c r="W600" s="1655"/>
      <c r="X600" s="1655"/>
      <c r="Y600" s="1655"/>
      <c r="Z600" s="1655"/>
      <c r="AA600" s="1655"/>
      <c r="AB600" s="1655"/>
      <c r="AC600" s="1655"/>
      <c r="AD600" s="1655"/>
      <c r="AE600" s="1655"/>
      <c r="AF600" s="1655"/>
      <c r="AG600" s="1655"/>
      <c r="AH600" s="1655"/>
      <c r="AI600" s="1655"/>
      <c r="AJ600" s="1655"/>
      <c r="AK600" s="1655"/>
      <c r="AL600" s="1655"/>
      <c r="AM600" s="1655"/>
      <c r="AN600" s="1655"/>
      <c r="AO600" s="1655"/>
      <c r="AP600" s="1655"/>
      <c r="AQ600" s="1655"/>
      <c r="AR600" s="1655"/>
      <c r="AS600" s="1655"/>
      <c r="AT600" s="1655"/>
      <c r="AU600" s="1655"/>
      <c r="AV600" s="1655"/>
      <c r="AW600" s="1655"/>
      <c r="AX600" s="1655"/>
      <c r="AY600" s="1655"/>
      <c r="AZ600" s="1655"/>
      <c r="BA600" s="1655"/>
      <c r="BB600" s="1655"/>
      <c r="BC600" s="1655"/>
      <c r="BD600" s="1655"/>
      <c r="BE600" s="1655"/>
      <c r="BF600" s="1655"/>
      <c r="BG600" s="1655"/>
      <c r="BH600" s="1655"/>
      <c r="BI600" s="1655"/>
      <c r="BJ600" s="1655"/>
      <c r="BK600" s="1655"/>
      <c r="BL600" s="1655"/>
      <c r="BM600" s="1655"/>
      <c r="BN600" s="1655"/>
      <c r="BO600" s="1655"/>
      <c r="BP600" s="1655"/>
      <c r="BQ600" s="1655"/>
      <c r="BR600" s="1655"/>
      <c r="BS600" s="1655"/>
      <c r="BT600" s="1655"/>
      <c r="BU600" s="1655"/>
      <c r="BV600" s="1655"/>
      <c r="BW600" s="1655"/>
      <c r="BX600" s="1655"/>
      <c r="BY600" s="1655"/>
      <c r="BZ600" s="1655"/>
      <c r="CA600" s="1655"/>
      <c r="CB600" s="1655"/>
      <c r="CC600" s="1655"/>
      <c r="CD600" s="1655"/>
      <c r="CE600" s="1655"/>
      <c r="CF600" s="1655"/>
      <c r="CG600" s="1655"/>
      <c r="CH600" s="1655"/>
      <c r="CI600" s="1655"/>
      <c r="CJ600" s="1655"/>
      <c r="CK600" s="1655"/>
      <c r="CL600" s="1655"/>
      <c r="CM600" s="1655"/>
      <c r="CN600" s="1655"/>
      <c r="CO600" s="1655"/>
      <c r="CP600" s="1655"/>
      <c r="CQ600" s="1655"/>
      <c r="CR600" s="1655"/>
      <c r="CS600" s="1655"/>
      <c r="CT600" s="1655"/>
      <c r="CU600" s="1655"/>
      <c r="CV600" s="1655"/>
      <c r="CW600" s="1655"/>
      <c r="CX600" s="1655"/>
      <c r="CY600" s="1655"/>
      <c r="CZ600" s="1655"/>
      <c r="DA600" s="1655"/>
      <c r="DB600" s="1655"/>
      <c r="DC600" s="1655"/>
      <c r="DD600" s="1655"/>
      <c r="DE600" s="1655"/>
      <c r="DF600" s="1655"/>
      <c r="DG600" s="1655"/>
      <c r="DH600" s="1655"/>
      <c r="DI600" s="1655"/>
      <c r="DJ600" s="1655"/>
      <c r="DK600" s="1655"/>
      <c r="DL600" s="1655"/>
      <c r="DM600" s="1655"/>
      <c r="DN600" s="1655"/>
      <c r="DO600" s="1655"/>
      <c r="DP600" s="1655"/>
      <c r="DQ600" s="1655"/>
      <c r="DR600" s="1655"/>
      <c r="DS600" s="1655"/>
      <c r="DT600" s="1655"/>
      <c r="DU600" s="1655"/>
      <c r="DV600" s="1655"/>
      <c r="DW600" s="1655"/>
      <c r="DX600" s="1655"/>
      <c r="DY600" s="1655"/>
      <c r="DZ600" s="1655"/>
      <c r="EA600" s="1655"/>
      <c r="EB600" s="1655"/>
      <c r="EC600" s="1655"/>
      <c r="ED600" s="1655"/>
      <c r="EE600" s="1655"/>
      <c r="EF600" s="1655"/>
      <c r="EG600" s="1655"/>
      <c r="EH600" s="1655"/>
      <c r="EI600" s="1655"/>
      <c r="EJ600" s="1655"/>
      <c r="EK600" s="1655"/>
      <c r="EL600" s="1655"/>
      <c r="EM600" s="1655"/>
      <c r="EN600" s="1655"/>
      <c r="EO600" s="1655"/>
      <c r="EP600" s="1655"/>
      <c r="EQ600" s="1655"/>
      <c r="ER600" s="1655"/>
      <c r="ES600" s="1655"/>
      <c r="ET600" s="1655"/>
      <c r="EU600" s="1655"/>
      <c r="EV600" s="1655"/>
      <c r="EW600" s="1655"/>
      <c r="EX600" s="1655"/>
      <c r="EY600" s="1655"/>
      <c r="EZ600" s="1655"/>
      <c r="FA600" s="1655"/>
      <c r="FB600" s="1655"/>
      <c r="FC600" s="1655"/>
      <c r="FD600" s="1655"/>
      <c r="FE600" s="1655"/>
      <c r="FF600" s="1655"/>
      <c r="FG600" s="1655"/>
      <c r="FH600" s="1655"/>
      <c r="FI600" s="1655"/>
    </row>
    <row r="601" spans="1:165">
      <c r="A601" s="1655"/>
      <c r="B601" s="1655"/>
      <c r="C601" s="1655"/>
      <c r="D601" s="1655"/>
      <c r="E601" s="1655"/>
      <c r="F601" s="1655"/>
      <c r="G601" s="1655"/>
      <c r="H601" s="1655"/>
      <c r="I601" s="1655"/>
      <c r="J601" s="1655"/>
      <c r="K601" s="1655"/>
      <c r="L601" s="1655"/>
      <c r="M601" s="1655"/>
      <c r="N601" s="1655"/>
      <c r="O601" s="1655"/>
      <c r="P601" s="1655"/>
      <c r="Q601" s="1655"/>
      <c r="R601" s="1655"/>
      <c r="S601" s="1655"/>
      <c r="T601" s="1655"/>
      <c r="U601" s="1655"/>
      <c r="V601" s="1655"/>
      <c r="W601" s="1655"/>
      <c r="X601" s="1655"/>
      <c r="Y601" s="1655"/>
      <c r="Z601" s="1655"/>
      <c r="AA601" s="1655"/>
      <c r="AB601" s="1655"/>
      <c r="AC601" s="1655"/>
      <c r="AD601" s="1655"/>
      <c r="AE601" s="1655"/>
      <c r="AF601" s="1655"/>
      <c r="AG601" s="1655"/>
      <c r="AH601" s="1655"/>
      <c r="AI601" s="1655"/>
      <c r="AJ601" s="1655"/>
      <c r="AK601" s="1655"/>
      <c r="AL601" s="1655"/>
      <c r="AM601" s="1655"/>
      <c r="AN601" s="1655"/>
      <c r="AO601" s="1655"/>
      <c r="AP601" s="1655"/>
      <c r="AQ601" s="1655"/>
      <c r="AR601" s="1655"/>
      <c r="AS601" s="1655"/>
      <c r="AT601" s="1655"/>
      <c r="AU601" s="1655"/>
      <c r="AV601" s="1655"/>
      <c r="AW601" s="1655"/>
      <c r="AX601" s="1655"/>
      <c r="AY601" s="1655"/>
      <c r="AZ601" s="1655"/>
      <c r="BA601" s="1655"/>
      <c r="BB601" s="1655"/>
      <c r="BC601" s="1655"/>
      <c r="BD601" s="1655"/>
      <c r="BE601" s="1655"/>
      <c r="BF601" s="1655"/>
      <c r="BG601" s="1655"/>
      <c r="BH601" s="1655"/>
      <c r="BI601" s="1655"/>
      <c r="BJ601" s="1655"/>
      <c r="BK601" s="1655"/>
      <c r="BL601" s="1655"/>
      <c r="BM601" s="1655"/>
      <c r="BN601" s="1655"/>
      <c r="BO601" s="1655"/>
      <c r="BP601" s="1655"/>
      <c r="BQ601" s="1655"/>
      <c r="BR601" s="1655"/>
      <c r="BS601" s="1655"/>
      <c r="BT601" s="1655"/>
      <c r="BU601" s="1655"/>
      <c r="BV601" s="1655"/>
      <c r="BW601" s="1655"/>
      <c r="BX601" s="1655"/>
      <c r="BY601" s="1655"/>
      <c r="BZ601" s="1655"/>
      <c r="CA601" s="1655"/>
      <c r="CB601" s="1655"/>
      <c r="CC601" s="1655"/>
      <c r="CD601" s="1655"/>
      <c r="CE601" s="1655"/>
      <c r="CF601" s="1655"/>
      <c r="CG601" s="1655"/>
      <c r="CH601" s="1655"/>
      <c r="CI601" s="1655"/>
      <c r="CJ601" s="1655"/>
      <c r="CK601" s="1655"/>
      <c r="CL601" s="1655"/>
      <c r="CM601" s="1655"/>
      <c r="CN601" s="1655"/>
      <c r="CO601" s="1655"/>
      <c r="CP601" s="1655"/>
      <c r="CQ601" s="1655"/>
      <c r="CR601" s="1655"/>
      <c r="CS601" s="1655"/>
      <c r="CT601" s="1655"/>
      <c r="CU601" s="1655"/>
      <c r="CV601" s="1655"/>
      <c r="CW601" s="1655"/>
      <c r="CX601" s="1655"/>
      <c r="CY601" s="1655"/>
      <c r="CZ601" s="1655"/>
      <c r="DA601" s="1655"/>
      <c r="DB601" s="1655"/>
      <c r="DC601" s="1655"/>
      <c r="DD601" s="1655"/>
      <c r="DE601" s="1655"/>
      <c r="DF601" s="1655"/>
      <c r="DG601" s="1655"/>
      <c r="DH601" s="1655"/>
      <c r="DI601" s="1655"/>
      <c r="DJ601" s="1655"/>
      <c r="DK601" s="1655"/>
      <c r="DL601" s="1655"/>
      <c r="DM601" s="1655"/>
      <c r="DN601" s="1655"/>
      <c r="DO601" s="1655"/>
      <c r="DP601" s="1655"/>
      <c r="DQ601" s="1655"/>
      <c r="DR601" s="1655"/>
      <c r="DS601" s="1655"/>
      <c r="DT601" s="1655"/>
      <c r="DU601" s="1655"/>
      <c r="DV601" s="1655"/>
      <c r="DW601" s="1655"/>
      <c r="DX601" s="1655"/>
      <c r="DY601" s="1655"/>
      <c r="DZ601" s="1655"/>
      <c r="EA601" s="1655"/>
      <c r="EB601" s="1655"/>
      <c r="EC601" s="1655"/>
      <c r="ED601" s="1655"/>
      <c r="EE601" s="1655"/>
      <c r="EF601" s="1655"/>
      <c r="EG601" s="1655"/>
      <c r="EH601" s="1655"/>
      <c r="EI601" s="1655"/>
      <c r="EJ601" s="1655"/>
      <c r="EK601" s="1655"/>
      <c r="EL601" s="1655"/>
      <c r="EM601" s="1655"/>
      <c r="EN601" s="1655"/>
      <c r="EO601" s="1655"/>
      <c r="EP601" s="1655"/>
      <c r="EQ601" s="1655"/>
      <c r="ER601" s="1655"/>
      <c r="ES601" s="1655"/>
      <c r="ET601" s="1655"/>
      <c r="EU601" s="1655"/>
      <c r="EV601" s="1655"/>
      <c r="EW601" s="1655"/>
      <c r="EX601" s="1655"/>
      <c r="EY601" s="1655"/>
      <c r="EZ601" s="1655"/>
      <c r="FA601" s="1655"/>
      <c r="FB601" s="1655"/>
      <c r="FC601" s="1655"/>
      <c r="FD601" s="1655"/>
      <c r="FE601" s="1655"/>
      <c r="FF601" s="1655"/>
      <c r="FG601" s="1655"/>
      <c r="FH601" s="1655"/>
      <c r="FI601" s="1655"/>
    </row>
    <row r="602" spans="1:165">
      <c r="A602" s="1655"/>
      <c r="B602" s="1655"/>
      <c r="C602" s="1655"/>
      <c r="D602" s="1655"/>
      <c r="E602" s="1655"/>
      <c r="F602" s="1655"/>
      <c r="G602" s="1655"/>
      <c r="H602" s="1655"/>
      <c r="I602" s="1655"/>
      <c r="J602" s="1655"/>
      <c r="K602" s="1655"/>
      <c r="L602" s="1655"/>
      <c r="M602" s="1655"/>
      <c r="N602" s="1655"/>
      <c r="O602" s="1655"/>
      <c r="P602" s="1655"/>
      <c r="Q602" s="1655"/>
      <c r="R602" s="1655"/>
      <c r="S602" s="1655"/>
      <c r="T602" s="1655"/>
      <c r="U602" s="1655"/>
      <c r="V602" s="1655"/>
      <c r="W602" s="1655"/>
      <c r="X602" s="1655"/>
      <c r="Y602" s="1655"/>
      <c r="Z602" s="1655"/>
      <c r="AA602" s="1655"/>
      <c r="AB602" s="1655"/>
      <c r="AC602" s="1655"/>
      <c r="AD602" s="1655"/>
      <c r="AE602" s="1655"/>
      <c r="AF602" s="1655"/>
      <c r="AG602" s="1655"/>
      <c r="AH602" s="1655"/>
      <c r="AI602" s="1655"/>
      <c r="AJ602" s="1655"/>
      <c r="AK602" s="1655"/>
      <c r="AL602" s="1655"/>
      <c r="AM602" s="1655"/>
      <c r="AN602" s="1655"/>
      <c r="AO602" s="1655"/>
      <c r="AP602" s="1655"/>
      <c r="AQ602" s="1655"/>
      <c r="AR602" s="1655"/>
      <c r="AS602" s="1655"/>
      <c r="AT602" s="1655"/>
      <c r="AU602" s="1655"/>
      <c r="AV602" s="1655"/>
      <c r="AW602" s="1655"/>
      <c r="AX602" s="1655"/>
      <c r="AY602" s="1655"/>
      <c r="AZ602" s="1655"/>
      <c r="BA602" s="1655"/>
      <c r="BB602" s="1655"/>
      <c r="BC602" s="1655"/>
      <c r="BD602" s="1655"/>
      <c r="BE602" s="1655"/>
      <c r="BF602" s="1655"/>
      <c r="BG602" s="1655"/>
      <c r="BH602" s="1655"/>
      <c r="BI602" s="1655"/>
      <c r="BJ602" s="1655"/>
      <c r="BK602" s="1655"/>
      <c r="BL602" s="1655"/>
      <c r="BM602" s="1655"/>
      <c r="BN602" s="1655"/>
      <c r="BO602" s="1655"/>
      <c r="BP602" s="1655"/>
      <c r="BQ602" s="1655"/>
      <c r="BR602" s="1655"/>
      <c r="BS602" s="1655"/>
      <c r="BT602" s="1655"/>
      <c r="BU602" s="1655"/>
      <c r="BV602" s="1655"/>
      <c r="BW602" s="1655"/>
      <c r="BX602" s="1655"/>
      <c r="BY602" s="1655"/>
      <c r="BZ602" s="1655"/>
      <c r="CA602" s="1655"/>
      <c r="CB602" s="1655"/>
      <c r="CC602" s="1655"/>
      <c r="CD602" s="1655"/>
      <c r="CE602" s="1655"/>
      <c r="CF602" s="1655"/>
      <c r="CG602" s="1655"/>
      <c r="CH602" s="1655"/>
      <c r="CI602" s="1655"/>
      <c r="CJ602" s="1655"/>
      <c r="CK602" s="1655"/>
      <c r="CL602" s="1655"/>
      <c r="CM602" s="1655"/>
      <c r="CN602" s="1655"/>
      <c r="CO602" s="1655"/>
      <c r="CP602" s="1655"/>
      <c r="CQ602" s="1655"/>
      <c r="CR602" s="1655"/>
      <c r="CS602" s="1655"/>
      <c r="CT602" s="1655"/>
      <c r="CU602" s="1655"/>
      <c r="CV602" s="1655"/>
      <c r="CW602" s="1655"/>
      <c r="CX602" s="1655"/>
      <c r="CY602" s="1655"/>
      <c r="CZ602" s="1655"/>
      <c r="DA602" s="1655"/>
      <c r="DB602" s="1655"/>
      <c r="DC602" s="1655"/>
      <c r="DD602" s="1655"/>
      <c r="DE602" s="1655"/>
      <c r="DF602" s="1655"/>
      <c r="DG602" s="1655"/>
      <c r="DH602" s="1655"/>
      <c r="DI602" s="1655"/>
      <c r="DJ602" s="1655"/>
      <c r="DK602" s="1655"/>
      <c r="DL602" s="1655"/>
      <c r="DM602" s="1655"/>
      <c r="DN602" s="1655"/>
      <c r="DO602" s="1655"/>
      <c r="DP602" s="1655"/>
      <c r="DQ602" s="1655"/>
      <c r="DR602" s="1655"/>
      <c r="DS602" s="1655"/>
      <c r="DT602" s="1655"/>
      <c r="DU602" s="1655"/>
      <c r="DV602" s="1655"/>
      <c r="DW602" s="1655"/>
      <c r="DX602" s="1655"/>
      <c r="DY602" s="1655"/>
      <c r="DZ602" s="1655"/>
      <c r="EA602" s="1655"/>
      <c r="EB602" s="1655"/>
      <c r="EC602" s="1655"/>
      <c r="ED602" s="1655"/>
      <c r="EE602" s="1655"/>
      <c r="EF602" s="1655"/>
      <c r="EG602" s="1655"/>
      <c r="EH602" s="1655"/>
      <c r="EI602" s="1655"/>
      <c r="EJ602" s="1655"/>
      <c r="EK602" s="1655"/>
      <c r="EL602" s="1655"/>
      <c r="EM602" s="1655"/>
      <c r="EN602" s="1655"/>
      <c r="EO602" s="1655"/>
      <c r="EP602" s="1655"/>
      <c r="EQ602" s="1655"/>
      <c r="ER602" s="1655"/>
      <c r="ES602" s="1655"/>
      <c r="ET602" s="1655"/>
      <c r="EU602" s="1655"/>
      <c r="EV602" s="1655"/>
      <c r="EW602" s="1655"/>
      <c r="EX602" s="1655"/>
      <c r="EY602" s="1655"/>
      <c r="EZ602" s="1655"/>
      <c r="FA602" s="1655"/>
      <c r="FB602" s="1655"/>
      <c r="FC602" s="1655"/>
      <c r="FD602" s="1655"/>
      <c r="FE602" s="1655"/>
      <c r="FF602" s="1655"/>
      <c r="FG602" s="1655"/>
      <c r="FH602" s="1655"/>
      <c r="FI602" s="1655"/>
    </row>
    <row r="603" spans="1:165">
      <c r="A603" s="1655"/>
      <c r="B603" s="1655"/>
      <c r="C603" s="1655"/>
      <c r="D603" s="1655"/>
      <c r="E603" s="1655"/>
      <c r="F603" s="1655"/>
      <c r="G603" s="1655"/>
      <c r="H603" s="1655"/>
      <c r="I603" s="1655"/>
      <c r="J603" s="1655"/>
      <c r="K603" s="1655"/>
      <c r="L603" s="1655"/>
      <c r="M603" s="1655"/>
      <c r="N603" s="1655"/>
      <c r="O603" s="1655"/>
      <c r="P603" s="1655"/>
      <c r="Q603" s="1655"/>
      <c r="R603" s="1655"/>
      <c r="S603" s="1655"/>
      <c r="T603" s="1655"/>
      <c r="U603" s="1655"/>
      <c r="V603" s="1655"/>
      <c r="W603" s="1655"/>
      <c r="X603" s="1655"/>
      <c r="Y603" s="1655"/>
      <c r="Z603" s="1655"/>
      <c r="AA603" s="1655"/>
      <c r="AB603" s="1655"/>
      <c r="AC603" s="1655"/>
      <c r="AD603" s="1655"/>
      <c r="AE603" s="1655"/>
      <c r="AF603" s="1655"/>
      <c r="AG603" s="1655"/>
      <c r="AH603" s="1655"/>
      <c r="AI603" s="1655"/>
      <c r="AJ603" s="1655"/>
      <c r="AK603" s="1655"/>
      <c r="AL603" s="1655"/>
      <c r="AM603" s="1655"/>
      <c r="AN603" s="1655"/>
      <c r="AO603" s="1655"/>
      <c r="AP603" s="1655"/>
      <c r="AQ603" s="1655"/>
      <c r="AR603" s="1655"/>
      <c r="AS603" s="1655"/>
      <c r="AT603" s="1655"/>
      <c r="AU603" s="1655"/>
      <c r="AV603" s="1655"/>
      <c r="AW603" s="1655"/>
      <c r="AX603" s="1655"/>
      <c r="AY603" s="1655"/>
      <c r="AZ603" s="1655"/>
      <c r="BA603" s="1655"/>
      <c r="BB603" s="1655"/>
      <c r="BC603" s="1655"/>
      <c r="BD603" s="1655"/>
      <c r="BE603" s="1655"/>
      <c r="BF603" s="1655"/>
      <c r="BG603" s="1655"/>
      <c r="BH603" s="1655"/>
      <c r="BI603" s="1655"/>
      <c r="BJ603" s="1655"/>
      <c r="BK603" s="1655"/>
      <c r="BL603" s="1655"/>
      <c r="BM603" s="1655"/>
      <c r="BN603" s="1655"/>
      <c r="BO603" s="1655"/>
      <c r="BP603" s="1655"/>
      <c r="BQ603" s="1655"/>
      <c r="BR603" s="1655"/>
      <c r="BS603" s="1655"/>
      <c r="BT603" s="1655"/>
      <c r="BU603" s="1655"/>
      <c r="BV603" s="1655"/>
      <c r="BW603" s="1655"/>
      <c r="BX603" s="1655"/>
      <c r="BY603" s="1655"/>
      <c r="BZ603" s="1655"/>
      <c r="CA603" s="1655"/>
      <c r="CB603" s="1655"/>
      <c r="CC603" s="1655"/>
      <c r="CD603" s="1655"/>
      <c r="CE603" s="1655"/>
      <c r="CF603" s="1655"/>
      <c r="CG603" s="1655"/>
      <c r="CH603" s="1655"/>
      <c r="CI603" s="1655"/>
      <c r="CJ603" s="1655"/>
      <c r="CK603" s="1655"/>
      <c r="CL603" s="1655"/>
      <c r="CM603" s="1655"/>
      <c r="CN603" s="1655"/>
      <c r="CO603" s="1655"/>
      <c r="CP603" s="1655"/>
      <c r="CQ603" s="1655"/>
      <c r="CR603" s="1655"/>
      <c r="CS603" s="1655"/>
      <c r="CT603" s="1655"/>
      <c r="CU603" s="1655"/>
      <c r="CV603" s="1655"/>
      <c r="CW603" s="1655"/>
      <c r="CX603" s="1655"/>
      <c r="CY603" s="1655"/>
      <c r="CZ603" s="1655"/>
      <c r="DA603" s="1655"/>
      <c r="DB603" s="1655"/>
      <c r="DC603" s="1655"/>
      <c r="DD603" s="1655"/>
      <c r="DE603" s="1655"/>
      <c r="DF603" s="1655"/>
      <c r="DG603" s="1655"/>
      <c r="DH603" s="1655"/>
      <c r="DI603" s="1655"/>
      <c r="DJ603" s="1655"/>
      <c r="DK603" s="1655"/>
      <c r="DL603" s="1655"/>
      <c r="DM603" s="1655"/>
      <c r="DN603" s="1655"/>
      <c r="DO603" s="1655"/>
      <c r="DP603" s="1655"/>
      <c r="DQ603" s="1655"/>
      <c r="DR603" s="1655"/>
      <c r="DS603" s="1655"/>
      <c r="DT603" s="1655"/>
      <c r="DU603" s="1655"/>
      <c r="DV603" s="1655"/>
      <c r="DW603" s="1655"/>
      <c r="DX603" s="1655"/>
      <c r="DY603" s="1655"/>
      <c r="DZ603" s="1655"/>
      <c r="EA603" s="1655"/>
      <c r="EB603" s="1655"/>
      <c r="EC603" s="1655"/>
      <c r="ED603" s="1655"/>
      <c r="EE603" s="1655"/>
      <c r="EF603" s="1655"/>
      <c r="EG603" s="1655"/>
      <c r="EH603" s="1655"/>
      <c r="EI603" s="1655"/>
      <c r="EJ603" s="1655"/>
      <c r="EK603" s="1655"/>
      <c r="EL603" s="1655"/>
      <c r="EM603" s="1655"/>
      <c r="EN603" s="1655"/>
      <c r="EO603" s="1655"/>
      <c r="EP603" s="1655"/>
      <c r="EQ603" s="1655"/>
      <c r="ER603" s="1655"/>
      <c r="ES603" s="1655"/>
      <c r="ET603" s="1655"/>
      <c r="EU603" s="1655"/>
      <c r="EV603" s="1655"/>
      <c r="EW603" s="1655"/>
      <c r="EX603" s="1655"/>
      <c r="EY603" s="1655"/>
      <c r="EZ603" s="1655"/>
      <c r="FA603" s="1655"/>
      <c r="FB603" s="1655"/>
      <c r="FC603" s="1655"/>
      <c r="FD603" s="1655"/>
      <c r="FE603" s="1655"/>
      <c r="FF603" s="1655"/>
      <c r="FG603" s="1655"/>
      <c r="FH603" s="1655"/>
      <c r="FI603" s="1655"/>
    </row>
    <row r="604" spans="1:165">
      <c r="A604" s="1655"/>
      <c r="B604" s="1655"/>
      <c r="C604" s="1655"/>
      <c r="D604" s="1655"/>
      <c r="E604" s="1655"/>
      <c r="F604" s="1655"/>
      <c r="G604" s="1655"/>
      <c r="H604" s="1655"/>
      <c r="I604" s="1655"/>
      <c r="J604" s="1655"/>
      <c r="K604" s="1655"/>
      <c r="L604" s="1655"/>
      <c r="M604" s="1655"/>
      <c r="N604" s="1655"/>
      <c r="O604" s="1655"/>
      <c r="P604" s="1655"/>
      <c r="Q604" s="1655"/>
      <c r="R604" s="1655"/>
      <c r="S604" s="1655"/>
      <c r="T604" s="1655"/>
      <c r="U604" s="1655"/>
      <c r="V604" s="1655"/>
      <c r="W604" s="1655"/>
      <c r="X604" s="1655"/>
      <c r="Y604" s="1655"/>
      <c r="Z604" s="1655"/>
      <c r="AA604" s="1655"/>
      <c r="AB604" s="1655"/>
      <c r="AC604" s="1655"/>
      <c r="AD604" s="1655"/>
      <c r="AE604" s="1655"/>
      <c r="AF604" s="1655"/>
      <c r="AG604" s="1655"/>
      <c r="AH604" s="1655"/>
      <c r="AI604" s="1655"/>
      <c r="AJ604" s="1655"/>
      <c r="AK604" s="1655"/>
      <c r="AL604" s="1655"/>
      <c r="AM604" s="1655"/>
      <c r="AN604" s="1655"/>
      <c r="AO604" s="1655"/>
      <c r="AP604" s="1655"/>
      <c r="AQ604" s="1655"/>
      <c r="AR604" s="1655"/>
      <c r="AS604" s="1655"/>
      <c r="AT604" s="1655"/>
      <c r="AU604" s="1655"/>
      <c r="AV604" s="1655"/>
      <c r="AW604" s="1655"/>
      <c r="AX604" s="1655"/>
      <c r="AY604" s="1655"/>
      <c r="AZ604" s="1655"/>
      <c r="BA604" s="1655"/>
      <c r="BB604" s="1655"/>
      <c r="BC604" s="1655"/>
      <c r="BD604" s="1655"/>
      <c r="BE604" s="1655"/>
      <c r="BF604" s="1655"/>
      <c r="BG604" s="1655"/>
      <c r="BH604" s="1655"/>
      <c r="BI604" s="1655"/>
      <c r="BJ604" s="1655"/>
      <c r="BK604" s="1655"/>
      <c r="BL604" s="1655"/>
      <c r="BM604" s="1655"/>
      <c r="BN604" s="1655"/>
      <c r="BO604" s="1655"/>
      <c r="BP604" s="1655"/>
      <c r="BQ604" s="1655"/>
      <c r="BR604" s="1655"/>
      <c r="BS604" s="1655"/>
      <c r="BT604" s="1655"/>
      <c r="BU604" s="1655"/>
      <c r="BV604" s="1655"/>
      <c r="BW604" s="1655"/>
      <c r="BX604" s="1655"/>
      <c r="BY604" s="1655"/>
      <c r="BZ604" s="1655"/>
      <c r="CA604" s="1655"/>
      <c r="CB604" s="1655"/>
      <c r="CC604" s="1655"/>
      <c r="CD604" s="1655"/>
      <c r="CE604" s="1655"/>
      <c r="CF604" s="1655"/>
      <c r="CG604" s="1655"/>
      <c r="CH604" s="1655"/>
      <c r="CI604" s="1655"/>
      <c r="CJ604" s="1655"/>
      <c r="CK604" s="1655"/>
      <c r="CL604" s="1655"/>
      <c r="CM604" s="1655"/>
      <c r="CN604" s="1655"/>
      <c r="CO604" s="1655"/>
      <c r="CP604" s="1655"/>
      <c r="CQ604" s="1655"/>
      <c r="CR604" s="1655"/>
      <c r="CS604" s="1655"/>
      <c r="CT604" s="1655"/>
      <c r="CU604" s="1655"/>
      <c r="CV604" s="1655"/>
      <c r="CW604" s="1655"/>
      <c r="CX604" s="1655"/>
      <c r="CY604" s="1655"/>
      <c r="CZ604" s="1655"/>
      <c r="DA604" s="1655"/>
      <c r="DB604" s="1655"/>
      <c r="DC604" s="1655"/>
      <c r="DD604" s="1655"/>
      <c r="DE604" s="1655"/>
      <c r="DF604" s="1655"/>
      <c r="DG604" s="1655"/>
      <c r="DH604" s="1655"/>
      <c r="DI604" s="1655"/>
      <c r="DJ604" s="1655"/>
      <c r="DK604" s="1655"/>
      <c r="DL604" s="1655"/>
      <c r="DM604" s="1655"/>
      <c r="DN604" s="1655"/>
      <c r="DO604" s="1655"/>
      <c r="DP604" s="1655"/>
      <c r="DQ604" s="1655"/>
      <c r="DR604" s="1655"/>
      <c r="DS604" s="1655"/>
      <c r="DT604" s="1655"/>
      <c r="DU604" s="1655"/>
      <c r="DV604" s="1655"/>
      <c r="DW604" s="1655"/>
      <c r="DX604" s="1655"/>
      <c r="DY604" s="1655"/>
      <c r="DZ604" s="1655"/>
      <c r="EA604" s="1655"/>
      <c r="EB604" s="1655"/>
      <c r="EC604" s="1655"/>
      <c r="ED604" s="1655"/>
      <c r="EE604" s="1655"/>
      <c r="EF604" s="1655"/>
      <c r="EG604" s="1655"/>
      <c r="EH604" s="1655"/>
      <c r="EI604" s="1655"/>
      <c r="EJ604" s="1655"/>
      <c r="EK604" s="1655"/>
      <c r="EL604" s="1655"/>
      <c r="EM604" s="1655"/>
      <c r="EN604" s="1655"/>
      <c r="EO604" s="1655"/>
      <c r="EP604" s="1655"/>
      <c r="EQ604" s="1655"/>
      <c r="ER604" s="1655"/>
      <c r="ES604" s="1655"/>
      <c r="ET604" s="1655"/>
      <c r="EU604" s="1655"/>
      <c r="EV604" s="1655"/>
      <c r="EW604" s="1655"/>
      <c r="EX604" s="1655"/>
      <c r="EY604" s="1655"/>
      <c r="EZ604" s="1655"/>
      <c r="FA604" s="1655"/>
      <c r="FB604" s="1655"/>
      <c r="FC604" s="1655"/>
      <c r="FD604" s="1655"/>
      <c r="FE604" s="1655"/>
      <c r="FF604" s="1655"/>
      <c r="FG604" s="1655"/>
      <c r="FH604" s="1655"/>
      <c r="FI604" s="1655"/>
    </row>
    <row r="605" spans="1:165">
      <c r="A605" s="1655"/>
      <c r="B605" s="1655"/>
      <c r="C605" s="1655"/>
      <c r="D605" s="1655"/>
      <c r="E605" s="1655"/>
      <c r="F605" s="1655"/>
      <c r="G605" s="1655"/>
      <c r="H605" s="1655"/>
      <c r="I605" s="1655"/>
      <c r="J605" s="1655"/>
      <c r="K605" s="1655"/>
      <c r="L605" s="1655"/>
      <c r="M605" s="1655"/>
      <c r="N605" s="1655"/>
      <c r="O605" s="1655"/>
      <c r="P605" s="1655"/>
      <c r="Q605" s="1655"/>
      <c r="R605" s="1655"/>
      <c r="S605" s="1655"/>
      <c r="T605" s="1655"/>
      <c r="U605" s="1655"/>
      <c r="V605" s="1655"/>
      <c r="W605" s="1655"/>
      <c r="X605" s="1655"/>
      <c r="Y605" s="1655"/>
      <c r="Z605" s="1655"/>
      <c r="AA605" s="1655"/>
      <c r="AB605" s="1655"/>
      <c r="AC605" s="1655"/>
      <c r="AD605" s="1655"/>
      <c r="AE605" s="1655"/>
      <c r="AF605" s="1655"/>
      <c r="AG605" s="1655"/>
      <c r="AH605" s="1655"/>
      <c r="AI605" s="1655"/>
      <c r="AJ605" s="1655"/>
      <c r="AK605" s="1655"/>
      <c r="AL605" s="1655"/>
      <c r="AM605" s="1655"/>
      <c r="AN605" s="1655"/>
      <c r="AO605" s="1655"/>
      <c r="AP605" s="1655"/>
      <c r="AQ605" s="1655"/>
      <c r="AR605" s="1655"/>
      <c r="AS605" s="1655"/>
      <c r="AT605" s="1655"/>
      <c r="AU605" s="1655"/>
      <c r="AV605" s="1655"/>
      <c r="AW605" s="1655"/>
      <c r="AX605" s="1655"/>
      <c r="AY605" s="1655"/>
      <c r="AZ605" s="1655"/>
      <c r="BA605" s="1655"/>
      <c r="BB605" s="1655"/>
      <c r="BC605" s="1655"/>
      <c r="BD605" s="1655"/>
      <c r="BE605" s="1655"/>
      <c r="BF605" s="1655"/>
      <c r="BG605" s="1655"/>
      <c r="BH605" s="1655"/>
      <c r="BI605" s="1655"/>
      <c r="BJ605" s="1655"/>
      <c r="BK605" s="1655"/>
      <c r="BL605" s="1655"/>
      <c r="BM605" s="1655"/>
      <c r="BN605" s="1655"/>
      <c r="BO605" s="1655"/>
      <c r="BP605" s="1655"/>
      <c r="BQ605" s="1655"/>
      <c r="BR605" s="1655"/>
      <c r="BS605" s="1655"/>
      <c r="BT605" s="1655"/>
      <c r="BU605" s="1655"/>
      <c r="BV605" s="1655"/>
      <c r="BW605" s="1655"/>
      <c r="BX605" s="1655"/>
      <c r="BY605" s="1655"/>
      <c r="BZ605" s="1655"/>
      <c r="CA605" s="1655"/>
      <c r="CB605" s="1655"/>
      <c r="CC605" s="1655"/>
      <c r="CD605" s="1655"/>
      <c r="CE605" s="1655"/>
      <c r="CF605" s="1655"/>
      <c r="CG605" s="1655"/>
      <c r="CH605" s="1655"/>
      <c r="CI605" s="1655"/>
      <c r="CJ605" s="1655"/>
      <c r="CK605" s="1655"/>
      <c r="CL605" s="1655"/>
      <c r="CM605" s="1655"/>
      <c r="CN605" s="1655"/>
      <c r="CO605" s="1655"/>
      <c r="CP605" s="1655"/>
      <c r="CQ605" s="1655"/>
      <c r="CR605" s="1655"/>
      <c r="CS605" s="1655"/>
      <c r="CT605" s="1655"/>
      <c r="CU605" s="1655"/>
      <c r="CV605" s="1655"/>
      <c r="CW605" s="1655"/>
      <c r="CX605" s="1655"/>
      <c r="CY605" s="1655"/>
      <c r="CZ605" s="1655"/>
      <c r="DA605" s="1655"/>
      <c r="DB605" s="1655"/>
      <c r="DC605" s="1655"/>
      <c r="DD605" s="1655"/>
      <c r="DE605" s="1655"/>
      <c r="DF605" s="1655"/>
      <c r="DG605" s="1655"/>
      <c r="DH605" s="1655"/>
      <c r="DI605" s="1655"/>
      <c r="DJ605" s="1655"/>
      <c r="DK605" s="1655"/>
      <c r="DL605" s="1655"/>
      <c r="DM605" s="1655"/>
      <c r="DN605" s="1655"/>
      <c r="DO605" s="1655"/>
      <c r="DP605" s="1655"/>
      <c r="DQ605" s="1655"/>
      <c r="DR605" s="1655"/>
      <c r="DS605" s="1655"/>
      <c r="DT605" s="1655"/>
      <c r="DU605" s="1655"/>
      <c r="DV605" s="1655"/>
      <c r="DW605" s="1655"/>
      <c r="DX605" s="1655"/>
      <c r="DY605" s="1655"/>
      <c r="DZ605" s="1655"/>
      <c r="EA605" s="1655"/>
      <c r="EB605" s="1655"/>
      <c r="EC605" s="1655"/>
      <c r="ED605" s="1655"/>
      <c r="EE605" s="1655"/>
      <c r="EF605" s="1655"/>
      <c r="EG605" s="1655"/>
      <c r="EH605" s="1655"/>
      <c r="EI605" s="1655"/>
      <c r="EJ605" s="1655"/>
      <c r="EK605" s="1655"/>
      <c r="EL605" s="1655"/>
      <c r="EM605" s="1655"/>
      <c r="EN605" s="1655"/>
      <c r="EO605" s="1655"/>
      <c r="EP605" s="1655"/>
      <c r="EQ605" s="1655"/>
      <c r="ER605" s="1655"/>
      <c r="ES605" s="1655"/>
      <c r="ET605" s="1655"/>
      <c r="EU605" s="1655"/>
      <c r="EV605" s="1655"/>
      <c r="EW605" s="1655"/>
      <c r="EX605" s="1655"/>
      <c r="EY605" s="1655"/>
      <c r="EZ605" s="1655"/>
      <c r="FA605" s="1655"/>
      <c r="FB605" s="1655"/>
      <c r="FC605" s="1655"/>
      <c r="FD605" s="1655"/>
      <c r="FE605" s="1655"/>
      <c r="FF605" s="1655"/>
      <c r="FG605" s="1655"/>
      <c r="FH605" s="1655"/>
      <c r="FI605" s="1655"/>
    </row>
    <row r="606" spans="1:165">
      <c r="A606" s="1655"/>
      <c r="B606" s="1655"/>
      <c r="C606" s="1655"/>
      <c r="D606" s="1655"/>
      <c r="E606" s="1655"/>
      <c r="F606" s="1655"/>
      <c r="G606" s="1655"/>
      <c r="H606" s="1655"/>
      <c r="I606" s="1655"/>
      <c r="J606" s="1655"/>
      <c r="K606" s="1655"/>
      <c r="L606" s="1655"/>
      <c r="M606" s="1655"/>
      <c r="N606" s="1655"/>
      <c r="O606" s="1655"/>
      <c r="P606" s="1655"/>
      <c r="Q606" s="1655"/>
      <c r="R606" s="1655"/>
      <c r="S606" s="1655"/>
      <c r="T606" s="1655"/>
      <c r="U606" s="1655"/>
      <c r="V606" s="1655"/>
      <c r="W606" s="1655"/>
      <c r="X606" s="1655"/>
      <c r="Y606" s="1655"/>
      <c r="Z606" s="1655"/>
      <c r="AA606" s="1655"/>
      <c r="AB606" s="1655"/>
      <c r="AC606" s="1655"/>
      <c r="AD606" s="1655"/>
      <c r="AE606" s="1655"/>
      <c r="AF606" s="1655"/>
      <c r="AG606" s="1655"/>
      <c r="AH606" s="1655"/>
      <c r="AI606" s="1655"/>
      <c r="AJ606" s="1655"/>
      <c r="AK606" s="1655"/>
      <c r="AL606" s="1655"/>
      <c r="AM606" s="1655"/>
      <c r="AN606" s="1655"/>
      <c r="AO606" s="1655"/>
      <c r="AP606" s="1655"/>
      <c r="AQ606" s="1655"/>
      <c r="AR606" s="1655"/>
      <c r="AS606" s="1655"/>
      <c r="AT606" s="1655"/>
      <c r="AU606" s="1655"/>
      <c r="AV606" s="1655"/>
      <c r="AW606" s="1655"/>
      <c r="AX606" s="1655"/>
      <c r="AY606" s="1655"/>
      <c r="AZ606" s="1655"/>
      <c r="BA606" s="1655"/>
      <c r="BB606" s="1655"/>
      <c r="BC606" s="1655"/>
      <c r="BD606" s="1655"/>
      <c r="BE606" s="1655"/>
      <c r="BF606" s="1655"/>
      <c r="BG606" s="1655"/>
      <c r="BH606" s="1655"/>
      <c r="BI606" s="1655"/>
      <c r="BJ606" s="1655"/>
      <c r="BK606" s="1655"/>
      <c r="BL606" s="1655"/>
      <c r="BM606" s="1655"/>
      <c r="BN606" s="1655"/>
      <c r="BO606" s="1655"/>
      <c r="BP606" s="1655"/>
      <c r="BQ606" s="1655"/>
      <c r="BR606" s="1655"/>
      <c r="BS606" s="1655"/>
      <c r="BT606" s="1655"/>
      <c r="BU606" s="1655"/>
      <c r="BV606" s="1655"/>
      <c r="BW606" s="1655"/>
      <c r="BX606" s="1655"/>
      <c r="BY606" s="1655"/>
      <c r="BZ606" s="1655"/>
      <c r="CA606" s="1655"/>
      <c r="CB606" s="1655"/>
      <c r="CC606" s="1655"/>
      <c r="CD606" s="1655"/>
      <c r="CE606" s="1655"/>
      <c r="CF606" s="1655"/>
      <c r="CG606" s="1655"/>
      <c r="CH606" s="1655"/>
      <c r="CI606" s="1655"/>
      <c r="CJ606" s="1655"/>
      <c r="CK606" s="1655"/>
      <c r="CL606" s="1655"/>
      <c r="CM606" s="1655"/>
      <c r="CN606" s="1655"/>
      <c r="CO606" s="1655"/>
      <c r="CP606" s="1655"/>
      <c r="CQ606" s="1655"/>
      <c r="CR606" s="1655"/>
      <c r="CS606" s="1655"/>
      <c r="CT606" s="1655"/>
      <c r="CU606" s="1655"/>
      <c r="CV606" s="1655"/>
      <c r="CW606" s="1655"/>
      <c r="CX606" s="1655"/>
      <c r="CY606" s="1655"/>
      <c r="CZ606" s="1655"/>
      <c r="DA606" s="1655"/>
      <c r="DB606" s="1655"/>
      <c r="DC606" s="1655"/>
      <c r="DD606" s="1655"/>
      <c r="DE606" s="1655"/>
      <c r="DF606" s="1655"/>
      <c r="DG606" s="1655"/>
      <c r="DH606" s="1655"/>
      <c r="DI606" s="1655"/>
      <c r="DJ606" s="1655"/>
      <c r="DK606" s="1655"/>
      <c r="DL606" s="1655"/>
      <c r="DM606" s="1655"/>
      <c r="DN606" s="1655"/>
      <c r="DO606" s="1655"/>
      <c r="DP606" s="1655"/>
      <c r="DQ606" s="1655"/>
      <c r="DR606" s="1655"/>
      <c r="DS606" s="1655"/>
      <c r="DT606" s="1655"/>
      <c r="DU606" s="1655"/>
      <c r="DV606" s="1655"/>
      <c r="DW606" s="1655"/>
      <c r="DX606" s="1655"/>
      <c r="DY606" s="1655"/>
      <c r="DZ606" s="1655"/>
      <c r="EA606" s="1655"/>
      <c r="EB606" s="1655"/>
      <c r="EC606" s="1655"/>
      <c r="ED606" s="1655"/>
      <c r="EE606" s="1655"/>
      <c r="EF606" s="1655"/>
      <c r="EG606" s="1655"/>
      <c r="EH606" s="1655"/>
      <c r="EI606" s="1655"/>
      <c r="EJ606" s="1655"/>
      <c r="EK606" s="1655"/>
      <c r="EL606" s="1655"/>
      <c r="EM606" s="1655"/>
      <c r="EN606" s="1655"/>
      <c r="EO606" s="1655"/>
      <c r="EP606" s="1655"/>
      <c r="EQ606" s="1655"/>
      <c r="ER606" s="1655"/>
      <c r="ES606" s="1655"/>
      <c r="ET606" s="1655"/>
      <c r="EU606" s="1655"/>
      <c r="EV606" s="1655"/>
      <c r="EW606" s="1655"/>
      <c r="EX606" s="1655"/>
      <c r="EY606" s="1655"/>
      <c r="EZ606" s="1655"/>
      <c r="FA606" s="1655"/>
      <c r="FB606" s="1655"/>
      <c r="FC606" s="1655"/>
      <c r="FD606" s="1655"/>
      <c r="FE606" s="1655"/>
      <c r="FF606" s="1655"/>
      <c r="FG606" s="1655"/>
      <c r="FH606" s="1655"/>
      <c r="FI606" s="1655"/>
    </row>
    <row r="607" spans="1:165">
      <c r="A607" s="1655"/>
      <c r="B607" s="1655"/>
      <c r="C607" s="1655"/>
      <c r="D607" s="1655"/>
      <c r="E607" s="1655"/>
      <c r="F607" s="1655"/>
      <c r="G607" s="1655"/>
      <c r="H607" s="1655"/>
      <c r="I607" s="1655"/>
      <c r="J607" s="1655"/>
      <c r="K607" s="1655"/>
      <c r="L607" s="1655"/>
      <c r="M607" s="1655"/>
      <c r="N607" s="1655"/>
      <c r="O607" s="1655"/>
      <c r="P607" s="1655"/>
      <c r="Q607" s="1655"/>
      <c r="R607" s="1655"/>
      <c r="S607" s="1655"/>
      <c r="T607" s="1655"/>
      <c r="U607" s="1655"/>
      <c r="V607" s="1655"/>
      <c r="W607" s="1655"/>
      <c r="X607" s="1655"/>
      <c r="Y607" s="1655"/>
      <c r="Z607" s="1655"/>
      <c r="AA607" s="1655"/>
      <c r="AB607" s="1655"/>
      <c r="AC607" s="1655"/>
      <c r="AD607" s="1655"/>
      <c r="AE607" s="1655"/>
      <c r="AF607" s="1655"/>
      <c r="AG607" s="1655"/>
      <c r="AH607" s="1655"/>
      <c r="AI607" s="1655"/>
      <c r="AJ607" s="1655"/>
      <c r="AK607" s="1655"/>
      <c r="AL607" s="1655"/>
      <c r="AM607" s="1655"/>
      <c r="AN607" s="1655"/>
      <c r="AO607" s="1655"/>
      <c r="AP607" s="1655"/>
      <c r="AQ607" s="1655"/>
      <c r="AR607" s="1655"/>
      <c r="AS607" s="1655"/>
      <c r="AT607" s="1655"/>
      <c r="AU607" s="1655"/>
      <c r="AV607" s="1655"/>
      <c r="AW607" s="1655"/>
      <c r="AX607" s="1655"/>
      <c r="AY607" s="1655"/>
      <c r="AZ607" s="1655"/>
      <c r="BA607" s="1655"/>
      <c r="BB607" s="1655"/>
      <c r="BC607" s="1655"/>
      <c r="BD607" s="1655"/>
      <c r="BE607" s="1655"/>
      <c r="BF607" s="1655"/>
      <c r="BG607" s="1655"/>
      <c r="BH607" s="1655"/>
      <c r="BI607" s="1655"/>
      <c r="BJ607" s="1655"/>
      <c r="BK607" s="1655"/>
      <c r="BL607" s="1655"/>
      <c r="BM607" s="1655"/>
      <c r="BN607" s="1655"/>
      <c r="BO607" s="1655"/>
      <c r="BP607" s="1655"/>
      <c r="BQ607" s="1655"/>
      <c r="BR607" s="1655"/>
      <c r="BS607" s="1655"/>
      <c r="BT607" s="1655"/>
      <c r="BU607" s="1655"/>
      <c r="BV607" s="1655"/>
      <c r="BW607" s="1655"/>
      <c r="BX607" s="1655"/>
      <c r="BY607" s="1655"/>
      <c r="BZ607" s="1655"/>
      <c r="CA607" s="1655"/>
      <c r="CB607" s="1655"/>
      <c r="CC607" s="1655"/>
      <c r="CD607" s="1655"/>
      <c r="CE607" s="1655"/>
      <c r="CF607" s="1655"/>
      <c r="CG607" s="1655"/>
      <c r="CH607" s="1655"/>
      <c r="CI607" s="1655"/>
      <c r="CJ607" s="1655"/>
      <c r="CK607" s="1655"/>
      <c r="CL607" s="1655"/>
      <c r="CM607" s="1655"/>
      <c r="CN607" s="1655"/>
      <c r="CO607" s="1655"/>
      <c r="CP607" s="1655"/>
      <c r="CQ607" s="1655"/>
      <c r="CR607" s="1655"/>
      <c r="CS607" s="1655"/>
      <c r="CT607" s="1655"/>
      <c r="CU607" s="1655"/>
      <c r="CV607" s="1655"/>
      <c r="CW607" s="1655"/>
      <c r="CX607" s="1655"/>
      <c r="CY607" s="1655"/>
      <c r="CZ607" s="1655"/>
      <c r="DA607" s="1655"/>
      <c r="DB607" s="1655"/>
      <c r="DC607" s="1655"/>
      <c r="DD607" s="1655"/>
      <c r="DE607" s="1655"/>
      <c r="DF607" s="1655"/>
      <c r="DG607" s="1655"/>
      <c r="DH607" s="1655"/>
      <c r="DI607" s="1655"/>
      <c r="DJ607" s="1655"/>
      <c r="DK607" s="1655"/>
      <c r="DL607" s="1655"/>
      <c r="DM607" s="1655"/>
      <c r="DN607" s="1655"/>
      <c r="DO607" s="1655"/>
      <c r="DP607" s="1655"/>
      <c r="DQ607" s="1655"/>
      <c r="DR607" s="1655"/>
      <c r="DS607" s="1655"/>
      <c r="DT607" s="1655"/>
      <c r="DU607" s="1655"/>
      <c r="DV607" s="1655"/>
      <c r="DW607" s="1655"/>
      <c r="DX607" s="1655"/>
      <c r="DY607" s="1655"/>
      <c r="DZ607" s="1655"/>
      <c r="EA607" s="1655"/>
      <c r="EB607" s="1655"/>
      <c r="EC607" s="1655"/>
      <c r="ED607" s="1655"/>
      <c r="EE607" s="1655"/>
      <c r="EF607" s="1655"/>
      <c r="EG607" s="1655"/>
      <c r="EH607" s="1655"/>
      <c r="EI607" s="1655"/>
      <c r="EJ607" s="1655"/>
      <c r="EK607" s="1655"/>
      <c r="EL607" s="1655"/>
      <c r="EM607" s="1655"/>
      <c r="EN607" s="1655"/>
      <c r="EO607" s="1655"/>
      <c r="EP607" s="1655"/>
      <c r="EQ607" s="1655"/>
      <c r="ER607" s="1655"/>
      <c r="ES607" s="1655"/>
      <c r="ET607" s="1655"/>
      <c r="EU607" s="1655"/>
      <c r="EV607" s="1655"/>
      <c r="EW607" s="1655"/>
      <c r="EX607" s="1655"/>
      <c r="EY607" s="1655"/>
      <c r="EZ607" s="1655"/>
      <c r="FA607" s="1655"/>
      <c r="FB607" s="1655"/>
      <c r="FC607" s="1655"/>
      <c r="FD607" s="1655"/>
      <c r="FE607" s="1655"/>
      <c r="FF607" s="1655"/>
      <c r="FG607" s="1655"/>
      <c r="FH607" s="1655"/>
      <c r="FI607" s="1655"/>
    </row>
    <row r="608" spans="1:165">
      <c r="A608" s="1655"/>
      <c r="B608" s="1655"/>
      <c r="C608" s="1655"/>
      <c r="D608" s="1655"/>
      <c r="E608" s="1655"/>
      <c r="F608" s="1655"/>
      <c r="G608" s="1655"/>
      <c r="H608" s="1655"/>
      <c r="I608" s="1655"/>
      <c r="J608" s="1655"/>
      <c r="K608" s="1655"/>
      <c r="L608" s="1655"/>
      <c r="M608" s="1655"/>
      <c r="N608" s="1655"/>
      <c r="O608" s="1655"/>
      <c r="P608" s="1655"/>
      <c r="Q608" s="1655"/>
      <c r="R608" s="1655"/>
      <c r="S608" s="1655"/>
      <c r="T608" s="1655"/>
      <c r="U608" s="1655"/>
      <c r="V608" s="1655"/>
      <c r="W608" s="1655"/>
      <c r="X608" s="1655"/>
      <c r="Y608" s="1655"/>
      <c r="Z608" s="1655"/>
      <c r="AA608" s="1655"/>
      <c r="AB608" s="1655"/>
      <c r="AC608" s="1655"/>
      <c r="AD608" s="1655"/>
      <c r="AE608" s="1655"/>
      <c r="AF608" s="1655"/>
      <c r="AG608" s="1655"/>
      <c r="AH608" s="1655"/>
      <c r="AI608" s="1655"/>
      <c r="AJ608" s="1655"/>
      <c r="AK608" s="1655"/>
      <c r="AL608" s="1655"/>
      <c r="AM608" s="1655"/>
      <c r="AN608" s="1655"/>
      <c r="AO608" s="1655"/>
      <c r="AP608" s="1655"/>
      <c r="AQ608" s="1655"/>
      <c r="AR608" s="1655"/>
      <c r="AS608" s="1655"/>
      <c r="AT608" s="1655"/>
      <c r="AU608" s="1655"/>
      <c r="AV608" s="1655"/>
      <c r="AW608" s="1655"/>
      <c r="AX608" s="1655"/>
      <c r="AY608" s="1655"/>
      <c r="AZ608" s="1655"/>
      <c r="BA608" s="1655"/>
      <c r="BB608" s="1655"/>
      <c r="BC608" s="1655"/>
      <c r="BD608" s="1655"/>
      <c r="BE608" s="1655"/>
      <c r="BF608" s="1655"/>
      <c r="BG608" s="1655"/>
      <c r="BH608" s="1655"/>
      <c r="BI608" s="1655"/>
      <c r="BJ608" s="1655"/>
      <c r="BK608" s="1655"/>
      <c r="BL608" s="1655"/>
      <c r="BM608" s="1655"/>
      <c r="BN608" s="1655"/>
      <c r="BO608" s="1655"/>
      <c r="BP608" s="1655"/>
      <c r="BQ608" s="1655"/>
      <c r="BR608" s="1655"/>
      <c r="BS608" s="1655"/>
      <c r="BT608" s="1655"/>
      <c r="BU608" s="1655"/>
      <c r="BV608" s="1655"/>
      <c r="BW608" s="1655"/>
      <c r="BX608" s="1655"/>
      <c r="BY608" s="1655"/>
      <c r="BZ608" s="1655"/>
      <c r="CA608" s="1655"/>
      <c r="CB608" s="1655"/>
      <c r="CC608" s="1655"/>
      <c r="CD608" s="1655"/>
      <c r="CE608" s="1655"/>
      <c r="CF608" s="1655"/>
      <c r="CG608" s="1655"/>
      <c r="CH608" s="1655"/>
      <c r="CI608" s="1655"/>
      <c r="CJ608" s="1655"/>
      <c r="CK608" s="1655"/>
      <c r="CL608" s="1655"/>
      <c r="CM608" s="1655"/>
      <c r="CN608" s="1655"/>
      <c r="CO608" s="1655"/>
      <c r="CP608" s="1655"/>
      <c r="CQ608" s="1655"/>
      <c r="CR608" s="1655"/>
      <c r="CS608" s="1655"/>
      <c r="CT608" s="1655"/>
      <c r="CU608" s="1655"/>
      <c r="CV608" s="1655"/>
      <c r="CW608" s="1655"/>
      <c r="CX608" s="1655"/>
      <c r="CY608" s="1655"/>
      <c r="CZ608" s="1655"/>
      <c r="DA608" s="1655"/>
      <c r="DB608" s="1655"/>
      <c r="DC608" s="1655"/>
      <c r="DD608" s="1655"/>
      <c r="DE608" s="1655"/>
      <c r="DF608" s="1655"/>
      <c r="DG608" s="1655"/>
      <c r="DH608" s="1655"/>
      <c r="DI608" s="1655"/>
      <c r="DJ608" s="1655"/>
      <c r="DK608" s="1655"/>
      <c r="DL608" s="1655"/>
      <c r="DM608" s="1655"/>
      <c r="DN608" s="1655"/>
      <c r="DO608" s="1655"/>
      <c r="DP608" s="1655"/>
      <c r="DQ608" s="1655"/>
      <c r="DR608" s="1655"/>
      <c r="DS608" s="1655"/>
      <c r="DT608" s="1655"/>
      <c r="DU608" s="1655"/>
      <c r="DV608" s="1655"/>
      <c r="DW608" s="1655"/>
      <c r="DX608" s="1655"/>
      <c r="DY608" s="1655"/>
      <c r="DZ608" s="1655"/>
      <c r="EA608" s="1655"/>
      <c r="EB608" s="1655"/>
      <c r="EC608" s="1655"/>
      <c r="ED608" s="1655"/>
      <c r="EE608" s="1655"/>
      <c r="EF608" s="1655"/>
      <c r="EG608" s="1655"/>
      <c r="EH608" s="1655"/>
      <c r="EI608" s="1655"/>
      <c r="EJ608" s="1655"/>
      <c r="EK608" s="1655"/>
      <c r="EL608" s="1655"/>
      <c r="EM608" s="1655"/>
      <c r="EN608" s="1655"/>
      <c r="EO608" s="1655"/>
      <c r="EP608" s="1655"/>
      <c r="EQ608" s="1655"/>
      <c r="ER608" s="1655"/>
      <c r="ES608" s="1655"/>
      <c r="ET608" s="1655"/>
      <c r="EU608" s="1655"/>
      <c r="EV608" s="1655"/>
      <c r="EW608" s="1655"/>
      <c r="EX608" s="1655"/>
      <c r="EY608" s="1655"/>
      <c r="EZ608" s="1655"/>
      <c r="FA608" s="1655"/>
      <c r="FB608" s="1655"/>
      <c r="FC608" s="1655"/>
      <c r="FD608" s="1655"/>
      <c r="FE608" s="1655"/>
      <c r="FF608" s="1655"/>
      <c r="FG608" s="1655"/>
      <c r="FH608" s="1655"/>
      <c r="FI608" s="1655"/>
    </row>
    <row r="609" spans="1:165">
      <c r="A609" s="1655"/>
      <c r="B609" s="1655"/>
      <c r="C609" s="1655"/>
      <c r="D609" s="1655"/>
      <c r="E609" s="1655"/>
      <c r="F609" s="1655"/>
      <c r="G609" s="1655"/>
      <c r="H609" s="1655"/>
      <c r="I609" s="1655"/>
      <c r="J609" s="1655"/>
      <c r="K609" s="1655"/>
      <c r="L609" s="1655"/>
      <c r="M609" s="1655"/>
      <c r="N609" s="1655"/>
      <c r="O609" s="1655"/>
      <c r="P609" s="1655"/>
      <c r="Q609" s="1655"/>
      <c r="R609" s="1655"/>
      <c r="S609" s="1655"/>
      <c r="T609" s="1655"/>
      <c r="U609" s="1655"/>
      <c r="V609" s="1655"/>
      <c r="W609" s="1655"/>
      <c r="X609" s="1655"/>
      <c r="Y609" s="1655"/>
      <c r="Z609" s="1655"/>
      <c r="AA609" s="1655"/>
      <c r="AB609" s="1655"/>
      <c r="AC609" s="1655"/>
      <c r="AD609" s="1655"/>
      <c r="AE609" s="1655"/>
      <c r="AF609" s="1655"/>
      <c r="AG609" s="1655"/>
      <c r="AH609" s="1655"/>
      <c r="AI609" s="1655"/>
      <c r="AJ609" s="1655"/>
      <c r="AK609" s="1655"/>
      <c r="AL609" s="1655"/>
      <c r="AM609" s="1655"/>
      <c r="AN609" s="1655"/>
      <c r="AO609" s="1655"/>
      <c r="AP609" s="1655"/>
      <c r="AQ609" s="1655"/>
      <c r="AR609" s="1655"/>
      <c r="AS609" s="1655"/>
      <c r="AT609" s="1655"/>
      <c r="AU609" s="1655"/>
      <c r="AV609" s="1655"/>
      <c r="AW609" s="1655"/>
      <c r="AX609" s="1655"/>
      <c r="AY609" s="1655"/>
      <c r="AZ609" s="1655"/>
      <c r="BA609" s="1655"/>
      <c r="BB609" s="1655"/>
      <c r="BC609" s="1655"/>
      <c r="BD609" s="1655"/>
      <c r="BE609" s="1655"/>
      <c r="BF609" s="1655"/>
      <c r="BG609" s="1655"/>
      <c r="BH609" s="1655"/>
      <c r="BI609" s="1655"/>
      <c r="BJ609" s="1655"/>
      <c r="BK609" s="1655"/>
      <c r="BL609" s="1655"/>
      <c r="BM609" s="1655"/>
      <c r="BN609" s="1655"/>
      <c r="BO609" s="1655"/>
      <c r="BP609" s="1655"/>
      <c r="BQ609" s="1655"/>
      <c r="BR609" s="1655"/>
      <c r="BS609" s="1655"/>
      <c r="BT609" s="1655"/>
      <c r="BU609" s="1655"/>
      <c r="BV609" s="1655"/>
      <c r="BW609" s="1655"/>
      <c r="BX609" s="1655"/>
      <c r="BY609" s="1655"/>
      <c r="BZ609" s="1655"/>
      <c r="CA609" s="1655"/>
      <c r="CB609" s="1655"/>
      <c r="CC609" s="1655"/>
      <c r="CD609" s="1655"/>
      <c r="CE609" s="1655"/>
      <c r="CF609" s="1655"/>
      <c r="CG609" s="1655"/>
      <c r="CH609" s="1655"/>
      <c r="CI609" s="1655"/>
      <c r="CJ609" s="1655"/>
      <c r="CK609" s="1655"/>
      <c r="CL609" s="1655"/>
      <c r="CM609" s="1655"/>
      <c r="CN609" s="1655"/>
      <c r="CO609" s="1655"/>
      <c r="CP609" s="1655"/>
      <c r="CQ609" s="1655"/>
      <c r="CR609" s="1655"/>
      <c r="CS609" s="1655"/>
      <c r="CT609" s="1655"/>
      <c r="CU609" s="1655"/>
      <c r="CV609" s="1655"/>
      <c r="CW609" s="1655"/>
      <c r="CX609" s="1655"/>
      <c r="CY609" s="1655"/>
      <c r="CZ609" s="1655"/>
      <c r="DA609" s="1655"/>
      <c r="DB609" s="1655"/>
      <c r="DC609" s="1655"/>
      <c r="DD609" s="1655"/>
      <c r="DE609" s="1655"/>
      <c r="DF609" s="1655"/>
      <c r="DG609" s="1655"/>
      <c r="DH609" s="1655"/>
      <c r="DI609" s="1655"/>
      <c r="DJ609" s="1655"/>
      <c r="DK609" s="1655"/>
      <c r="DL609" s="1655"/>
      <c r="DM609" s="1655"/>
      <c r="DN609" s="1655"/>
      <c r="DO609" s="1655"/>
      <c r="DP609" s="1655"/>
      <c r="DQ609" s="1655"/>
      <c r="DR609" s="1655"/>
      <c r="DS609" s="1655"/>
      <c r="DT609" s="1655"/>
      <c r="DU609" s="1655"/>
      <c r="DV609" s="1655"/>
      <c r="DW609" s="1655"/>
      <c r="DX609" s="1655"/>
      <c r="DY609" s="1655"/>
      <c r="DZ609" s="1655"/>
      <c r="EA609" s="1655"/>
      <c r="EB609" s="1655"/>
      <c r="EC609" s="1655"/>
      <c r="ED609" s="1655"/>
      <c r="EE609" s="1655"/>
      <c r="EF609" s="1655"/>
      <c r="EG609" s="1655"/>
      <c r="EH609" s="1655"/>
      <c r="EI609" s="1655"/>
      <c r="EJ609" s="1655"/>
      <c r="EK609" s="1655"/>
      <c r="EL609" s="1655"/>
      <c r="EM609" s="1655"/>
      <c r="EN609" s="1655"/>
      <c r="EO609" s="1655"/>
      <c r="EP609" s="1655"/>
      <c r="EQ609" s="1655"/>
      <c r="ER609" s="1655"/>
      <c r="ES609" s="1655"/>
      <c r="ET609" s="1655"/>
      <c r="EU609" s="1655"/>
      <c r="EV609" s="1655"/>
      <c r="EW609" s="1655"/>
      <c r="EX609" s="1655"/>
      <c r="EY609" s="1655"/>
      <c r="EZ609" s="1655"/>
      <c r="FA609" s="1655"/>
      <c r="FB609" s="1655"/>
      <c r="FC609" s="1655"/>
      <c r="FD609" s="1655"/>
      <c r="FE609" s="1655"/>
      <c r="FF609" s="1655"/>
      <c r="FG609" s="1655"/>
      <c r="FH609" s="1655"/>
      <c r="FI609" s="1655"/>
    </row>
    <row r="610" spans="1:165">
      <c r="A610" s="1655"/>
      <c r="B610" s="1655"/>
      <c r="C610" s="1655"/>
      <c r="D610" s="1655"/>
      <c r="E610" s="1655"/>
      <c r="F610" s="1655"/>
      <c r="G610" s="1655"/>
      <c r="H610" s="1655"/>
      <c r="I610" s="1655"/>
      <c r="J610" s="1655"/>
      <c r="K610" s="1655"/>
      <c r="L610" s="1655"/>
      <c r="M610" s="1655"/>
      <c r="N610" s="1655"/>
      <c r="O610" s="1655"/>
      <c r="P610" s="1655"/>
      <c r="Q610" s="1655"/>
      <c r="R610" s="1655"/>
      <c r="S610" s="1655"/>
      <c r="T610" s="1655"/>
      <c r="U610" s="1655"/>
      <c r="V610" s="1655"/>
      <c r="W610" s="1655"/>
      <c r="X610" s="1655"/>
      <c r="Y610" s="1655"/>
      <c r="Z610" s="1655"/>
      <c r="AA610" s="1655"/>
      <c r="AB610" s="1655"/>
      <c r="AC610" s="1655"/>
      <c r="AD610" s="1655"/>
      <c r="AE610" s="1655"/>
      <c r="AF610" s="1655"/>
      <c r="AG610" s="1655"/>
      <c r="AH610" s="1655"/>
      <c r="AI610" s="1655"/>
      <c r="AJ610" s="1655"/>
      <c r="AK610" s="1655"/>
      <c r="AL610" s="1655"/>
      <c r="AM610" s="1655"/>
      <c r="AN610" s="1655"/>
      <c r="AO610" s="1655"/>
      <c r="AP610" s="1655"/>
      <c r="AQ610" s="1655"/>
      <c r="AR610" s="1655"/>
      <c r="AS610" s="1655"/>
      <c r="AT610" s="1655"/>
      <c r="AU610" s="1655"/>
      <c r="AV610" s="1655"/>
      <c r="AW610" s="1655"/>
      <c r="AX610" s="1655"/>
      <c r="AY610" s="1655"/>
      <c r="AZ610" s="1655"/>
      <c r="BA610" s="1655"/>
      <c r="BB610" s="1655"/>
      <c r="BC610" s="1655"/>
      <c r="BD610" s="1655"/>
      <c r="BE610" s="1655"/>
      <c r="BF610" s="1655"/>
      <c r="BG610" s="1655"/>
      <c r="BH610" s="1655"/>
      <c r="BI610" s="1655"/>
      <c r="BJ610" s="1655"/>
      <c r="BK610" s="1655"/>
      <c r="BL610" s="1655"/>
      <c r="BM610" s="1655"/>
      <c r="BN610" s="1655"/>
      <c r="BO610" s="1655"/>
      <c r="BP610" s="1655"/>
      <c r="BQ610" s="1655"/>
      <c r="BR610" s="1655"/>
      <c r="BS610" s="1655"/>
      <c r="BT610" s="1655"/>
      <c r="BU610" s="1655"/>
      <c r="BV610" s="1655"/>
      <c r="BW610" s="1655"/>
      <c r="BX610" s="1655"/>
      <c r="BY610" s="1655"/>
      <c r="BZ610" s="1655"/>
      <c r="CA610" s="1655"/>
      <c r="CB610" s="1655"/>
      <c r="CC610" s="1655"/>
      <c r="CD610" s="1655"/>
      <c r="CE610" s="1655"/>
      <c r="CF610" s="1655"/>
      <c r="CG610" s="1655"/>
      <c r="CH610" s="1655"/>
      <c r="CI610" s="1655"/>
      <c r="CJ610" s="1655"/>
      <c r="CK610" s="1655"/>
      <c r="CL610" s="1655"/>
      <c r="CM610" s="1655"/>
      <c r="CN610" s="1655"/>
      <c r="CO610" s="1655"/>
      <c r="CP610" s="1655"/>
      <c r="CQ610" s="1655"/>
      <c r="CR610" s="1655"/>
      <c r="CS610" s="1655"/>
      <c r="CT610" s="1655"/>
      <c r="CU610" s="1655"/>
      <c r="CV610" s="1655"/>
      <c r="CW610" s="1655"/>
      <c r="CX610" s="1655"/>
      <c r="CY610" s="1655"/>
      <c r="CZ610" s="1655"/>
      <c r="DA610" s="1655"/>
      <c r="DB610" s="1655"/>
      <c r="DC610" s="1655"/>
      <c r="DD610" s="1655"/>
      <c r="DE610" s="1655"/>
      <c r="DF610" s="1655"/>
      <c r="DG610" s="1655"/>
      <c r="DH610" s="1655"/>
      <c r="DI610" s="1655"/>
      <c r="DJ610" s="1655"/>
      <c r="DK610" s="1655"/>
      <c r="DL610" s="1655"/>
      <c r="DM610" s="1655"/>
      <c r="DN610" s="1655"/>
      <c r="DO610" s="1655"/>
      <c r="DP610" s="1655"/>
      <c r="DQ610" s="1655"/>
      <c r="DR610" s="1655"/>
      <c r="DS610" s="1655"/>
      <c r="DT610" s="1655"/>
      <c r="DU610" s="1655"/>
      <c r="DV610" s="1655"/>
      <c r="DW610" s="1655"/>
      <c r="DX610" s="1655"/>
      <c r="DY610" s="1655"/>
      <c r="DZ610" s="1655"/>
      <c r="EA610" s="1655"/>
      <c r="EB610" s="1655"/>
      <c r="EC610" s="1655"/>
      <c r="ED610" s="1655"/>
      <c r="EE610" s="1655"/>
      <c r="EF610" s="1655"/>
      <c r="EG610" s="1655"/>
      <c r="EH610" s="1655"/>
      <c r="EI610" s="1655"/>
      <c r="EJ610" s="1655"/>
      <c r="EK610" s="1655"/>
      <c r="EL610" s="1655"/>
      <c r="EM610" s="1655"/>
      <c r="EN610" s="1655"/>
      <c r="EO610" s="1655"/>
      <c r="EP610" s="1655"/>
      <c r="EQ610" s="1655"/>
      <c r="ER610" s="1655"/>
      <c r="ES610" s="1655"/>
      <c r="ET610" s="1655"/>
      <c r="EU610" s="1655"/>
      <c r="EV610" s="1655"/>
      <c r="EW610" s="1655"/>
      <c r="EX610" s="1655"/>
      <c r="EY610" s="1655"/>
      <c r="EZ610" s="1655"/>
      <c r="FA610" s="1655"/>
      <c r="FB610" s="1655"/>
      <c r="FC610" s="1655"/>
      <c r="FD610" s="1655"/>
      <c r="FE610" s="1655"/>
      <c r="FF610" s="1655"/>
      <c r="FG610" s="1655"/>
      <c r="FH610" s="1655"/>
      <c r="FI610" s="1655"/>
    </row>
    <row r="611" spans="1:165">
      <c r="A611" s="1655"/>
      <c r="B611" s="1655"/>
      <c r="C611" s="1655"/>
      <c r="D611" s="1655"/>
      <c r="E611" s="1655"/>
      <c r="F611" s="1655"/>
      <c r="G611" s="1655"/>
      <c r="H611" s="1655"/>
      <c r="I611" s="1655"/>
      <c r="J611" s="1655"/>
      <c r="K611" s="1655"/>
      <c r="L611" s="1655"/>
      <c r="M611" s="1655"/>
      <c r="N611" s="1655"/>
      <c r="O611" s="1655"/>
      <c r="P611" s="1655"/>
      <c r="Q611" s="1655"/>
      <c r="R611" s="1655"/>
      <c r="S611" s="1655"/>
      <c r="T611" s="1655"/>
      <c r="U611" s="1655"/>
      <c r="V611" s="1655"/>
      <c r="W611" s="1655"/>
      <c r="X611" s="1655"/>
      <c r="Y611" s="1655"/>
      <c r="Z611" s="1655"/>
      <c r="AA611" s="1655"/>
      <c r="AB611" s="1655"/>
      <c r="AC611" s="1655"/>
      <c r="AD611" s="1655"/>
      <c r="AE611" s="1655"/>
      <c r="AF611" s="1655"/>
      <c r="AG611" s="1655"/>
      <c r="AH611" s="1655"/>
      <c r="AI611" s="1655"/>
      <c r="AJ611" s="1655"/>
      <c r="AK611" s="1655"/>
      <c r="AL611" s="1655"/>
      <c r="AM611" s="1655"/>
      <c r="AN611" s="1655"/>
      <c r="AO611" s="1655"/>
      <c r="AP611" s="1655"/>
      <c r="AQ611" s="1655"/>
      <c r="AR611" s="1655"/>
      <c r="AS611" s="1655"/>
      <c r="AT611" s="1655"/>
      <c r="AU611" s="1655"/>
      <c r="AV611" s="1655"/>
      <c r="AW611" s="1655"/>
      <c r="AX611" s="1655"/>
      <c r="AY611" s="1655"/>
      <c r="AZ611" s="1655"/>
      <c r="BA611" s="1655"/>
      <c r="BB611" s="1655"/>
      <c r="BC611" s="1655"/>
      <c r="BD611" s="1655"/>
      <c r="BE611" s="1655"/>
      <c r="BF611" s="1655"/>
      <c r="BG611" s="1655"/>
      <c r="BH611" s="1655"/>
      <c r="BI611" s="1655"/>
      <c r="BJ611" s="1655"/>
      <c r="BK611" s="1655"/>
      <c r="BL611" s="1655"/>
      <c r="BM611" s="1655"/>
      <c r="BN611" s="1655"/>
      <c r="BO611" s="1655"/>
      <c r="BP611" s="1655"/>
      <c r="BQ611" s="1655"/>
      <c r="BR611" s="1655"/>
      <c r="BS611" s="1655"/>
      <c r="BT611" s="1655"/>
      <c r="BU611" s="1655"/>
      <c r="BV611" s="1655"/>
      <c r="BW611" s="1655"/>
      <c r="BX611" s="1655"/>
      <c r="BY611" s="1655"/>
      <c r="BZ611" s="1655"/>
      <c r="CA611" s="1655"/>
      <c r="CB611" s="1655"/>
      <c r="CC611" s="1655"/>
      <c r="CD611" s="1655"/>
      <c r="CE611" s="1655"/>
      <c r="CF611" s="1655"/>
      <c r="CG611" s="1655"/>
      <c r="CH611" s="1655"/>
      <c r="CI611" s="1655"/>
      <c r="CJ611" s="1655"/>
      <c r="CK611" s="1655"/>
      <c r="CL611" s="1655"/>
      <c r="CM611" s="1655"/>
      <c r="CN611" s="1655"/>
      <c r="CO611" s="1655"/>
      <c r="CP611" s="1655"/>
      <c r="CQ611" s="1655"/>
      <c r="CR611" s="1655"/>
      <c r="CS611" s="1655"/>
      <c r="CT611" s="1655"/>
      <c r="CU611" s="1655"/>
      <c r="CV611" s="1655"/>
      <c r="CW611" s="1655"/>
      <c r="CX611" s="1655"/>
      <c r="CY611" s="1655"/>
      <c r="CZ611" s="1655"/>
      <c r="DA611" s="1655"/>
      <c r="DB611" s="1655"/>
      <c r="DC611" s="1655"/>
      <c r="DD611" s="1655"/>
      <c r="DE611" s="1655"/>
      <c r="DF611" s="1655"/>
      <c r="DG611" s="1655"/>
      <c r="DH611" s="1655"/>
      <c r="DI611" s="1655"/>
      <c r="DJ611" s="1655"/>
      <c r="DK611" s="1655"/>
      <c r="DL611" s="1655"/>
      <c r="DM611" s="1655"/>
      <c r="DN611" s="1655"/>
      <c r="DO611" s="1655"/>
      <c r="DP611" s="1655"/>
      <c r="DQ611" s="1655"/>
      <c r="DR611" s="1655"/>
      <c r="DS611" s="1655"/>
      <c r="DT611" s="1655"/>
      <c r="DU611" s="1655"/>
      <c r="DV611" s="1655"/>
      <c r="DW611" s="1655"/>
      <c r="DX611" s="1655"/>
      <c r="DY611" s="1655"/>
      <c r="DZ611" s="1655"/>
      <c r="EA611" s="1655"/>
      <c r="EB611" s="1655"/>
      <c r="EC611" s="1655"/>
      <c r="ED611" s="1655"/>
      <c r="EE611" s="1655"/>
      <c r="EF611" s="1655"/>
      <c r="EG611" s="1655"/>
      <c r="EH611" s="1655"/>
      <c r="EI611" s="1655"/>
      <c r="EJ611" s="1655"/>
      <c r="EK611" s="1655"/>
      <c r="EL611" s="1655"/>
      <c r="EM611" s="1655"/>
      <c r="EN611" s="1655"/>
      <c r="EO611" s="1655"/>
      <c r="EP611" s="1655"/>
      <c r="EQ611" s="1655"/>
      <c r="ER611" s="1655"/>
      <c r="ES611" s="1655"/>
      <c r="ET611" s="1655"/>
      <c r="EU611" s="1655"/>
      <c r="EV611" s="1655"/>
      <c r="EW611" s="1655"/>
      <c r="EX611" s="1655"/>
      <c r="EY611" s="1655"/>
      <c r="EZ611" s="1655"/>
      <c r="FA611" s="1655"/>
      <c r="FB611" s="1655"/>
      <c r="FC611" s="1655"/>
      <c r="FD611" s="1655"/>
      <c r="FE611" s="1655"/>
      <c r="FF611" s="1655"/>
      <c r="FG611" s="1655"/>
      <c r="FH611" s="1655"/>
      <c r="FI611" s="1655"/>
    </row>
    <row r="612" spans="1:165">
      <c r="A612" s="1655"/>
      <c r="B612" s="1655"/>
      <c r="C612" s="1655"/>
      <c r="D612" s="1655"/>
      <c r="E612" s="1655"/>
      <c r="F612" s="1655"/>
      <c r="G612" s="1655"/>
      <c r="H612" s="1655"/>
      <c r="I612" s="1655"/>
      <c r="J612" s="1655"/>
      <c r="K612" s="1655"/>
      <c r="L612" s="1655"/>
      <c r="M612" s="1655"/>
      <c r="N612" s="1655"/>
      <c r="O612" s="1655"/>
      <c r="P612" s="1655"/>
      <c r="Q612" s="1655"/>
      <c r="R612" s="1655"/>
      <c r="S612" s="1655"/>
      <c r="T612" s="1655"/>
      <c r="U612" s="1655"/>
      <c r="V612" s="1655"/>
      <c r="W612" s="1655"/>
      <c r="X612" s="1655"/>
      <c r="Y612" s="1655"/>
      <c r="Z612" s="1655"/>
      <c r="AA612" s="1655"/>
      <c r="AB612" s="1655"/>
      <c r="AC612" s="1655"/>
      <c r="AD612" s="1655"/>
      <c r="AE612" s="1655"/>
      <c r="AF612" s="1655"/>
      <c r="AG612" s="1655"/>
      <c r="AH612" s="1655"/>
      <c r="AI612" s="1655"/>
      <c r="AJ612" s="1655"/>
      <c r="AK612" s="1655"/>
      <c r="AL612" s="1655"/>
      <c r="AM612" s="1655"/>
      <c r="AN612" s="1655"/>
      <c r="AO612" s="1655"/>
      <c r="AP612" s="1655"/>
      <c r="AQ612" s="1655"/>
      <c r="AR612" s="1655"/>
      <c r="AS612" s="1655"/>
      <c r="AT612" s="1655"/>
      <c r="AU612" s="1655"/>
      <c r="AV612" s="1655"/>
      <c r="AW612" s="1655"/>
      <c r="AX612" s="1655"/>
      <c r="AY612" s="1655"/>
      <c r="AZ612" s="1655"/>
      <c r="BA612" s="1655"/>
      <c r="BB612" s="1655"/>
      <c r="BC612" s="1655"/>
      <c r="BD612" s="1655"/>
      <c r="BE612" s="1655"/>
      <c r="BF612" s="1655"/>
      <c r="BG612" s="1655"/>
      <c r="BH612" s="1655"/>
      <c r="BI612" s="1655"/>
      <c r="BJ612" s="1655"/>
      <c r="BK612" s="1655"/>
      <c r="BL612" s="1655"/>
      <c r="BM612" s="1655"/>
      <c r="BN612" s="1655"/>
      <c r="BO612" s="1655"/>
      <c r="BP612" s="1655"/>
      <c r="BQ612" s="1655"/>
      <c r="BR612" s="1655"/>
      <c r="BS612" s="1655"/>
      <c r="BT612" s="1655"/>
      <c r="BU612" s="1655"/>
      <c r="BV612" s="1655"/>
      <c r="BW612" s="1655"/>
      <c r="BX612" s="1655"/>
      <c r="BY612" s="1655"/>
      <c r="BZ612" s="1655"/>
      <c r="CA612" s="1655"/>
      <c r="CB612" s="1655"/>
      <c r="CC612" s="1655"/>
      <c r="CD612" s="1655"/>
      <c r="CE612" s="1655"/>
      <c r="CF612" s="1655"/>
      <c r="CG612" s="1655"/>
      <c r="CH612" s="1655"/>
      <c r="CI612" s="1655"/>
      <c r="CJ612" s="1655"/>
      <c r="CK612" s="1655"/>
      <c r="CL612" s="1655"/>
      <c r="CM612" s="1655"/>
      <c r="CN612" s="1655"/>
      <c r="CO612" s="1655"/>
      <c r="CP612" s="1655"/>
      <c r="CQ612" s="1655"/>
      <c r="CR612" s="1655"/>
      <c r="CS612" s="1655"/>
      <c r="CT612" s="1655"/>
      <c r="CU612" s="1655"/>
      <c r="CV612" s="1655"/>
      <c r="CW612" s="1655"/>
      <c r="CX612" s="1655"/>
      <c r="CY612" s="1655"/>
      <c r="CZ612" s="1655"/>
      <c r="DA612" s="1655"/>
      <c r="DB612" s="1655"/>
      <c r="DC612" s="1655"/>
      <c r="DD612" s="1655"/>
      <c r="DE612" s="1655"/>
      <c r="DF612" s="1655"/>
      <c r="DG612" s="1655"/>
      <c r="DH612" s="1655"/>
      <c r="DI612" s="1655"/>
      <c r="DJ612" s="1655"/>
      <c r="DK612" s="1655"/>
      <c r="DL612" s="1655"/>
      <c r="DM612" s="1655"/>
      <c r="DN612" s="1655"/>
      <c r="DO612" s="1655"/>
      <c r="DP612" s="1655"/>
      <c r="DQ612" s="1655"/>
      <c r="DR612" s="1655"/>
      <c r="DS612" s="1655"/>
      <c r="DT612" s="1655"/>
      <c r="DU612" s="1655"/>
      <c r="DV612" s="1655"/>
      <c r="DW612" s="1655"/>
      <c r="DX612" s="1655"/>
      <c r="DY612" s="1655"/>
      <c r="DZ612" s="1655"/>
      <c r="EA612" s="1655"/>
      <c r="EB612" s="1655"/>
      <c r="EC612" s="1655"/>
      <c r="ED612" s="1655"/>
      <c r="EE612" s="1655"/>
      <c r="EF612" s="1655"/>
      <c r="EG612" s="1655"/>
      <c r="EH612" s="1655"/>
      <c r="EI612" s="1655"/>
      <c r="EJ612" s="1655"/>
      <c r="EK612" s="1655"/>
      <c r="EL612" s="1655"/>
      <c r="EM612" s="1655"/>
      <c r="EN612" s="1655"/>
      <c r="EO612" s="1655"/>
      <c r="EP612" s="1655"/>
      <c r="EQ612" s="1655"/>
      <c r="ER612" s="1655"/>
      <c r="ES612" s="1655"/>
      <c r="ET612" s="1655"/>
      <c r="EU612" s="1655"/>
      <c r="EV612" s="1655"/>
      <c r="EW612" s="1655"/>
      <c r="EX612" s="1655"/>
      <c r="EY612" s="1655"/>
      <c r="EZ612" s="1655"/>
      <c r="FA612" s="1655"/>
      <c r="FB612" s="1655"/>
      <c r="FC612" s="1655"/>
      <c r="FD612" s="1655"/>
      <c r="FE612" s="1655"/>
      <c r="FF612" s="1655"/>
      <c r="FG612" s="1655"/>
      <c r="FH612" s="1655"/>
      <c r="FI612" s="1655"/>
    </row>
    <row r="613" spans="1:165">
      <c r="A613" s="1655"/>
      <c r="B613" s="1655"/>
      <c r="C613" s="1655"/>
      <c r="D613" s="1655"/>
      <c r="E613" s="1655"/>
      <c r="F613" s="1655"/>
      <c r="G613" s="1655"/>
      <c r="H613" s="1655"/>
      <c r="I613" s="1655"/>
      <c r="J613" s="1655"/>
      <c r="K613" s="1655"/>
      <c r="L613" s="1655"/>
      <c r="M613" s="1655"/>
      <c r="N613" s="1655"/>
      <c r="O613" s="1655"/>
      <c r="P613" s="1655"/>
      <c r="Q613" s="1655"/>
      <c r="R613" s="1655"/>
      <c r="S613" s="1655"/>
      <c r="T613" s="1655"/>
      <c r="U613" s="1655"/>
      <c r="V613" s="1655"/>
      <c r="W613" s="1655"/>
      <c r="X613" s="1655"/>
      <c r="Y613" s="1655"/>
      <c r="Z613" s="1655"/>
      <c r="AA613" s="1655"/>
      <c r="AB613" s="1655"/>
      <c r="AC613" s="1655"/>
      <c r="AD613" s="1655"/>
      <c r="AE613" s="1655"/>
      <c r="AF613" s="1655"/>
      <c r="AG613" s="1655"/>
      <c r="AH613" s="1655"/>
      <c r="AI613" s="1655"/>
      <c r="AJ613" s="1655"/>
      <c r="AK613" s="1655"/>
      <c r="AL613" s="1655"/>
      <c r="AM613" s="1655"/>
      <c r="AN613" s="1655"/>
      <c r="AO613" s="1655"/>
      <c r="AP613" s="1655"/>
      <c r="AQ613" s="1655"/>
      <c r="AR613" s="1655"/>
      <c r="AS613" s="1655"/>
      <c r="AT613" s="1655"/>
      <c r="AU613" s="1655"/>
      <c r="AV613" s="1655"/>
      <c r="AW613" s="1655"/>
      <c r="AX613" s="1655"/>
      <c r="AY613" s="1655"/>
      <c r="AZ613" s="1655"/>
      <c r="BA613" s="1655"/>
      <c r="BB613" s="1655"/>
      <c r="BC613" s="1655"/>
      <c r="BD613" s="1655"/>
      <c r="BE613" s="1655"/>
      <c r="BF613" s="1655"/>
      <c r="BG613" s="1655"/>
      <c r="BH613" s="1655"/>
      <c r="BI613" s="1655"/>
      <c r="BJ613" s="1655"/>
      <c r="BK613" s="1655"/>
      <c r="BL613" s="1655"/>
      <c r="BM613" s="1655"/>
      <c r="BN613" s="1655"/>
      <c r="BO613" s="1655"/>
      <c r="BP613" s="1655"/>
      <c r="BQ613" s="1655"/>
      <c r="BR613" s="1655"/>
      <c r="BS613" s="1655"/>
      <c r="BT613" s="1655"/>
      <c r="BU613" s="1655"/>
      <c r="BV613" s="1655"/>
      <c r="BW613" s="1655"/>
      <c r="BX613" s="1655"/>
      <c r="BY613" s="1655"/>
      <c r="BZ613" s="1655"/>
      <c r="CA613" s="1655"/>
      <c r="CB613" s="1655"/>
      <c r="CC613" s="1655"/>
      <c r="CD613" s="1655"/>
      <c r="CE613" s="1655"/>
      <c r="CF613" s="1655"/>
      <c r="CG613" s="1655"/>
      <c r="CH613" s="1655"/>
      <c r="CI613" s="1655"/>
      <c r="CJ613" s="1655"/>
      <c r="CK613" s="1655"/>
      <c r="CL613" s="1655"/>
      <c r="CM613" s="1655"/>
      <c r="CN613" s="1655"/>
      <c r="CO613" s="1655"/>
      <c r="CP613" s="1655"/>
      <c r="CQ613" s="1655"/>
      <c r="CR613" s="1655"/>
      <c r="CS613" s="1655"/>
      <c r="CT613" s="1655"/>
      <c r="CU613" s="1655"/>
      <c r="CV613" s="1655"/>
      <c r="CW613" s="1655"/>
      <c r="CX613" s="1655"/>
      <c r="CY613" s="1655"/>
      <c r="CZ613" s="1655"/>
      <c r="DA613" s="1655"/>
      <c r="DB613" s="1655"/>
      <c r="DC613" s="1655"/>
      <c r="DD613" s="1655"/>
      <c r="DE613" s="1655"/>
      <c r="DF613" s="1655"/>
      <c r="DG613" s="1655"/>
      <c r="DH613" s="1655"/>
      <c r="DI613" s="1655"/>
      <c r="DJ613" s="1655"/>
      <c r="DK613" s="1655"/>
      <c r="DL613" s="1655"/>
      <c r="DM613" s="1655"/>
      <c r="DN613" s="1655"/>
      <c r="DO613" s="1655"/>
      <c r="DP613" s="1655"/>
      <c r="DQ613" s="1655"/>
      <c r="DR613" s="1655"/>
      <c r="DS613" s="1655"/>
      <c r="DT613" s="1655"/>
      <c r="DU613" s="1655"/>
      <c r="DV613" s="1655"/>
      <c r="DW613" s="1655"/>
      <c r="DX613" s="1655"/>
      <c r="DY613" s="1655"/>
      <c r="DZ613" s="1655"/>
      <c r="EA613" s="1655"/>
      <c r="EB613" s="1655"/>
      <c r="EC613" s="1655"/>
      <c r="ED613" s="1655"/>
      <c r="EE613" s="1655"/>
      <c r="EF613" s="1655"/>
      <c r="EG613" s="1655"/>
      <c r="EH613" s="1655"/>
      <c r="EI613" s="1655"/>
      <c r="EJ613" s="1655"/>
      <c r="EK613" s="1655"/>
      <c r="EL613" s="1655"/>
      <c r="EM613" s="1655"/>
      <c r="EN613" s="1655"/>
      <c r="EO613" s="1655"/>
      <c r="EP613" s="1655"/>
      <c r="EQ613" s="1655"/>
      <c r="ER613" s="1655"/>
      <c r="ES613" s="1655"/>
      <c r="ET613" s="1655"/>
      <c r="EU613" s="1655"/>
      <c r="EV613" s="1655"/>
      <c r="EW613" s="1655"/>
      <c r="EX613" s="1655"/>
      <c r="EY613" s="1655"/>
      <c r="EZ613" s="1655"/>
      <c r="FA613" s="1655"/>
      <c r="FB613" s="1655"/>
      <c r="FC613" s="1655"/>
      <c r="FD613" s="1655"/>
      <c r="FE613" s="1655"/>
      <c r="FF613" s="1655"/>
      <c r="FG613" s="1655"/>
      <c r="FH613" s="1655"/>
      <c r="FI613" s="1655"/>
    </row>
    <row r="614" spans="1:165">
      <c r="A614" s="1655"/>
      <c r="B614" s="1655"/>
      <c r="C614" s="1655"/>
      <c r="D614" s="1655"/>
      <c r="E614" s="1655"/>
      <c r="F614" s="1655"/>
      <c r="G614" s="1655"/>
      <c r="H614" s="1655"/>
      <c r="I614" s="1655"/>
      <c r="J614" s="1655"/>
      <c r="K614" s="1655"/>
      <c r="L614" s="1655"/>
      <c r="M614" s="1655"/>
      <c r="N614" s="1655"/>
      <c r="O614" s="1655"/>
      <c r="P614" s="1655"/>
      <c r="Q614" s="1655"/>
      <c r="R614" s="1655"/>
      <c r="S614" s="1655"/>
      <c r="T614" s="1655"/>
      <c r="U614" s="1655"/>
      <c r="V614" s="1655"/>
      <c r="W614" s="1655"/>
      <c r="X614" s="1655"/>
      <c r="Y614" s="1655"/>
      <c r="Z614" s="1655"/>
      <c r="AA614" s="1655"/>
      <c r="AB614" s="1655"/>
      <c r="AC614" s="1655"/>
      <c r="AD614" s="1655"/>
      <c r="AE614" s="1655"/>
      <c r="AF614" s="1655"/>
      <c r="AG614" s="1655"/>
      <c r="AH614" s="1655"/>
      <c r="AI614" s="1655"/>
      <c r="AJ614" s="1655"/>
      <c r="AK614" s="1655"/>
      <c r="AL614" s="1655"/>
      <c r="AM614" s="1655"/>
      <c r="AN614" s="1655"/>
      <c r="AO614" s="1655"/>
      <c r="AP614" s="1655"/>
      <c r="AQ614" s="1655"/>
      <c r="AR614" s="1655"/>
      <c r="AS614" s="1655"/>
      <c r="AT614" s="1655"/>
      <c r="AU614" s="1655"/>
      <c r="AV614" s="1655"/>
      <c r="AW614" s="1655"/>
      <c r="AX614" s="1655"/>
      <c r="AY614" s="1655"/>
      <c r="AZ614" s="1655"/>
      <c r="BA614" s="1655"/>
      <c r="BB614" s="1655"/>
      <c r="BC614" s="1655"/>
      <c r="BD614" s="1655"/>
      <c r="BE614" s="1655"/>
      <c r="BF614" s="1655"/>
      <c r="BG614" s="1655"/>
      <c r="BH614" s="1655"/>
      <c r="BI614" s="1655"/>
      <c r="BJ614" s="1655"/>
      <c r="BK614" s="1655"/>
      <c r="BL614" s="1655"/>
      <c r="BM614" s="1655"/>
      <c r="BN614" s="1655"/>
      <c r="BO614" s="1655"/>
      <c r="BP614" s="1655"/>
      <c r="BQ614" s="1655"/>
      <c r="BR614" s="1655"/>
      <c r="BS614" s="1655"/>
      <c r="BT614" s="1655"/>
      <c r="BU614" s="1655"/>
      <c r="BV614" s="1655"/>
      <c r="BW614" s="1655"/>
      <c r="BX614" s="1655"/>
      <c r="BY614" s="1655"/>
      <c r="BZ614" s="1655"/>
      <c r="CA614" s="1655"/>
      <c r="CB614" s="1655"/>
      <c r="CC614" s="1655"/>
      <c r="CD614" s="1655"/>
      <c r="CE614" s="1655"/>
      <c r="CF614" s="1655"/>
      <c r="CG614" s="1655"/>
      <c r="CH614" s="1655"/>
      <c r="CI614" s="1655"/>
      <c r="CJ614" s="1655"/>
      <c r="CK614" s="1655"/>
      <c r="CL614" s="1655"/>
      <c r="CM614" s="1655"/>
      <c r="CN614" s="1655"/>
      <c r="CO614" s="1655"/>
      <c r="CP614" s="1655"/>
      <c r="CQ614" s="1655"/>
      <c r="CR614" s="1655"/>
      <c r="CS614" s="1655"/>
      <c r="CT614" s="1655"/>
      <c r="CU614" s="1655"/>
      <c r="CV614" s="1655"/>
      <c r="CW614" s="1655"/>
      <c r="CX614" s="1655"/>
      <c r="CY614" s="1655"/>
      <c r="CZ614" s="1655"/>
      <c r="DA614" s="1655"/>
      <c r="DB614" s="1655"/>
      <c r="DC614" s="1655"/>
      <c r="DD614" s="1655"/>
      <c r="DE614" s="1655"/>
      <c r="DF614" s="1655"/>
      <c r="DG614" s="1655"/>
      <c r="DH614" s="1655"/>
      <c r="DI614" s="1655"/>
      <c r="DJ614" s="1655"/>
      <c r="DK614" s="1655"/>
      <c r="DL614" s="1655"/>
      <c r="DM614" s="1655"/>
      <c r="DN614" s="1655"/>
      <c r="DO614" s="1655"/>
      <c r="DP614" s="1655"/>
      <c r="DQ614" s="1655"/>
      <c r="DR614" s="1655"/>
      <c r="DS614" s="1655"/>
      <c r="DT614" s="1655"/>
      <c r="DU614" s="1655"/>
      <c r="DV614" s="1655"/>
      <c r="DW614" s="1655"/>
      <c r="DX614" s="1655"/>
      <c r="DY614" s="1655"/>
      <c r="DZ614" s="1655"/>
      <c r="EA614" s="1655"/>
      <c r="EB614" s="1655"/>
      <c r="EC614" s="1655"/>
      <c r="ED614" s="1655"/>
      <c r="EE614" s="1655"/>
      <c r="EF614" s="1655"/>
      <c r="EG614" s="1655"/>
      <c r="EH614" s="1655"/>
      <c r="EI614" s="1655"/>
      <c r="EJ614" s="1655"/>
      <c r="EK614" s="1655"/>
      <c r="EL614" s="1655"/>
      <c r="EM614" s="1655"/>
      <c r="EN614" s="1655"/>
      <c r="EO614" s="1655"/>
      <c r="EP614" s="1655"/>
      <c r="EQ614" s="1655"/>
      <c r="ER614" s="1655"/>
      <c r="ES614" s="1655"/>
      <c r="ET614" s="1655"/>
      <c r="EU614" s="1655"/>
      <c r="EV614" s="1655"/>
      <c r="EW614" s="1655"/>
      <c r="EX614" s="1655"/>
      <c r="EY614" s="1655"/>
      <c r="EZ614" s="1655"/>
      <c r="FA614" s="1655"/>
      <c r="FB614" s="1655"/>
      <c r="FC614" s="1655"/>
      <c r="FD614" s="1655"/>
      <c r="FE614" s="1655"/>
      <c r="FF614" s="1655"/>
      <c r="FG614" s="1655"/>
      <c r="FH614" s="1655"/>
      <c r="FI614" s="1655"/>
    </row>
    <row r="615" spans="1:165">
      <c r="A615" s="1655"/>
      <c r="B615" s="1655"/>
      <c r="C615" s="1655"/>
      <c r="D615" s="1655"/>
      <c r="E615" s="1655"/>
      <c r="F615" s="1655"/>
      <c r="G615" s="1655"/>
      <c r="H615" s="1655"/>
      <c r="I615" s="1655"/>
      <c r="J615" s="1655"/>
      <c r="K615" s="1655"/>
      <c r="L615" s="1655"/>
      <c r="M615" s="1655"/>
      <c r="N615" s="1655"/>
      <c r="O615" s="1655"/>
      <c r="P615" s="1655"/>
      <c r="Q615" s="1655"/>
      <c r="R615" s="1655"/>
      <c r="S615" s="1655"/>
      <c r="T615" s="1655"/>
      <c r="U615" s="1655"/>
      <c r="V615" s="1655"/>
      <c r="W615" s="1655"/>
      <c r="X615" s="1655"/>
      <c r="Y615" s="1655"/>
      <c r="Z615" s="1655"/>
      <c r="AA615" s="1655"/>
      <c r="AB615" s="1655"/>
      <c r="AC615" s="1655"/>
      <c r="AD615" s="1655"/>
      <c r="AE615" s="1655"/>
      <c r="AF615" s="1655"/>
      <c r="AG615" s="1655"/>
      <c r="AH615" s="1655"/>
      <c r="AI615" s="1655"/>
      <c r="AJ615" s="1655"/>
      <c r="AK615" s="1655"/>
      <c r="AL615" s="1655"/>
      <c r="AM615" s="1655"/>
      <c r="AN615" s="1655"/>
      <c r="AO615" s="1655"/>
      <c r="AP615" s="1655"/>
      <c r="AQ615" s="1655"/>
      <c r="AR615" s="1655"/>
      <c r="AS615" s="1655"/>
      <c r="AT615" s="1655"/>
      <c r="AU615" s="1655"/>
      <c r="AV615" s="1655"/>
      <c r="AW615" s="1655"/>
      <c r="AX615" s="1655"/>
      <c r="AY615" s="1655"/>
      <c r="AZ615" s="1655"/>
      <c r="BA615" s="1655"/>
      <c r="BB615" s="1655"/>
      <c r="BC615" s="1655"/>
      <c r="BD615" s="1655"/>
      <c r="BE615" s="1655"/>
      <c r="BF615" s="1655"/>
      <c r="BG615" s="1655"/>
      <c r="BH615" s="1655"/>
      <c r="BI615" s="1655"/>
      <c r="BJ615" s="1655"/>
      <c r="BK615" s="1655"/>
      <c r="BL615" s="1655"/>
      <c r="BM615" s="1655"/>
      <c r="BN615" s="1655"/>
      <c r="BO615" s="1655"/>
      <c r="BP615" s="1655"/>
      <c r="BQ615" s="1655"/>
      <c r="BR615" s="1655"/>
      <c r="BS615" s="1655"/>
      <c r="BT615" s="1655"/>
      <c r="BU615" s="1655"/>
      <c r="BV615" s="1655"/>
      <c r="BW615" s="1655"/>
      <c r="BX615" s="1655"/>
      <c r="BY615" s="1655"/>
      <c r="BZ615" s="1655"/>
      <c r="CA615" s="1655"/>
      <c r="CB615" s="1655"/>
      <c r="CC615" s="1655"/>
      <c r="CD615" s="1655"/>
      <c r="CE615" s="1655"/>
      <c r="CF615" s="1655"/>
      <c r="CG615" s="1655"/>
      <c r="CH615" s="1655"/>
      <c r="CI615" s="1655"/>
      <c r="CJ615" s="1655"/>
      <c r="CK615" s="1655"/>
      <c r="CL615" s="1655"/>
      <c r="CM615" s="1655"/>
      <c r="CN615" s="1655"/>
      <c r="CO615" s="1655"/>
      <c r="CP615" s="1655"/>
      <c r="CQ615" s="1655"/>
      <c r="CR615" s="1655"/>
      <c r="CS615" s="1655"/>
      <c r="CT615" s="1655"/>
      <c r="CU615" s="1655"/>
      <c r="CV615" s="1655"/>
      <c r="CW615" s="1655"/>
      <c r="CX615" s="1655"/>
      <c r="CY615" s="1655"/>
      <c r="CZ615" s="1655"/>
      <c r="DA615" s="1655"/>
      <c r="DB615" s="1655"/>
      <c r="DC615" s="1655"/>
      <c r="DD615" s="1655"/>
      <c r="DE615" s="1655"/>
      <c r="DF615" s="1655"/>
      <c r="DG615" s="1655"/>
      <c r="DH615" s="1655"/>
      <c r="DI615" s="1655"/>
      <c r="DJ615" s="1655"/>
      <c r="DK615" s="1655"/>
      <c r="DL615" s="1655"/>
      <c r="DM615" s="1655"/>
      <c r="DN615" s="1655"/>
      <c r="DO615" s="1655"/>
      <c r="DP615" s="1655"/>
      <c r="DQ615" s="1655"/>
      <c r="DR615" s="1655"/>
      <c r="DS615" s="1655"/>
      <c r="DT615" s="1655"/>
      <c r="DU615" s="1655"/>
      <c r="DV615" s="1655"/>
      <c r="DW615" s="1655"/>
      <c r="DX615" s="1655"/>
      <c r="DY615" s="1655"/>
      <c r="DZ615" s="1655"/>
      <c r="EA615" s="1655"/>
      <c r="EB615" s="1655"/>
      <c r="EC615" s="1655"/>
      <c r="ED615" s="1655"/>
      <c r="EE615" s="1655"/>
      <c r="EF615" s="1655"/>
      <c r="EG615" s="1655"/>
      <c r="EH615" s="1655"/>
      <c r="EI615" s="1655"/>
      <c r="EJ615" s="1655"/>
      <c r="EK615" s="1655"/>
      <c r="EL615" s="1655"/>
      <c r="EM615" s="1655"/>
      <c r="EN615" s="1655"/>
      <c r="EO615" s="1655"/>
      <c r="EP615" s="1655"/>
      <c r="EQ615" s="1655"/>
      <c r="ER615" s="1655"/>
      <c r="ES615" s="1655"/>
      <c r="ET615" s="1655"/>
      <c r="EU615" s="1655"/>
      <c r="EV615" s="1655"/>
      <c r="EW615" s="1655"/>
      <c r="EX615" s="1655"/>
      <c r="EY615" s="1655"/>
      <c r="EZ615" s="1655"/>
      <c r="FA615" s="1655"/>
      <c r="FB615" s="1655"/>
      <c r="FC615" s="1655"/>
      <c r="FD615" s="1655"/>
      <c r="FE615" s="1655"/>
      <c r="FF615" s="1655"/>
      <c r="FG615" s="1655"/>
      <c r="FH615" s="1655"/>
      <c r="FI615" s="1655"/>
    </row>
    <row r="616" spans="1:165">
      <c r="A616" s="1655"/>
      <c r="B616" s="1655"/>
      <c r="C616" s="1655"/>
      <c r="D616" s="1655"/>
      <c r="E616" s="1655"/>
      <c r="F616" s="1655"/>
      <c r="G616" s="1655"/>
      <c r="H616" s="1655"/>
      <c r="I616" s="1655"/>
      <c r="J616" s="1655"/>
      <c r="K616" s="1655"/>
      <c r="L616" s="1655"/>
      <c r="M616" s="1655"/>
      <c r="N616" s="1655"/>
      <c r="O616" s="1655"/>
      <c r="P616" s="1655"/>
      <c r="Q616" s="1655"/>
      <c r="R616" s="1655"/>
      <c r="S616" s="1655"/>
      <c r="T616" s="1655"/>
      <c r="U616" s="1655"/>
      <c r="V616" s="1655"/>
      <c r="W616" s="1655"/>
      <c r="X616" s="1655"/>
      <c r="Y616" s="1655"/>
      <c r="Z616" s="1655"/>
      <c r="AA616" s="1655"/>
      <c r="AB616" s="1655"/>
      <c r="AC616" s="1655"/>
      <c r="AD616" s="1655"/>
      <c r="AE616" s="1655"/>
      <c r="AF616" s="1655"/>
      <c r="AG616" s="1655"/>
      <c r="AH616" s="1655"/>
      <c r="AI616" s="1655"/>
      <c r="AJ616" s="1655"/>
      <c r="AK616" s="1655"/>
      <c r="AL616" s="1655"/>
      <c r="AM616" s="1655"/>
      <c r="AN616" s="1655"/>
      <c r="AO616" s="1655"/>
      <c r="AP616" s="1655"/>
      <c r="AQ616" s="1655"/>
      <c r="AR616" s="1655"/>
      <c r="AS616" s="1655"/>
      <c r="AT616" s="1655"/>
      <c r="AU616" s="1655"/>
      <c r="AV616" s="1655"/>
      <c r="AW616" s="1655"/>
      <c r="AX616" s="1655"/>
      <c r="AY616" s="1655"/>
      <c r="AZ616" s="1655"/>
      <c r="BA616" s="1655"/>
      <c r="BB616" s="1655"/>
      <c r="BC616" s="1655"/>
      <c r="BD616" s="1655"/>
      <c r="BE616" s="1655"/>
      <c r="BF616" s="1655"/>
      <c r="BG616" s="1655"/>
      <c r="BH616" s="1655"/>
      <c r="BI616" s="1655"/>
      <c r="BJ616" s="1655"/>
      <c r="BK616" s="1655"/>
      <c r="BL616" s="1655"/>
      <c r="BM616" s="1655"/>
      <c r="BN616" s="1655"/>
      <c r="BO616" s="1655"/>
      <c r="BP616" s="1655"/>
      <c r="BQ616" s="1655"/>
      <c r="BR616" s="1655"/>
      <c r="BS616" s="1655"/>
      <c r="BT616" s="1655"/>
      <c r="BU616" s="1655"/>
      <c r="BV616" s="1655"/>
      <c r="BW616" s="1655"/>
      <c r="BX616" s="1655"/>
      <c r="BY616" s="1655"/>
      <c r="BZ616" s="1655"/>
      <c r="CA616" s="1655"/>
      <c r="CB616" s="1655"/>
      <c r="CC616" s="1655"/>
      <c r="CD616" s="1655"/>
      <c r="CE616" s="1655"/>
      <c r="CF616" s="1655"/>
      <c r="CG616" s="1655"/>
      <c r="CH616" s="1655"/>
      <c r="CI616" s="1655"/>
      <c r="CJ616" s="1655"/>
      <c r="CK616" s="1655"/>
      <c r="CL616" s="1655"/>
      <c r="CM616" s="1655"/>
      <c r="CN616" s="1655"/>
      <c r="CO616" s="1655"/>
      <c r="CP616" s="1655"/>
      <c r="CQ616" s="1655"/>
      <c r="CR616" s="1655"/>
      <c r="CS616" s="1655"/>
      <c r="CT616" s="1655"/>
      <c r="CU616" s="1655"/>
      <c r="CV616" s="1655"/>
      <c r="CW616" s="1655"/>
      <c r="CX616" s="1655"/>
      <c r="CY616" s="1655"/>
      <c r="CZ616" s="1655"/>
      <c r="DA616" s="1655"/>
      <c r="DB616" s="1655"/>
      <c r="DC616" s="1655"/>
      <c r="DD616" s="1655"/>
      <c r="DE616" s="1655"/>
      <c r="DF616" s="1655"/>
      <c r="DG616" s="1655"/>
      <c r="DH616" s="1655"/>
      <c r="DI616" s="1655"/>
      <c r="DJ616" s="1655"/>
      <c r="DK616" s="1655"/>
      <c r="DL616" s="1655"/>
      <c r="DM616" s="1655"/>
      <c r="DN616" s="1655"/>
      <c r="DO616" s="1655"/>
      <c r="DP616" s="1655"/>
      <c r="DQ616" s="1655"/>
      <c r="DR616" s="1655"/>
      <c r="DS616" s="1655"/>
      <c r="DT616" s="1655"/>
      <c r="DU616" s="1655"/>
      <c r="DV616" s="1655"/>
      <c r="DW616" s="1655"/>
      <c r="DX616" s="1655"/>
      <c r="DY616" s="1655"/>
      <c r="DZ616" s="1655"/>
      <c r="EA616" s="1655"/>
      <c r="EB616" s="1655"/>
      <c r="EC616" s="1655"/>
      <c r="ED616" s="1655"/>
      <c r="EE616" s="1655"/>
      <c r="EF616" s="1655"/>
      <c r="EG616" s="1655"/>
      <c r="EH616" s="1655"/>
      <c r="EI616" s="1655"/>
      <c r="EJ616" s="1655"/>
      <c r="EK616" s="1655"/>
      <c r="EL616" s="1655"/>
      <c r="EM616" s="1655"/>
      <c r="EN616" s="1655"/>
      <c r="EO616" s="1655"/>
      <c r="EP616" s="1655"/>
      <c r="EQ616" s="1655"/>
      <c r="ER616" s="1655"/>
      <c r="ES616" s="1655"/>
      <c r="ET616" s="1655"/>
      <c r="EU616" s="1655"/>
      <c r="EV616" s="1655"/>
      <c r="EW616" s="1655"/>
      <c r="EX616" s="1655"/>
      <c r="EY616" s="1655"/>
      <c r="EZ616" s="1655"/>
      <c r="FA616" s="1655"/>
      <c r="FB616" s="1655"/>
      <c r="FC616" s="1655"/>
      <c r="FD616" s="1655"/>
      <c r="FE616" s="1655"/>
      <c r="FF616" s="1655"/>
      <c r="FG616" s="1655"/>
      <c r="FH616" s="1655"/>
      <c r="FI616" s="1655"/>
    </row>
    <row r="617" spans="1:165">
      <c r="A617" s="1655"/>
      <c r="B617" s="1655"/>
      <c r="C617" s="1655"/>
      <c r="D617" s="1655"/>
      <c r="E617" s="1655"/>
      <c r="F617" s="1655"/>
      <c r="G617" s="1655"/>
      <c r="H617" s="1655"/>
      <c r="I617" s="1655"/>
      <c r="J617" s="1655"/>
      <c r="K617" s="1655"/>
      <c r="L617" s="1655"/>
      <c r="M617" s="1655"/>
      <c r="N617" s="1655"/>
      <c r="O617" s="1655"/>
      <c r="P617" s="1655"/>
      <c r="Q617" s="1655"/>
      <c r="R617" s="1655"/>
      <c r="S617" s="1655"/>
      <c r="T617" s="1655"/>
      <c r="U617" s="1655"/>
      <c r="V617" s="1655"/>
      <c r="W617" s="1655"/>
      <c r="X617" s="1655"/>
      <c r="Y617" s="1655"/>
      <c r="Z617" s="1655"/>
      <c r="AA617" s="1655"/>
      <c r="AB617" s="1655"/>
      <c r="AC617" s="1655"/>
      <c r="AD617" s="1655"/>
      <c r="AE617" s="1655"/>
      <c r="AF617" s="1655"/>
      <c r="AG617" s="1655"/>
      <c r="AH617" s="1655"/>
      <c r="AI617" s="1655"/>
      <c r="AJ617" s="1655"/>
      <c r="AK617" s="1655"/>
      <c r="AL617" s="1655"/>
      <c r="AM617" s="1655"/>
      <c r="AN617" s="1655"/>
      <c r="AO617" s="1655"/>
      <c r="AP617" s="1655"/>
      <c r="AQ617" s="1655"/>
      <c r="AR617" s="1655"/>
      <c r="AS617" s="1655"/>
      <c r="AT617" s="1655"/>
      <c r="AU617" s="1655"/>
      <c r="AV617" s="1655"/>
      <c r="AW617" s="1655"/>
      <c r="AX617" s="1655"/>
      <c r="AY617" s="1655"/>
      <c r="AZ617" s="1655"/>
      <c r="BA617" s="1655"/>
      <c r="BB617" s="1655"/>
      <c r="BC617" s="1655"/>
      <c r="BD617" s="1655"/>
      <c r="BE617" s="1655"/>
      <c r="BF617" s="1655"/>
      <c r="BG617" s="1655"/>
      <c r="BH617" s="1655"/>
      <c r="BI617" s="1655"/>
      <c r="BJ617" s="1655"/>
      <c r="BK617" s="1655"/>
      <c r="BL617" s="1655"/>
      <c r="BM617" s="1655"/>
      <c r="BN617" s="1655"/>
      <c r="BO617" s="1655"/>
      <c r="BP617" s="1655"/>
      <c r="BQ617" s="1655"/>
      <c r="BR617" s="1655"/>
      <c r="BS617" s="1655"/>
      <c r="BT617" s="1655"/>
      <c r="BU617" s="1655"/>
      <c r="BV617" s="1655"/>
      <c r="BW617" s="1655"/>
      <c r="BX617" s="1655"/>
      <c r="BY617" s="1655"/>
      <c r="BZ617" s="1655"/>
      <c r="CA617" s="1655"/>
      <c r="CB617" s="1655"/>
      <c r="CC617" s="1655"/>
      <c r="CD617" s="1655"/>
      <c r="CE617" s="1655"/>
      <c r="CF617" s="1655"/>
      <c r="CG617" s="1655"/>
      <c r="CH617" s="1655"/>
      <c r="CI617" s="1655"/>
      <c r="CJ617" s="1655"/>
      <c r="CK617" s="1655"/>
      <c r="CL617" s="1655"/>
      <c r="CM617" s="1655"/>
      <c r="CN617" s="1655"/>
      <c r="CO617" s="1655"/>
      <c r="CP617" s="1655"/>
      <c r="CQ617" s="1655"/>
      <c r="CR617" s="1655"/>
      <c r="CS617" s="1655"/>
      <c r="CT617" s="1655"/>
      <c r="CU617" s="1655"/>
      <c r="CV617" s="1655"/>
      <c r="CW617" s="1655"/>
      <c r="CX617" s="1655"/>
      <c r="CY617" s="1655"/>
      <c r="CZ617" s="1655"/>
      <c r="DA617" s="1655"/>
      <c r="DB617" s="1655"/>
      <c r="DC617" s="1655"/>
      <c r="DD617" s="1655"/>
      <c r="DE617" s="1655"/>
      <c r="DF617" s="1655"/>
      <c r="DG617" s="1655"/>
      <c r="DH617" s="1655"/>
      <c r="DI617" s="1655"/>
      <c r="DJ617" s="1655"/>
      <c r="DK617" s="1655"/>
      <c r="DL617" s="1655"/>
      <c r="DM617" s="1655"/>
      <c r="DN617" s="1655"/>
      <c r="DO617" s="1655"/>
      <c r="DP617" s="1655"/>
      <c r="DQ617" s="1655"/>
      <c r="DR617" s="1655"/>
      <c r="DS617" s="1655"/>
      <c r="DT617" s="1655"/>
      <c r="DU617" s="1655"/>
      <c r="DV617" s="1655"/>
      <c r="DW617" s="1655"/>
      <c r="DX617" s="1655"/>
      <c r="DY617" s="1655"/>
      <c r="DZ617" s="1655"/>
      <c r="EA617" s="1655"/>
      <c r="EB617" s="1655"/>
      <c r="EC617" s="1655"/>
      <c r="ED617" s="1655"/>
      <c r="EE617" s="1655"/>
      <c r="EF617" s="1655"/>
      <c r="EG617" s="1655"/>
      <c r="EH617" s="1655"/>
      <c r="EI617" s="1655"/>
      <c r="EJ617" s="1655"/>
      <c r="EK617" s="1655"/>
      <c r="EL617" s="1655"/>
      <c r="EM617" s="1655"/>
      <c r="EN617" s="1655"/>
      <c r="EO617" s="1655"/>
      <c r="EP617" s="1655"/>
      <c r="EQ617" s="1655"/>
      <c r="ER617" s="1655"/>
      <c r="ES617" s="1655"/>
      <c r="ET617" s="1655"/>
      <c r="EU617" s="1655"/>
      <c r="EV617" s="1655"/>
      <c r="EW617" s="1655"/>
      <c r="EX617" s="1655"/>
      <c r="EY617" s="1655"/>
      <c r="EZ617" s="1655"/>
      <c r="FA617" s="1655"/>
      <c r="FB617" s="1655"/>
      <c r="FC617" s="1655"/>
      <c r="FD617" s="1655"/>
      <c r="FE617" s="1655"/>
      <c r="FF617" s="1655"/>
      <c r="FG617" s="1655"/>
      <c r="FH617" s="1655"/>
      <c r="FI617" s="1655"/>
    </row>
    <row r="618" spans="1:165">
      <c r="A618" s="1655"/>
      <c r="B618" s="1655"/>
      <c r="C618" s="1655"/>
      <c r="D618" s="1655"/>
      <c r="E618" s="1655"/>
      <c r="F618" s="1655"/>
      <c r="G618" s="1655"/>
      <c r="H618" s="1655"/>
      <c r="I618" s="1655"/>
      <c r="J618" s="1655"/>
      <c r="K618" s="1655"/>
      <c r="L618" s="1655"/>
      <c r="M618" s="1655"/>
      <c r="N618" s="1655"/>
      <c r="O618" s="1655"/>
      <c r="P618" s="1655"/>
      <c r="Q618" s="1655"/>
      <c r="R618" s="1655"/>
      <c r="S618" s="1655"/>
      <c r="T618" s="1655"/>
      <c r="U618" s="1655"/>
      <c r="V618" s="1655"/>
      <c r="W618" s="1655"/>
      <c r="X618" s="1655"/>
      <c r="Y618" s="1655"/>
      <c r="Z618" s="1655"/>
      <c r="AA618" s="1655"/>
      <c r="AB618" s="1655"/>
      <c r="AC618" s="1655"/>
      <c r="AD618" s="1655"/>
      <c r="AE618" s="1655"/>
      <c r="AF618" s="1655"/>
      <c r="AG618" s="1655"/>
      <c r="AH618" s="1655"/>
      <c r="AI618" s="1655"/>
      <c r="AJ618" s="1655"/>
      <c r="AK618" s="1655"/>
      <c r="AL618" s="1655"/>
      <c r="AM618" s="1655"/>
      <c r="AN618" s="1655"/>
      <c r="AO618" s="1655"/>
      <c r="AP618" s="1655"/>
      <c r="AQ618" s="1655"/>
      <c r="AR618" s="1655"/>
      <c r="AS618" s="1655"/>
      <c r="AT618" s="1655"/>
      <c r="AU618" s="1655"/>
      <c r="AV618" s="1655"/>
      <c r="AW618" s="1655"/>
      <c r="AX618" s="1655"/>
      <c r="AY618" s="1655"/>
      <c r="AZ618" s="1655"/>
      <c r="BA618" s="1655"/>
      <c r="BB618" s="1655"/>
      <c r="BC618" s="1655"/>
      <c r="BD618" s="1655"/>
      <c r="BE618" s="1655"/>
      <c r="BF618" s="1655"/>
      <c r="BG618" s="1655"/>
      <c r="BH618" s="1655"/>
      <c r="BI618" s="1655"/>
      <c r="BJ618" s="1655"/>
      <c r="BK618" s="1655"/>
      <c r="BL618" s="1655"/>
      <c r="BM618" s="1655"/>
      <c r="BN618" s="1655"/>
      <c r="BO618" s="1655"/>
      <c r="BP618" s="1655"/>
      <c r="BQ618" s="1655"/>
      <c r="BR618" s="1655"/>
      <c r="BS618" s="1655"/>
      <c r="BT618" s="1655"/>
      <c r="BU618" s="1655"/>
      <c r="BV618" s="1655"/>
      <c r="BW618" s="1655"/>
      <c r="BX618" s="1655"/>
      <c r="BY618" s="1655"/>
      <c r="BZ618" s="1655"/>
      <c r="CA618" s="1655"/>
      <c r="CB618" s="1655"/>
      <c r="CC618" s="1655"/>
      <c r="CD618" s="1655"/>
      <c r="CE618" s="1655"/>
      <c r="CF618" s="1655"/>
      <c r="CG618" s="1655"/>
      <c r="CH618" s="1655"/>
      <c r="CI618" s="1655"/>
      <c r="CJ618" s="1655"/>
      <c r="CK618" s="1655"/>
      <c r="CL618" s="1655"/>
      <c r="CM618" s="1655"/>
      <c r="CN618" s="1655"/>
      <c r="CO618" s="1655"/>
      <c r="CP618" s="1655"/>
      <c r="CQ618" s="1655"/>
      <c r="CR618" s="1655"/>
      <c r="CS618" s="1655"/>
      <c r="CT618" s="1655"/>
      <c r="CU618" s="1655"/>
      <c r="CV618" s="1655"/>
      <c r="CW618" s="1655"/>
      <c r="CX618" s="1655"/>
      <c r="CY618" s="1655"/>
      <c r="CZ618" s="1655"/>
      <c r="DA618" s="1655"/>
      <c r="DB618" s="1655"/>
      <c r="DC618" s="1655"/>
      <c r="DD618" s="1655"/>
      <c r="DE618" s="1655"/>
      <c r="DF618" s="1655"/>
      <c r="DG618" s="1655"/>
      <c r="DH618" s="1655"/>
      <c r="DI618" s="1655"/>
      <c r="DJ618" s="1655"/>
      <c r="DK618" s="1655"/>
      <c r="DL618" s="1655"/>
      <c r="DM618" s="1655"/>
      <c r="DN618" s="1655"/>
      <c r="DO618" s="1655"/>
      <c r="DP618" s="1655"/>
      <c r="DQ618" s="1655"/>
      <c r="DR618" s="1655"/>
      <c r="DS618" s="1655"/>
      <c r="DT618" s="1655"/>
      <c r="DU618" s="1655"/>
      <c r="DV618" s="1655"/>
      <c r="DW618" s="1655"/>
      <c r="DX618" s="1655"/>
      <c r="DY618" s="1655"/>
      <c r="DZ618" s="1655"/>
      <c r="EA618" s="1655"/>
      <c r="EB618" s="1655"/>
      <c r="EC618" s="1655"/>
      <c r="ED618" s="1655"/>
      <c r="EE618" s="1655"/>
      <c r="EF618" s="1655"/>
      <c r="EG618" s="1655"/>
      <c r="EH618" s="1655"/>
      <c r="EI618" s="1655"/>
      <c r="EJ618" s="1655"/>
      <c r="EK618" s="1655"/>
      <c r="EL618" s="1655"/>
      <c r="EM618" s="1655"/>
      <c r="EN618" s="1655"/>
      <c r="EO618" s="1655"/>
      <c r="EP618" s="1655"/>
      <c r="EQ618" s="1655"/>
      <c r="ER618" s="1655"/>
      <c r="ES618" s="1655"/>
      <c r="ET618" s="1655"/>
      <c r="EU618" s="1655"/>
      <c r="EV618" s="1655"/>
      <c r="EW618" s="1655"/>
      <c r="EX618" s="1655"/>
      <c r="EY618" s="1655"/>
      <c r="EZ618" s="1655"/>
      <c r="FA618" s="1655"/>
      <c r="FB618" s="1655"/>
      <c r="FC618" s="1655"/>
      <c r="FD618" s="1655"/>
      <c r="FE618" s="1655"/>
      <c r="FF618" s="1655"/>
      <c r="FG618" s="1655"/>
      <c r="FH618" s="1655"/>
      <c r="FI618" s="1655"/>
    </row>
    <row r="619" spans="1:165">
      <c r="A619" s="1655"/>
      <c r="B619" s="1655"/>
      <c r="C619" s="1655"/>
      <c r="D619" s="1655"/>
      <c r="E619" s="1655"/>
      <c r="F619" s="1655"/>
      <c r="G619" s="1655"/>
      <c r="H619" s="1655"/>
      <c r="I619" s="1655"/>
      <c r="J619" s="1655"/>
      <c r="K619" s="1655"/>
      <c r="L619" s="1655"/>
      <c r="M619" s="1655"/>
      <c r="N619" s="1655"/>
      <c r="O619" s="1655"/>
      <c r="P619" s="1655"/>
      <c r="Q619" s="1655"/>
      <c r="R619" s="1655"/>
      <c r="S619" s="1655"/>
      <c r="T619" s="1655"/>
      <c r="U619" s="1655"/>
      <c r="V619" s="1655"/>
      <c r="W619" s="1655"/>
      <c r="X619" s="1655"/>
      <c r="Y619" s="1655"/>
      <c r="Z619" s="1655"/>
      <c r="AA619" s="1655"/>
      <c r="AB619" s="1655"/>
      <c r="AC619" s="1655"/>
      <c r="AD619" s="1655"/>
      <c r="AE619" s="1655"/>
      <c r="AF619" s="1655"/>
      <c r="AG619" s="1655"/>
      <c r="AH619" s="1655"/>
      <c r="AI619" s="1655"/>
      <c r="AJ619" s="1655"/>
      <c r="AK619" s="1655"/>
      <c r="AL619" s="1655"/>
      <c r="AM619" s="1655"/>
      <c r="AN619" s="1655"/>
      <c r="AO619" s="1655"/>
      <c r="AP619" s="1655"/>
      <c r="AQ619" s="1655"/>
      <c r="AR619" s="1655"/>
      <c r="AS619" s="1655"/>
      <c r="AT619" s="1655"/>
      <c r="AU619" s="1655"/>
      <c r="AV619" s="1655"/>
      <c r="AW619" s="1655"/>
      <c r="AX619" s="1655"/>
      <c r="AY619" s="1655"/>
      <c r="AZ619" s="1655"/>
      <c r="BA619" s="1655"/>
      <c r="BB619" s="1655"/>
      <c r="BC619" s="1655"/>
      <c r="BD619" s="1655"/>
      <c r="BE619" s="1655"/>
      <c r="BF619" s="1655"/>
      <c r="BG619" s="1655"/>
      <c r="BH619" s="1655"/>
      <c r="BI619" s="1655"/>
      <c r="BJ619" s="1655"/>
      <c r="BK619" s="1655"/>
      <c r="BL619" s="1655"/>
      <c r="BM619" s="1655"/>
      <c r="BN619" s="1655"/>
      <c r="BO619" s="1655"/>
      <c r="BP619" s="1655"/>
      <c r="BQ619" s="1655"/>
      <c r="BR619" s="1655"/>
      <c r="BS619" s="1655"/>
      <c r="BT619" s="1655"/>
      <c r="BU619" s="1655"/>
      <c r="BV619" s="1655"/>
      <c r="BW619" s="1655"/>
      <c r="BX619" s="1655"/>
      <c r="BY619" s="1655"/>
      <c r="BZ619" s="1655"/>
      <c r="CA619" s="1655"/>
      <c r="CB619" s="1655"/>
      <c r="CC619" s="1655"/>
      <c r="CD619" s="1655"/>
      <c r="CE619" s="1655"/>
      <c r="CF619" s="1655"/>
      <c r="CG619" s="1655"/>
      <c r="CH619" s="1655"/>
      <c r="CI619" s="1655"/>
      <c r="CJ619" s="1655"/>
      <c r="CK619" s="1655"/>
      <c r="CL619" s="1655"/>
      <c r="CM619" s="1655"/>
      <c r="CN619" s="1655"/>
      <c r="CO619" s="1655"/>
      <c r="CP619" s="1655"/>
      <c r="CQ619" s="1655"/>
      <c r="CR619" s="1655"/>
      <c r="CS619" s="1655"/>
      <c r="CT619" s="1655"/>
      <c r="CU619" s="1655"/>
      <c r="CV619" s="1655"/>
      <c r="CW619" s="1655"/>
      <c r="CX619" s="1655"/>
      <c r="CY619" s="1655"/>
      <c r="CZ619" s="1655"/>
      <c r="DA619" s="1655"/>
      <c r="DB619" s="1655"/>
      <c r="DC619" s="1655"/>
      <c r="DD619" s="1655"/>
      <c r="DE619" s="1655"/>
      <c r="DF619" s="1655"/>
      <c r="DG619" s="1655"/>
      <c r="DH619" s="1655"/>
      <c r="DI619" s="1655"/>
      <c r="DJ619" s="1655"/>
      <c r="DK619" s="1655"/>
      <c r="DL619" s="1655"/>
      <c r="DM619" s="1655"/>
      <c r="DN619" s="1655"/>
      <c r="DO619" s="1655"/>
      <c r="DP619" s="1655"/>
      <c r="DQ619" s="1655"/>
      <c r="DR619" s="1655"/>
      <c r="DS619" s="1655"/>
      <c r="DT619" s="1655"/>
      <c r="DU619" s="1655"/>
      <c r="DV619" s="1655"/>
      <c r="DW619" s="1655"/>
      <c r="DX619" s="1655"/>
      <c r="DY619" s="1655"/>
      <c r="DZ619" s="1655"/>
      <c r="EA619" s="1655"/>
      <c r="EB619" s="1655"/>
      <c r="EC619" s="1655"/>
      <c r="ED619" s="1655"/>
      <c r="EE619" s="1655"/>
      <c r="EF619" s="1655"/>
      <c r="EG619" s="1655"/>
      <c r="EH619" s="1655"/>
      <c r="EI619" s="1655"/>
      <c r="EJ619" s="1655"/>
      <c r="EK619" s="1655"/>
      <c r="EL619" s="1655"/>
      <c r="EM619" s="1655"/>
      <c r="EN619" s="1655"/>
      <c r="EO619" s="1655"/>
      <c r="EP619" s="1655"/>
      <c r="EQ619" s="1655"/>
      <c r="ER619" s="1655"/>
      <c r="ES619" s="1655"/>
      <c r="ET619" s="1655"/>
      <c r="EU619" s="1655"/>
      <c r="EV619" s="1655"/>
      <c r="EW619" s="1655"/>
      <c r="EX619" s="1655"/>
      <c r="EY619" s="1655"/>
      <c r="EZ619" s="1655"/>
      <c r="FA619" s="1655"/>
      <c r="FB619" s="1655"/>
      <c r="FC619" s="1655"/>
      <c r="FD619" s="1655"/>
      <c r="FE619" s="1655"/>
      <c r="FF619" s="1655"/>
      <c r="FG619" s="1655"/>
      <c r="FH619" s="1655"/>
      <c r="FI619" s="1655"/>
    </row>
    <row r="620" spans="1:165">
      <c r="A620" s="1655"/>
      <c r="B620" s="1655"/>
      <c r="C620" s="1655"/>
      <c r="D620" s="1655"/>
      <c r="E620" s="1655"/>
      <c r="F620" s="1655"/>
      <c r="G620" s="1655"/>
      <c r="H620" s="1655"/>
      <c r="I620" s="1655"/>
      <c r="J620" s="1655"/>
      <c r="K620" s="1655"/>
      <c r="L620" s="1655"/>
      <c r="M620" s="1655"/>
      <c r="N620" s="1655"/>
      <c r="O620" s="1655"/>
      <c r="P620" s="1655"/>
      <c r="Q620" s="1655"/>
      <c r="R620" s="1655"/>
      <c r="S620" s="1655"/>
      <c r="T620" s="1655"/>
      <c r="U620" s="1655"/>
      <c r="V620" s="1655"/>
      <c r="W620" s="1655"/>
      <c r="X620" s="1655"/>
      <c r="Y620" s="1655"/>
      <c r="Z620" s="1655"/>
      <c r="AA620" s="1655"/>
      <c r="AB620" s="1655"/>
      <c r="AC620" s="1655"/>
      <c r="AD620" s="1655"/>
      <c r="AE620" s="1655"/>
      <c r="AF620" s="1655"/>
      <c r="AG620" s="1655"/>
      <c r="AH620" s="1655"/>
      <c r="AI620" s="1655"/>
      <c r="AJ620" s="1655"/>
      <c r="AK620" s="1655"/>
      <c r="AL620" s="1655"/>
      <c r="AM620" s="1655"/>
      <c r="AN620" s="1655"/>
      <c r="AO620" s="1655"/>
      <c r="AP620" s="1655"/>
      <c r="AQ620" s="1655"/>
      <c r="AR620" s="1655"/>
      <c r="AS620" s="1655"/>
      <c r="AT620" s="1655"/>
      <c r="AU620" s="1655"/>
      <c r="AV620" s="1655"/>
      <c r="AW620" s="1655"/>
      <c r="AX620" s="1655"/>
      <c r="AY620" s="1655"/>
      <c r="AZ620" s="1655"/>
      <c r="BA620" s="1655"/>
      <c r="BB620" s="1655"/>
      <c r="BC620" s="1655"/>
      <c r="BD620" s="1655"/>
      <c r="BE620" s="1655"/>
      <c r="BF620" s="1655"/>
      <c r="BG620" s="1655"/>
      <c r="BH620" s="1655"/>
      <c r="BI620" s="1655"/>
      <c r="BJ620" s="1655"/>
      <c r="BK620" s="1655"/>
      <c r="BL620" s="1655"/>
      <c r="BM620" s="1655"/>
      <c r="BN620" s="1655"/>
      <c r="BO620" s="1655"/>
      <c r="BP620" s="1655"/>
      <c r="BQ620" s="1655"/>
      <c r="BR620" s="1655"/>
      <c r="BS620" s="1655"/>
      <c r="BT620" s="1655"/>
      <c r="BU620" s="1655"/>
      <c r="BV620" s="1655"/>
      <c r="BW620" s="1655"/>
      <c r="BX620" s="1655"/>
      <c r="BY620" s="1655"/>
      <c r="BZ620" s="1655"/>
      <c r="CA620" s="1655"/>
      <c r="CB620" s="1655"/>
      <c r="CC620" s="1655"/>
      <c r="CD620" s="1655"/>
      <c r="CE620" s="1655"/>
      <c r="CF620" s="1655"/>
      <c r="CG620" s="1655"/>
      <c r="CH620" s="1655"/>
      <c r="CI620" s="1655"/>
      <c r="CJ620" s="1655"/>
      <c r="CK620" s="1655"/>
      <c r="CL620" s="1655"/>
      <c r="CM620" s="1655"/>
      <c r="CN620" s="1655"/>
      <c r="CO620" s="1655"/>
      <c r="CP620" s="1655"/>
      <c r="CQ620" s="1655"/>
      <c r="CR620" s="1655"/>
      <c r="CS620" s="1655"/>
      <c r="CT620" s="1655"/>
      <c r="CU620" s="1655"/>
      <c r="CV620" s="1655"/>
      <c r="CW620" s="1655"/>
      <c r="CX620" s="1655"/>
      <c r="CY620" s="1655"/>
      <c r="CZ620" s="1655"/>
      <c r="DA620" s="1655"/>
      <c r="DB620" s="1655"/>
      <c r="DC620" s="1655"/>
      <c r="DD620" s="1655"/>
      <c r="DE620" s="1655"/>
      <c r="DF620" s="1655"/>
      <c r="DG620" s="1655"/>
      <c r="DH620" s="1655"/>
      <c r="DI620" s="1655"/>
      <c r="DJ620" s="1655"/>
      <c r="DK620" s="1655"/>
      <c r="DL620" s="1655"/>
      <c r="DM620" s="1655"/>
      <c r="DN620" s="1655"/>
      <c r="DO620" s="1655"/>
      <c r="DP620" s="1655"/>
      <c r="DQ620" s="1655"/>
      <c r="DR620" s="1655"/>
      <c r="DS620" s="1655"/>
      <c r="DT620" s="1655"/>
      <c r="DU620" s="1655"/>
      <c r="DV620" s="1655"/>
      <c r="DW620" s="1655"/>
      <c r="DX620" s="1655"/>
      <c r="DY620" s="1655"/>
      <c r="DZ620" s="1655"/>
      <c r="EA620" s="1655"/>
      <c r="EB620" s="1655"/>
      <c r="EC620" s="1655"/>
      <c r="ED620" s="1655"/>
      <c r="EE620" s="1655"/>
      <c r="EF620" s="1655"/>
      <c r="EG620" s="1655"/>
      <c r="EH620" s="1655"/>
      <c r="EI620" s="1655"/>
      <c r="EJ620" s="1655"/>
      <c r="EK620" s="1655"/>
      <c r="EL620" s="1655"/>
      <c r="EM620" s="1655"/>
      <c r="EN620" s="1655"/>
      <c r="EO620" s="1655"/>
      <c r="EP620" s="1655"/>
      <c r="EQ620" s="1655"/>
      <c r="ER620" s="1655"/>
      <c r="ES620" s="1655"/>
      <c r="ET620" s="1655"/>
      <c r="EU620" s="1655"/>
      <c r="EV620" s="1655"/>
      <c r="EW620" s="1655"/>
      <c r="EX620" s="1655"/>
      <c r="EY620" s="1655"/>
      <c r="EZ620" s="1655"/>
      <c r="FA620" s="1655"/>
      <c r="FB620" s="1655"/>
      <c r="FC620" s="1655"/>
      <c r="FD620" s="1655"/>
      <c r="FE620" s="1655"/>
      <c r="FF620" s="1655"/>
      <c r="FG620" s="1655"/>
      <c r="FH620" s="1655"/>
      <c r="FI620" s="1655"/>
    </row>
    <row r="621" spans="1:165">
      <c r="A621" s="1655"/>
      <c r="B621" s="1655"/>
      <c r="C621" s="1655"/>
      <c r="D621" s="1655"/>
      <c r="E621" s="1655"/>
      <c r="F621" s="1655"/>
      <c r="G621" s="1655"/>
      <c r="H621" s="1655"/>
      <c r="I621" s="1655"/>
      <c r="J621" s="1655"/>
      <c r="K621" s="1655"/>
      <c r="L621" s="1655"/>
      <c r="M621" s="1655"/>
      <c r="N621" s="1655"/>
      <c r="O621" s="1655"/>
      <c r="P621" s="1655"/>
      <c r="Q621" s="1655"/>
      <c r="R621" s="1655"/>
      <c r="S621" s="1655"/>
      <c r="T621" s="1655"/>
      <c r="U621" s="1655"/>
      <c r="V621" s="1655"/>
      <c r="W621" s="1655"/>
      <c r="X621" s="1655"/>
      <c r="Y621" s="1655"/>
      <c r="Z621" s="1655"/>
      <c r="AA621" s="1655"/>
      <c r="AB621" s="1655"/>
      <c r="AC621" s="1655"/>
      <c r="AD621" s="1655"/>
      <c r="AE621" s="1655"/>
      <c r="AF621" s="1655"/>
      <c r="AG621" s="1655"/>
      <c r="AH621" s="1655"/>
      <c r="AI621" s="1655"/>
      <c r="AJ621" s="1655"/>
      <c r="AK621" s="1655"/>
      <c r="AL621" s="1655"/>
      <c r="AM621" s="1655"/>
      <c r="AN621" s="1655"/>
      <c r="AO621" s="1655"/>
      <c r="AP621" s="1655"/>
      <c r="AQ621" s="1655"/>
      <c r="AR621" s="1655"/>
      <c r="AS621" s="1655"/>
      <c r="AT621" s="1655"/>
      <c r="AU621" s="1655"/>
      <c r="AV621" s="1655"/>
      <c r="AW621" s="1655"/>
      <c r="AX621" s="1655"/>
      <c r="AY621" s="1655"/>
      <c r="AZ621" s="1655"/>
      <c r="BA621" s="1655"/>
      <c r="BB621" s="1655"/>
      <c r="BC621" s="1655"/>
      <c r="BD621" s="1655"/>
      <c r="BE621" s="1655"/>
      <c r="BF621" s="1655"/>
      <c r="BG621" s="1655"/>
      <c r="BH621" s="1655"/>
      <c r="BI621" s="1655"/>
      <c r="BJ621" s="1655"/>
      <c r="BK621" s="1655"/>
      <c r="BL621" s="1655"/>
      <c r="BM621" s="1655"/>
      <c r="BN621" s="1655"/>
      <c r="BO621" s="1655"/>
      <c r="BP621" s="1655"/>
      <c r="BQ621" s="1655"/>
      <c r="BR621" s="1655"/>
      <c r="BS621" s="1655"/>
      <c r="BT621" s="1655"/>
      <c r="BU621" s="1655"/>
      <c r="BV621" s="1655"/>
      <c r="BW621" s="1655"/>
      <c r="BX621" s="1655"/>
      <c r="BY621" s="1655"/>
      <c r="BZ621" s="1655"/>
      <c r="CA621" s="1655"/>
      <c r="CB621" s="1655"/>
      <c r="CC621" s="1655"/>
      <c r="CD621" s="1655"/>
      <c r="CE621" s="1655"/>
      <c r="CF621" s="1655"/>
      <c r="CG621" s="1655"/>
      <c r="CH621" s="1655"/>
      <c r="CI621" s="1655"/>
      <c r="CJ621" s="1655"/>
      <c r="CK621" s="1655"/>
      <c r="CL621" s="1655"/>
      <c r="CM621" s="1655"/>
      <c r="CN621" s="1655"/>
      <c r="CO621" s="1655"/>
      <c r="CP621" s="1655"/>
      <c r="CQ621" s="1655"/>
      <c r="CR621" s="1655"/>
      <c r="CS621" s="1655"/>
      <c r="CT621" s="1655"/>
      <c r="CU621" s="1655"/>
      <c r="CV621" s="1655"/>
      <c r="CW621" s="1655"/>
      <c r="CX621" s="1655"/>
      <c r="CY621" s="1655"/>
      <c r="CZ621" s="1655"/>
      <c r="DA621" s="1655"/>
      <c r="DB621" s="1655"/>
      <c r="DC621" s="1655"/>
      <c r="DD621" s="1655"/>
      <c r="DE621" s="1655"/>
      <c r="DF621" s="1655"/>
      <c r="DG621" s="1655"/>
      <c r="DH621" s="1655"/>
      <c r="DI621" s="1655"/>
      <c r="DJ621" s="1655"/>
      <c r="DK621" s="1655"/>
      <c r="DL621" s="1655"/>
      <c r="DM621" s="1655"/>
      <c r="DN621" s="1655"/>
      <c r="DO621" s="1655"/>
      <c r="DP621" s="1655"/>
      <c r="DQ621" s="1655"/>
      <c r="DR621" s="1655"/>
      <c r="DS621" s="1655"/>
      <c r="DT621" s="1655"/>
      <c r="DU621" s="1655"/>
      <c r="DV621" s="1655"/>
      <c r="DW621" s="1655"/>
      <c r="DX621" s="1655"/>
      <c r="DY621" s="1655"/>
      <c r="DZ621" s="1655"/>
      <c r="EA621" s="1655"/>
      <c r="EB621" s="1655"/>
      <c r="EC621" s="1655"/>
      <c r="ED621" s="1655"/>
      <c r="EE621" s="1655"/>
      <c r="EF621" s="1655"/>
      <c r="EG621" s="1655"/>
      <c r="EH621" s="1655"/>
      <c r="EI621" s="1655"/>
      <c r="EJ621" s="1655"/>
      <c r="EK621" s="1655"/>
      <c r="EL621" s="1655"/>
      <c r="EM621" s="1655"/>
      <c r="EN621" s="1655"/>
      <c r="EO621" s="1655"/>
      <c r="EP621" s="1655"/>
      <c r="EQ621" s="1655"/>
      <c r="ER621" s="1655"/>
      <c r="ES621" s="1655"/>
      <c r="ET621" s="1655"/>
      <c r="EU621" s="1655"/>
      <c r="EV621" s="1655"/>
      <c r="EW621" s="1655"/>
      <c r="EX621" s="1655"/>
      <c r="EY621" s="1655"/>
      <c r="EZ621" s="1655"/>
      <c r="FA621" s="1655"/>
      <c r="FB621" s="1655"/>
      <c r="FC621" s="1655"/>
      <c r="FD621" s="1655"/>
      <c r="FE621" s="1655"/>
      <c r="FF621" s="1655"/>
      <c r="FG621" s="1655"/>
      <c r="FH621" s="1655"/>
      <c r="FI621" s="1655"/>
    </row>
    <row r="622" spans="1:165">
      <c r="A622" s="1655"/>
      <c r="B622" s="1655"/>
      <c r="C622" s="1655"/>
      <c r="D622" s="1655"/>
      <c r="E622" s="1655"/>
      <c r="F622" s="1655"/>
      <c r="G622" s="1655"/>
      <c r="H622" s="1655"/>
      <c r="I622" s="1655"/>
      <c r="J622" s="1655"/>
      <c r="K622" s="1655"/>
      <c r="L622" s="1655"/>
      <c r="M622" s="1655"/>
      <c r="N622" s="1655"/>
      <c r="O622" s="1655"/>
      <c r="P622" s="1655"/>
      <c r="Q622" s="1655"/>
      <c r="R622" s="1655"/>
      <c r="S622" s="1655"/>
      <c r="T622" s="1655"/>
      <c r="U622" s="1655"/>
      <c r="V622" s="1655"/>
      <c r="W622" s="1655"/>
      <c r="X622" s="1655"/>
      <c r="Y622" s="1655"/>
      <c r="Z622" s="1655"/>
      <c r="AA622" s="1655"/>
      <c r="AB622" s="1655"/>
      <c r="AC622" s="1655"/>
      <c r="AD622" s="1655"/>
      <c r="AE622" s="1655"/>
      <c r="AF622" s="1655"/>
      <c r="AG622" s="1655"/>
      <c r="AH622" s="1655"/>
      <c r="AI622" s="1655"/>
      <c r="AJ622" s="1655"/>
      <c r="AK622" s="1655"/>
      <c r="AL622" s="1655"/>
      <c r="AM622" s="1655"/>
      <c r="AN622" s="1655"/>
      <c r="AO622" s="1655"/>
      <c r="AP622" s="1655"/>
      <c r="AQ622" s="1655"/>
      <c r="AR622" s="1655"/>
      <c r="AS622" s="1655"/>
      <c r="AT622" s="1655"/>
      <c r="AU622" s="1655"/>
      <c r="AV622" s="1655"/>
      <c r="AW622" s="1655"/>
      <c r="AX622" s="1655"/>
      <c r="AY622" s="1655"/>
      <c r="AZ622" s="1655"/>
      <c r="BA622" s="1655"/>
      <c r="BB622" s="1655"/>
      <c r="BC622" s="1655"/>
      <c r="BD622" s="1655"/>
      <c r="BE622" s="1655"/>
      <c r="BF622" s="1655"/>
      <c r="BG622" s="1655"/>
      <c r="BH622" s="1655"/>
      <c r="BI622" s="1655"/>
      <c r="BJ622" s="1655"/>
      <c r="BK622" s="1655"/>
      <c r="BL622" s="1655"/>
      <c r="BM622" s="1655"/>
      <c r="BN622" s="1655"/>
      <c r="BO622" s="1655"/>
      <c r="BP622" s="1655"/>
      <c r="BQ622" s="1655"/>
      <c r="BR622" s="1655"/>
      <c r="BS622" s="1655"/>
      <c r="BT622" s="1655"/>
      <c r="BU622" s="1655"/>
      <c r="BV622" s="1655"/>
      <c r="BW622" s="1655"/>
      <c r="BX622" s="1655"/>
      <c r="BY622" s="1655"/>
      <c r="BZ622" s="1655"/>
      <c r="CA622" s="1655"/>
      <c r="CB622" s="1655"/>
      <c r="CC622" s="1655"/>
      <c r="CD622" s="1655"/>
      <c r="CE622" s="1655"/>
      <c r="CF622" s="1655"/>
      <c r="CG622" s="1655"/>
      <c r="CH622" s="1655"/>
      <c r="CI622" s="1655"/>
      <c r="CJ622" s="1655"/>
      <c r="CK622" s="1655"/>
      <c r="CL622" s="1655"/>
      <c r="CM622" s="1655"/>
      <c r="CN622" s="1655"/>
      <c r="CO622" s="1655"/>
      <c r="CP622" s="1655"/>
      <c r="CQ622" s="1655"/>
      <c r="CR622" s="1655"/>
      <c r="CS622" s="1655"/>
      <c r="CT622" s="1655"/>
      <c r="CU622" s="1655"/>
      <c r="CV622" s="1655"/>
      <c r="CW622" s="1655"/>
      <c r="CX622" s="1655"/>
      <c r="CY622" s="1655"/>
      <c r="CZ622" s="1655"/>
      <c r="DA622" s="1655"/>
      <c r="DB622" s="1655"/>
      <c r="DC622" s="1655"/>
      <c r="DD622" s="1655"/>
      <c r="DE622" s="1655"/>
      <c r="DF622" s="1655"/>
      <c r="DG622" s="1655"/>
      <c r="DH622" s="1655"/>
      <c r="DI622" s="1655"/>
      <c r="DJ622" s="1655"/>
      <c r="DK622" s="1655"/>
      <c r="DL622" s="1655"/>
      <c r="DM622" s="1655"/>
      <c r="DN622" s="1655"/>
      <c r="DO622" s="1655"/>
      <c r="DP622" s="1655"/>
      <c r="DQ622" s="1655"/>
      <c r="DR622" s="1655"/>
      <c r="DS622" s="1655"/>
      <c r="DT622" s="1655"/>
      <c r="DU622" s="1655"/>
      <c r="DV622" s="1655"/>
      <c r="DW622" s="1655"/>
      <c r="DX622" s="1655"/>
      <c r="DY622" s="1655"/>
      <c r="DZ622" s="1655"/>
      <c r="EA622" s="1655"/>
      <c r="EB622" s="1655"/>
      <c r="EC622" s="1655"/>
      <c r="ED622" s="1655"/>
      <c r="EE622" s="1655"/>
      <c r="EF622" s="1655"/>
      <c r="EG622" s="1655"/>
      <c r="EH622" s="1655"/>
      <c r="EI622" s="1655"/>
      <c r="EJ622" s="1655"/>
      <c r="EK622" s="1655"/>
      <c r="EL622" s="1655"/>
      <c r="EM622" s="1655"/>
      <c r="EN622" s="1655"/>
      <c r="EO622" s="1655"/>
      <c r="EP622" s="1655"/>
      <c r="EQ622" s="1655"/>
      <c r="ER622" s="1655"/>
      <c r="ES622" s="1655"/>
      <c r="ET622" s="1655"/>
      <c r="EU622" s="1655"/>
      <c r="EV622" s="1655"/>
      <c r="EW622" s="1655"/>
      <c r="EX622" s="1655"/>
      <c r="EY622" s="1655"/>
      <c r="EZ622" s="1655"/>
      <c r="FA622" s="1655"/>
      <c r="FB622" s="1655"/>
      <c r="FC622" s="1655"/>
      <c r="FD622" s="1655"/>
      <c r="FE622" s="1655"/>
      <c r="FF622" s="1655"/>
      <c r="FG622" s="1655"/>
      <c r="FH622" s="1655"/>
      <c r="FI622" s="1655"/>
    </row>
    <row r="623" spans="1:165">
      <c r="A623" s="1655"/>
      <c r="B623" s="1655"/>
      <c r="C623" s="1655"/>
      <c r="D623" s="1655"/>
      <c r="E623" s="1655"/>
      <c r="F623" s="1655"/>
      <c r="G623" s="1655"/>
      <c r="H623" s="1655"/>
      <c r="I623" s="1655"/>
      <c r="J623" s="1655"/>
      <c r="K623" s="1655"/>
      <c r="L623" s="1655"/>
      <c r="M623" s="1655"/>
      <c r="N623" s="1655"/>
      <c r="O623" s="1655"/>
      <c r="P623" s="1655"/>
      <c r="Q623" s="1655"/>
      <c r="R623" s="1655"/>
      <c r="S623" s="1655"/>
      <c r="T623" s="1655"/>
      <c r="U623" s="1655"/>
      <c r="V623" s="1655"/>
      <c r="W623" s="1655"/>
      <c r="X623" s="1655"/>
      <c r="Y623" s="1655"/>
      <c r="Z623" s="1655"/>
      <c r="AA623" s="1655"/>
      <c r="AB623" s="1655"/>
      <c r="AC623" s="1655"/>
      <c r="AD623" s="1655"/>
      <c r="AE623" s="1655"/>
      <c r="AF623" s="1655"/>
      <c r="AG623" s="1655"/>
      <c r="AH623" s="1655"/>
      <c r="AI623" s="1655"/>
      <c r="AJ623" s="1655"/>
      <c r="AK623" s="1655"/>
      <c r="AL623" s="1655"/>
      <c r="AM623" s="1655"/>
      <c r="AN623" s="1655"/>
      <c r="AO623" s="1655"/>
      <c r="AP623" s="1655"/>
      <c r="AQ623" s="1655"/>
      <c r="AR623" s="1655"/>
      <c r="AS623" s="1655"/>
      <c r="AT623" s="1655"/>
      <c r="AU623" s="1655"/>
      <c r="AV623" s="1655"/>
      <c r="AW623" s="1655"/>
      <c r="AX623" s="1655"/>
      <c r="AY623" s="1655"/>
      <c r="AZ623" s="1655"/>
      <c r="BA623" s="1655"/>
      <c r="BB623" s="1655"/>
      <c r="BC623" s="1655"/>
      <c r="BD623" s="1655"/>
      <c r="BE623" s="1655"/>
      <c r="BF623" s="1655"/>
      <c r="BG623" s="1655"/>
      <c r="BH623" s="1655"/>
      <c r="BI623" s="1655"/>
      <c r="BJ623" s="1655"/>
      <c r="BK623" s="1655"/>
      <c r="BL623" s="1655"/>
      <c r="BM623" s="1655"/>
      <c r="BN623" s="1655"/>
      <c r="BO623" s="1655"/>
      <c r="BP623" s="1655"/>
      <c r="BQ623" s="1655"/>
      <c r="BR623" s="1655"/>
      <c r="BS623" s="1655"/>
      <c r="BT623" s="1655"/>
      <c r="BU623" s="1655"/>
      <c r="BV623" s="1655"/>
      <c r="BW623" s="1655"/>
      <c r="BX623" s="1655"/>
      <c r="BY623" s="1655"/>
      <c r="BZ623" s="1655"/>
      <c r="CA623" s="1655"/>
      <c r="CB623" s="1655"/>
      <c r="CC623" s="1655"/>
      <c r="CD623" s="1655"/>
      <c r="CE623" s="1655"/>
      <c r="CF623" s="1655"/>
      <c r="CG623" s="1655"/>
      <c r="CH623" s="1655"/>
      <c r="CI623" s="1655"/>
      <c r="CJ623" s="1655"/>
      <c r="CK623" s="1655"/>
      <c r="CL623" s="1655"/>
      <c r="CM623" s="1655"/>
      <c r="CN623" s="1655"/>
      <c r="CO623" s="1655"/>
      <c r="CP623" s="1655"/>
      <c r="CQ623" s="1655"/>
      <c r="CR623" s="1655"/>
      <c r="CS623" s="1655"/>
      <c r="CT623" s="1655"/>
      <c r="CU623" s="1655"/>
      <c r="CV623" s="1655"/>
      <c r="CW623" s="1655"/>
      <c r="CX623" s="1655"/>
      <c r="CY623" s="1655"/>
      <c r="CZ623" s="1655"/>
      <c r="DA623" s="1655"/>
      <c r="DB623" s="1655"/>
      <c r="DC623" s="1655"/>
      <c r="DD623" s="1655"/>
      <c r="DE623" s="1655"/>
      <c r="DF623" s="1655"/>
      <c r="DG623" s="1655"/>
      <c r="DH623" s="1655"/>
      <c r="DI623" s="1655"/>
      <c r="DJ623" s="1655"/>
      <c r="DK623" s="1655"/>
      <c r="DL623" s="1655"/>
      <c r="DM623" s="1655"/>
      <c r="DN623" s="1655"/>
      <c r="DO623" s="1655"/>
      <c r="DP623" s="1655"/>
      <c r="DQ623" s="1655"/>
      <c r="DR623" s="1655"/>
      <c r="DS623" s="1655"/>
      <c r="DT623" s="1655"/>
      <c r="DU623" s="1655"/>
      <c r="DV623" s="1655"/>
      <c r="DW623" s="1655"/>
      <c r="DX623" s="1655"/>
      <c r="DY623" s="1655"/>
      <c r="DZ623" s="1655"/>
      <c r="EA623" s="1655"/>
      <c r="EB623" s="1655"/>
      <c r="EC623" s="1655"/>
      <c r="ED623" s="1655"/>
      <c r="EE623" s="1655"/>
      <c r="EF623" s="1655"/>
      <c r="EG623" s="1655"/>
      <c r="EH623" s="1655"/>
      <c r="EI623" s="1655"/>
      <c r="EJ623" s="1655"/>
      <c r="EK623" s="1655"/>
      <c r="EL623" s="1655"/>
      <c r="EM623" s="1655"/>
      <c r="EN623" s="1655"/>
      <c r="EO623" s="1655"/>
      <c r="EP623" s="1655"/>
      <c r="EQ623" s="1655"/>
      <c r="ER623" s="1655"/>
      <c r="ES623" s="1655"/>
      <c r="ET623" s="1655"/>
      <c r="EU623" s="1655"/>
      <c r="EV623" s="1655"/>
      <c r="EW623" s="1655"/>
      <c r="EX623" s="1655"/>
      <c r="EY623" s="1655"/>
      <c r="EZ623" s="1655"/>
      <c r="FA623" s="1655"/>
      <c r="FB623" s="1655"/>
      <c r="FC623" s="1655"/>
      <c r="FD623" s="1655"/>
      <c r="FE623" s="1655"/>
      <c r="FF623" s="1655"/>
      <c r="FG623" s="1655"/>
      <c r="FH623" s="1655"/>
      <c r="FI623" s="1655"/>
    </row>
    <row r="624" spans="1:165">
      <c r="A624" s="1655"/>
      <c r="B624" s="1655"/>
      <c r="C624" s="1655"/>
      <c r="D624" s="1655"/>
      <c r="E624" s="1655"/>
      <c r="F624" s="1655"/>
      <c r="G624" s="1655"/>
      <c r="H624" s="1655"/>
      <c r="I624" s="1655"/>
      <c r="J624" s="1655"/>
      <c r="K624" s="1655"/>
      <c r="L624" s="1655"/>
      <c r="M624" s="1655"/>
      <c r="N624" s="1655"/>
      <c r="O624" s="1655"/>
      <c r="P624" s="1655"/>
      <c r="Q624" s="1655"/>
      <c r="R624" s="1655"/>
      <c r="S624" s="1655"/>
      <c r="T624" s="1655"/>
      <c r="U624" s="1655"/>
      <c r="V624" s="1655"/>
      <c r="W624" s="1655"/>
      <c r="X624" s="1655"/>
      <c r="Y624" s="1655"/>
      <c r="Z624" s="1655"/>
      <c r="AA624" s="1655"/>
      <c r="AB624" s="1655"/>
      <c r="AC624" s="1655"/>
      <c r="AD624" s="1655"/>
      <c r="AE624" s="1655"/>
      <c r="AF624" s="1655"/>
      <c r="AG624" s="1655"/>
      <c r="AH624" s="1655"/>
      <c r="AI624" s="1655"/>
      <c r="AJ624" s="1655"/>
      <c r="AK624" s="1655"/>
      <c r="AL624" s="1655"/>
      <c r="AM624" s="1655"/>
      <c r="AN624" s="1655"/>
      <c r="AO624" s="1655"/>
      <c r="AP624" s="1655"/>
      <c r="AQ624" s="1655"/>
      <c r="AR624" s="1655"/>
      <c r="AS624" s="1655"/>
      <c r="AT624" s="1655"/>
      <c r="AU624" s="1655"/>
      <c r="AV624" s="1655"/>
      <c r="AW624" s="1655"/>
      <c r="AX624" s="1655"/>
      <c r="AY624" s="1655"/>
      <c r="AZ624" s="1655"/>
      <c r="BA624" s="1655"/>
      <c r="BB624" s="1655"/>
      <c r="BC624" s="1655"/>
      <c r="BD624" s="1655"/>
      <c r="BE624" s="1655"/>
      <c r="BF624" s="1655"/>
      <c r="BG624" s="1655"/>
      <c r="BH624" s="1655"/>
      <c r="BI624" s="1655"/>
      <c r="BJ624" s="1655"/>
      <c r="BK624" s="1655"/>
      <c r="BL624" s="1655"/>
      <c r="BM624" s="1655"/>
      <c r="BN624" s="1655"/>
      <c r="BO624" s="1655"/>
      <c r="BP624" s="1655"/>
      <c r="BQ624" s="1655"/>
      <c r="BR624" s="1655"/>
      <c r="BS624" s="1655"/>
      <c r="BT624" s="1655"/>
      <c r="BU624" s="1655"/>
      <c r="BV624" s="1655"/>
      <c r="BW624" s="1655"/>
      <c r="BX624" s="1655"/>
      <c r="BY624" s="1655"/>
      <c r="BZ624" s="1655"/>
      <c r="CA624" s="1655"/>
      <c r="CB624" s="1655"/>
      <c r="CC624" s="1655"/>
      <c r="CD624" s="1655"/>
      <c r="CE624" s="1655"/>
      <c r="CF624" s="1655"/>
      <c r="CG624" s="1655"/>
      <c r="CH624" s="1655"/>
      <c r="CI624" s="1655"/>
      <c r="CJ624" s="1655"/>
      <c r="CK624" s="1655"/>
      <c r="CL624" s="1655"/>
      <c r="CM624" s="1655"/>
      <c r="CN624" s="1655"/>
      <c r="CO624" s="1655"/>
      <c r="CP624" s="1655"/>
      <c r="CQ624" s="1655"/>
      <c r="CR624" s="1655"/>
      <c r="CS624" s="1655"/>
      <c r="CT624" s="1655"/>
      <c r="CU624" s="1655"/>
      <c r="CV624" s="1655"/>
      <c r="CW624" s="1655"/>
      <c r="CX624" s="1655"/>
      <c r="CY624" s="1655"/>
      <c r="CZ624" s="1655"/>
      <c r="DA624" s="1655"/>
      <c r="DB624" s="1655"/>
      <c r="DC624" s="1655"/>
      <c r="DD624" s="1655"/>
      <c r="DE624" s="1655"/>
      <c r="DF624" s="1655"/>
      <c r="DG624" s="1655"/>
      <c r="DH624" s="1655"/>
      <c r="DI624" s="1655"/>
      <c r="DJ624" s="1655"/>
      <c r="DK624" s="1655"/>
      <c r="DL624" s="1655"/>
      <c r="DM624" s="1655"/>
      <c r="DN624" s="1655"/>
      <c r="DO624" s="1655"/>
      <c r="DP624" s="1655"/>
      <c r="DQ624" s="1655"/>
      <c r="DR624" s="1655"/>
      <c r="DS624" s="1655"/>
      <c r="DT624" s="1655"/>
      <c r="DU624" s="1655"/>
      <c r="DV624" s="1655"/>
      <c r="DW624" s="1655"/>
      <c r="DX624" s="1655"/>
      <c r="DY624" s="1655"/>
      <c r="DZ624" s="1655"/>
      <c r="EA624" s="1655"/>
      <c r="EB624" s="1655"/>
      <c r="EC624" s="1655"/>
      <c r="ED624" s="1655"/>
      <c r="EE624" s="1655"/>
      <c r="EF624" s="1655"/>
      <c r="EG624" s="1655"/>
      <c r="EH624" s="1655"/>
      <c r="EI624" s="1655"/>
      <c r="EJ624" s="1655"/>
      <c r="EK624" s="1655"/>
      <c r="EL624" s="1655"/>
      <c r="EM624" s="1655"/>
      <c r="EN624" s="1655"/>
      <c r="EO624" s="1655"/>
      <c r="EP624" s="1655"/>
      <c r="EQ624" s="1655"/>
      <c r="ER624" s="1655"/>
      <c r="ES624" s="1655"/>
      <c r="ET624" s="1655"/>
      <c r="EU624" s="1655"/>
      <c r="EV624" s="1655"/>
      <c r="EW624" s="1655"/>
      <c r="EX624" s="1655"/>
      <c r="EY624" s="1655"/>
      <c r="EZ624" s="1655"/>
      <c r="FA624" s="1655"/>
      <c r="FB624" s="1655"/>
      <c r="FC624" s="1655"/>
      <c r="FD624" s="1655"/>
      <c r="FE624" s="1655"/>
      <c r="FF624" s="1655"/>
      <c r="FG624" s="1655"/>
      <c r="FH624" s="1655"/>
      <c r="FI624" s="1655"/>
    </row>
    <row r="625" spans="1:165">
      <c r="A625" s="1655"/>
      <c r="B625" s="1655"/>
      <c r="C625" s="1655"/>
      <c r="D625" s="1655"/>
      <c r="E625" s="1655"/>
      <c r="F625" s="1655"/>
      <c r="G625" s="1655"/>
      <c r="H625" s="1655"/>
      <c r="I625" s="1655"/>
      <c r="J625" s="1655"/>
      <c r="K625" s="1655"/>
      <c r="L625" s="1655"/>
      <c r="M625" s="1655"/>
      <c r="N625" s="1655"/>
      <c r="O625" s="1655"/>
      <c r="P625" s="1655"/>
      <c r="Q625" s="1655"/>
      <c r="R625" s="1655"/>
      <c r="S625" s="1655"/>
      <c r="T625" s="1655"/>
      <c r="U625" s="1655"/>
      <c r="V625" s="1655"/>
      <c r="W625" s="1655"/>
      <c r="X625" s="1655"/>
      <c r="Y625" s="1655"/>
      <c r="Z625" s="1655"/>
      <c r="AA625" s="1655"/>
      <c r="AB625" s="1655"/>
      <c r="AC625" s="1655"/>
      <c r="AD625" s="1655"/>
      <c r="AE625" s="1655"/>
      <c r="AF625" s="1655"/>
      <c r="AG625" s="1655"/>
      <c r="AH625" s="1655"/>
      <c r="AI625" s="1655"/>
      <c r="AJ625" s="1655"/>
      <c r="AK625" s="1655"/>
      <c r="AL625" s="1655"/>
      <c r="AM625" s="1655"/>
      <c r="AN625" s="1655"/>
      <c r="AO625" s="1655"/>
      <c r="AP625" s="1655"/>
      <c r="AQ625" s="1655"/>
      <c r="AR625" s="1655"/>
      <c r="AS625" s="1655"/>
      <c r="AT625" s="1655"/>
      <c r="AU625" s="1655"/>
      <c r="AV625" s="1655"/>
      <c r="AW625" s="1655"/>
      <c r="AX625" s="1655"/>
      <c r="AY625" s="1655"/>
      <c r="AZ625" s="1655"/>
      <c r="BA625" s="1655"/>
      <c r="BB625" s="1655"/>
      <c r="BC625" s="1655"/>
      <c r="BD625" s="1655"/>
      <c r="BE625" s="1655"/>
      <c r="BF625" s="1655"/>
      <c r="BG625" s="1655"/>
      <c r="BH625" s="1655"/>
      <c r="BI625" s="1655"/>
      <c r="BJ625" s="1655"/>
      <c r="BK625" s="1655"/>
      <c r="BL625" s="1655"/>
      <c r="BM625" s="1655"/>
      <c r="BN625" s="1655"/>
      <c r="BO625" s="1655"/>
      <c r="BP625" s="1655"/>
      <c r="BQ625" s="1655"/>
      <c r="BR625" s="1655"/>
      <c r="BS625" s="1655"/>
      <c r="BT625" s="1655"/>
      <c r="BU625" s="1655"/>
      <c r="BV625" s="1655"/>
      <c r="BW625" s="1655"/>
      <c r="BX625" s="1655"/>
      <c r="BY625" s="1655"/>
      <c r="BZ625" s="1655"/>
      <c r="CA625" s="1655"/>
      <c r="CB625" s="1655"/>
      <c r="CC625" s="1655"/>
      <c r="CD625" s="1655"/>
      <c r="CE625" s="1655"/>
      <c r="CF625" s="1655"/>
      <c r="CG625" s="1655"/>
      <c r="CH625" s="1655"/>
      <c r="CI625" s="1655"/>
      <c r="CJ625" s="1655"/>
      <c r="CK625" s="1655"/>
      <c r="CL625" s="1655"/>
      <c r="CM625" s="1655"/>
      <c r="CN625" s="1655"/>
      <c r="CO625" s="1655"/>
      <c r="CP625" s="1655"/>
      <c r="CQ625" s="1655"/>
      <c r="CR625" s="1655"/>
      <c r="CS625" s="1655"/>
      <c r="CT625" s="1655"/>
      <c r="CU625" s="1655"/>
      <c r="CV625" s="1655"/>
      <c r="CW625" s="1655"/>
      <c r="CX625" s="1655"/>
      <c r="CY625" s="1655"/>
      <c r="CZ625" s="1655"/>
      <c r="DA625" s="1655"/>
      <c r="DB625" s="1655"/>
      <c r="DC625" s="1655"/>
      <c r="DD625" s="1655"/>
      <c r="DE625" s="1655"/>
      <c r="DF625" s="1655"/>
      <c r="DG625" s="1655"/>
      <c r="DH625" s="1655"/>
      <c r="DI625" s="1655"/>
      <c r="DJ625" s="1655"/>
      <c r="DK625" s="1655"/>
      <c r="DL625" s="1655"/>
      <c r="DM625" s="1655"/>
      <c r="DN625" s="1655"/>
      <c r="DO625" s="1655"/>
      <c r="DP625" s="1655"/>
      <c r="DQ625" s="1655"/>
      <c r="DR625" s="1655"/>
      <c r="DS625" s="1655"/>
      <c r="DT625" s="1655"/>
      <c r="DU625" s="1655"/>
      <c r="DV625" s="1655"/>
      <c r="DW625" s="1655"/>
      <c r="DX625" s="1655"/>
      <c r="DY625" s="1655"/>
      <c r="DZ625" s="1655"/>
      <c r="EA625" s="1655"/>
      <c r="EB625" s="1655"/>
      <c r="EC625" s="1655"/>
      <c r="ED625" s="1655"/>
      <c r="EE625" s="1655"/>
      <c r="EF625" s="1655"/>
      <c r="EG625" s="1655"/>
      <c r="EH625" s="1655"/>
      <c r="EI625" s="1655"/>
      <c r="EJ625" s="1655"/>
      <c r="EK625" s="1655"/>
      <c r="EL625" s="1655"/>
      <c r="EM625" s="1655"/>
      <c r="EN625" s="1655"/>
      <c r="EO625" s="1655"/>
      <c r="EP625" s="1655"/>
      <c r="EQ625" s="1655"/>
      <c r="ER625" s="1655"/>
      <c r="ES625" s="1655"/>
      <c r="ET625" s="1655"/>
      <c r="EU625" s="1655"/>
      <c r="EV625" s="1655"/>
      <c r="EW625" s="1655"/>
      <c r="EX625" s="1655"/>
      <c r="EY625" s="1655"/>
      <c r="EZ625" s="1655"/>
      <c r="FA625" s="1655"/>
      <c r="FB625" s="1655"/>
      <c r="FC625" s="1655"/>
      <c r="FD625" s="1655"/>
      <c r="FE625" s="1655"/>
      <c r="FF625" s="1655"/>
      <c r="FG625" s="1655"/>
      <c r="FH625" s="1655"/>
      <c r="FI625" s="1655"/>
    </row>
    <row r="626" spans="1:165">
      <c r="A626" s="1655"/>
      <c r="B626" s="1655"/>
      <c r="C626" s="1655"/>
      <c r="D626" s="1655"/>
      <c r="E626" s="1655"/>
      <c r="F626" s="1655"/>
      <c r="G626" s="1655"/>
      <c r="H626" s="1655"/>
      <c r="I626" s="1655"/>
      <c r="J626" s="1655"/>
      <c r="K626" s="1655"/>
      <c r="L626" s="1655"/>
      <c r="M626" s="1655"/>
      <c r="N626" s="1655"/>
      <c r="O626" s="1655"/>
      <c r="P626" s="1655"/>
      <c r="Q626" s="1655"/>
      <c r="R626" s="1655"/>
      <c r="S626" s="1655"/>
      <c r="T626" s="1655"/>
      <c r="U626" s="1655"/>
      <c r="V626" s="1655"/>
      <c r="W626" s="1655"/>
      <c r="X626" s="1655"/>
      <c r="Y626" s="1655"/>
      <c r="Z626" s="1655"/>
      <c r="AA626" s="1655"/>
      <c r="AB626" s="1655"/>
      <c r="AC626" s="1655"/>
      <c r="AD626" s="1655"/>
      <c r="AE626" s="1655"/>
      <c r="AF626" s="1655"/>
      <c r="AG626" s="1655"/>
      <c r="AH626" s="1655"/>
      <c r="AI626" s="1655"/>
      <c r="AJ626" s="1655"/>
      <c r="AK626" s="1655"/>
      <c r="AL626" s="1655"/>
      <c r="AM626" s="1655"/>
      <c r="AN626" s="1655"/>
      <c r="AO626" s="1655"/>
      <c r="AP626" s="1655"/>
      <c r="AQ626" s="1655"/>
      <c r="AR626" s="1655"/>
      <c r="AS626" s="1655"/>
      <c r="AT626" s="1655"/>
      <c r="AU626" s="1655"/>
      <c r="AV626" s="1655"/>
      <c r="AW626" s="1655"/>
      <c r="AX626" s="1655"/>
      <c r="AY626" s="1655"/>
      <c r="AZ626" s="1655"/>
      <c r="BA626" s="1655"/>
      <c r="BB626" s="1655"/>
      <c r="BC626" s="1655"/>
      <c r="BD626" s="1655"/>
      <c r="BE626" s="1655"/>
      <c r="BF626" s="1655"/>
      <c r="BG626" s="1655"/>
      <c r="BH626" s="1655"/>
      <c r="BI626" s="1655"/>
      <c r="BJ626" s="1655"/>
      <c r="BK626" s="1655"/>
      <c r="BL626" s="1655"/>
      <c r="BM626" s="1655"/>
      <c r="BN626" s="1655"/>
      <c r="BO626" s="1655"/>
      <c r="BP626" s="1655"/>
      <c r="BQ626" s="1655"/>
      <c r="BR626" s="1655"/>
      <c r="BS626" s="1655"/>
      <c r="BT626" s="1655"/>
      <c r="BU626" s="1655"/>
      <c r="BV626" s="1655"/>
      <c r="BW626" s="1655"/>
      <c r="BX626" s="1655"/>
      <c r="BY626" s="1655"/>
      <c r="BZ626" s="1655"/>
      <c r="CA626" s="1655"/>
      <c r="CB626" s="1655"/>
      <c r="CC626" s="1655"/>
      <c r="CD626" s="1655"/>
      <c r="CE626" s="1655"/>
      <c r="CF626" s="1655"/>
      <c r="CG626" s="1655"/>
      <c r="CH626" s="1655"/>
      <c r="CI626" s="1655"/>
      <c r="CJ626" s="1655"/>
      <c r="CK626" s="1655"/>
      <c r="CL626" s="1655"/>
      <c r="CM626" s="1655"/>
      <c r="CN626" s="1655"/>
      <c r="CO626" s="1655"/>
      <c r="CP626" s="1655"/>
      <c r="CQ626" s="1655"/>
      <c r="CR626" s="1655"/>
      <c r="CS626" s="1655"/>
      <c r="CT626" s="1655"/>
      <c r="CU626" s="1655"/>
      <c r="CV626" s="1655"/>
      <c r="CW626" s="1655"/>
      <c r="CX626" s="1655"/>
      <c r="CY626" s="1655"/>
      <c r="CZ626" s="1655"/>
      <c r="DA626" s="1655"/>
      <c r="DB626" s="1655"/>
      <c r="DC626" s="1655"/>
      <c r="DD626" s="1655"/>
      <c r="DE626" s="1655"/>
      <c r="DF626" s="1655"/>
      <c r="DG626" s="1655"/>
      <c r="DH626" s="1655"/>
      <c r="DI626" s="1655"/>
      <c r="DJ626" s="1655"/>
      <c r="DK626" s="1655"/>
      <c r="DL626" s="1655"/>
      <c r="DM626" s="1655"/>
      <c r="DN626" s="1655"/>
      <c r="DO626" s="1655"/>
      <c r="DP626" s="1655"/>
      <c r="DQ626" s="1655"/>
      <c r="DR626" s="1655"/>
      <c r="DS626" s="1655"/>
      <c r="DT626" s="1655"/>
      <c r="DU626" s="1655"/>
      <c r="DV626" s="1655"/>
      <c r="DW626" s="1655"/>
      <c r="DX626" s="1655"/>
      <c r="DY626" s="1655"/>
      <c r="DZ626" s="1655"/>
      <c r="EA626" s="1655"/>
      <c r="EB626" s="1655"/>
      <c r="EC626" s="1655"/>
      <c r="ED626" s="1655"/>
      <c r="EE626" s="1655"/>
      <c r="EF626" s="1655"/>
      <c r="EG626" s="1655"/>
      <c r="EH626" s="1655"/>
      <c r="EI626" s="1655"/>
      <c r="EJ626" s="1655"/>
      <c r="EK626" s="1655"/>
      <c r="EL626" s="1655"/>
      <c r="EM626" s="1655"/>
      <c r="EN626" s="1655"/>
      <c r="EO626" s="1655"/>
      <c r="EP626" s="1655"/>
      <c r="EQ626" s="1655"/>
      <c r="ER626" s="1655"/>
      <c r="ES626" s="1655"/>
      <c r="ET626" s="1655"/>
      <c r="EU626" s="1655"/>
      <c r="EV626" s="1655"/>
      <c r="EW626" s="1655"/>
      <c r="EX626" s="1655"/>
      <c r="EY626" s="1655"/>
      <c r="EZ626" s="1655"/>
      <c r="FA626" s="1655"/>
      <c r="FB626" s="1655"/>
      <c r="FC626" s="1655"/>
      <c r="FD626" s="1655"/>
      <c r="FE626" s="1655"/>
      <c r="FF626" s="1655"/>
      <c r="FG626" s="1655"/>
      <c r="FH626" s="1655"/>
      <c r="FI626" s="1655"/>
    </row>
    <row r="627" spans="1:165">
      <c r="A627" s="1655"/>
      <c r="B627" s="1655"/>
      <c r="C627" s="1655"/>
      <c r="D627" s="1655"/>
      <c r="E627" s="1655"/>
      <c r="F627" s="1655"/>
      <c r="G627" s="1655"/>
      <c r="H627" s="1655"/>
      <c r="I627" s="1655"/>
      <c r="J627" s="1655"/>
      <c r="K627" s="1655"/>
      <c r="L627" s="1655"/>
      <c r="M627" s="1655"/>
      <c r="N627" s="1655"/>
      <c r="O627" s="1655"/>
      <c r="P627" s="1655"/>
      <c r="Q627" s="1655"/>
      <c r="R627" s="1655"/>
      <c r="S627" s="1655"/>
      <c r="T627" s="1655"/>
      <c r="U627" s="1655"/>
      <c r="V627" s="1655"/>
      <c r="W627" s="1655"/>
      <c r="X627" s="1655"/>
      <c r="Y627" s="1655"/>
      <c r="Z627" s="1655"/>
      <c r="AA627" s="1655"/>
      <c r="AB627" s="1655"/>
      <c r="AC627" s="1655"/>
      <c r="AD627" s="1655"/>
      <c r="AE627" s="1655"/>
      <c r="AF627" s="1655"/>
      <c r="AG627" s="1655"/>
      <c r="AH627" s="1655"/>
      <c r="AI627" s="1655"/>
      <c r="AJ627" s="1655"/>
      <c r="AK627" s="1655"/>
      <c r="AL627" s="1655"/>
      <c r="AM627" s="1655"/>
      <c r="AN627" s="1655"/>
      <c r="AO627" s="1655"/>
      <c r="AP627" s="1655"/>
      <c r="AQ627" s="1655"/>
      <c r="AR627" s="1655"/>
      <c r="AS627" s="1655"/>
      <c r="AT627" s="1655"/>
      <c r="AU627" s="1655"/>
      <c r="AV627" s="1655"/>
      <c r="AW627" s="1655"/>
      <c r="AX627" s="1655"/>
      <c r="AY627" s="1655"/>
      <c r="AZ627" s="1655"/>
      <c r="BA627" s="1655"/>
      <c r="BB627" s="1655"/>
      <c r="BC627" s="1655"/>
      <c r="BD627" s="1655"/>
      <c r="BE627" s="1655"/>
      <c r="BF627" s="1655"/>
      <c r="BG627" s="1655"/>
      <c r="BH627" s="1655"/>
      <c r="BI627" s="1655"/>
      <c r="BJ627" s="1655"/>
      <c r="BK627" s="1655"/>
      <c r="BL627" s="1655"/>
      <c r="BM627" s="1655"/>
      <c r="BN627" s="1655"/>
      <c r="BO627" s="1655"/>
      <c r="BP627" s="1655"/>
      <c r="BQ627" s="1655"/>
      <c r="BR627" s="1655"/>
      <c r="BS627" s="1655"/>
      <c r="BT627" s="1655"/>
      <c r="BU627" s="1655"/>
      <c r="BV627" s="1655"/>
      <c r="BW627" s="1655"/>
      <c r="BX627" s="1655"/>
      <c r="BY627" s="1655"/>
      <c r="BZ627" s="1655"/>
      <c r="CA627" s="1655"/>
      <c r="CB627" s="1655"/>
      <c r="CC627" s="1655"/>
      <c r="CD627" s="1655"/>
      <c r="CE627" s="1655"/>
      <c r="CF627" s="1655"/>
      <c r="CG627" s="1655"/>
      <c r="CH627" s="1655"/>
      <c r="CI627" s="1655"/>
      <c r="CJ627" s="1655"/>
      <c r="CK627" s="1655"/>
      <c r="CL627" s="1655"/>
      <c r="CM627" s="1655"/>
      <c r="CN627" s="1655"/>
      <c r="CO627" s="1655"/>
      <c r="CP627" s="1655"/>
      <c r="CQ627" s="1655"/>
      <c r="CR627" s="1655"/>
      <c r="CS627" s="1655"/>
      <c r="CT627" s="1655"/>
      <c r="CU627" s="1655"/>
      <c r="CV627" s="1655"/>
      <c r="CW627" s="1655"/>
      <c r="CX627" s="1655"/>
      <c r="CY627" s="1655"/>
      <c r="CZ627" s="1655"/>
      <c r="DA627" s="1655"/>
      <c r="DB627" s="1655"/>
      <c r="DC627" s="1655"/>
      <c r="DD627" s="1655"/>
      <c r="DE627" s="1655"/>
      <c r="DF627" s="1655"/>
      <c r="DG627" s="1655"/>
      <c r="DH627" s="1655"/>
      <c r="DI627" s="1655"/>
      <c r="DJ627" s="1655"/>
      <c r="DK627" s="1655"/>
      <c r="DL627" s="1655"/>
      <c r="DM627" s="1655"/>
      <c r="DN627" s="1655"/>
      <c r="DO627" s="1655"/>
      <c r="DP627" s="1655"/>
      <c r="DQ627" s="1655"/>
      <c r="DR627" s="1655"/>
      <c r="DS627" s="1655"/>
      <c r="DT627" s="1655"/>
      <c r="DU627" s="1655"/>
      <c r="DV627" s="1655"/>
      <c r="DW627" s="1655"/>
      <c r="DX627" s="1655"/>
      <c r="DY627" s="1655"/>
      <c r="DZ627" s="1655"/>
      <c r="EA627" s="1655"/>
      <c r="EB627" s="1655"/>
      <c r="EC627" s="1655"/>
      <c r="ED627" s="1655"/>
      <c r="EE627" s="1655"/>
      <c r="EF627" s="1655"/>
      <c r="EG627" s="1655"/>
      <c r="EH627" s="1655"/>
      <c r="EI627" s="1655"/>
      <c r="EJ627" s="1655"/>
      <c r="EK627" s="1655"/>
      <c r="EL627" s="1655"/>
      <c r="EM627" s="1655"/>
      <c r="EN627" s="1655"/>
      <c r="EO627" s="1655"/>
      <c r="EP627" s="1655"/>
      <c r="EQ627" s="1655"/>
      <c r="ER627" s="1655"/>
      <c r="ES627" s="1655"/>
      <c r="ET627" s="1655"/>
      <c r="EU627" s="1655"/>
      <c r="EV627" s="1655"/>
      <c r="EW627" s="1655"/>
      <c r="EX627" s="1655"/>
      <c r="EY627" s="1655"/>
      <c r="EZ627" s="1655"/>
      <c r="FA627" s="1655"/>
      <c r="FB627" s="1655"/>
      <c r="FC627" s="1655"/>
      <c r="FD627" s="1655"/>
      <c r="FE627" s="1655"/>
      <c r="FF627" s="1655"/>
      <c r="FG627" s="1655"/>
      <c r="FH627" s="1655"/>
      <c r="FI627" s="1655"/>
    </row>
    <row r="628" spans="1:165">
      <c r="A628" s="1655"/>
      <c r="B628" s="1655"/>
      <c r="C628" s="1655"/>
      <c r="D628" s="1655"/>
      <c r="E628" s="1655"/>
      <c r="F628" s="1655"/>
      <c r="G628" s="1655"/>
      <c r="H628" s="1655"/>
      <c r="I628" s="1655"/>
      <c r="J628" s="1655"/>
      <c r="K628" s="1655"/>
      <c r="L628" s="1655"/>
      <c r="M628" s="1655"/>
      <c r="N628" s="1655"/>
      <c r="O628" s="1655"/>
      <c r="P628" s="1655"/>
      <c r="Q628" s="1655"/>
      <c r="R628" s="1655"/>
      <c r="S628" s="1655"/>
      <c r="T628" s="1655"/>
      <c r="U628" s="1655"/>
      <c r="V628" s="1655"/>
      <c r="W628" s="1655"/>
      <c r="X628" s="1655"/>
      <c r="Y628" s="1655"/>
      <c r="Z628" s="1655"/>
      <c r="AA628" s="1655"/>
      <c r="AB628" s="1655"/>
      <c r="AC628" s="1655"/>
      <c r="AD628" s="1655"/>
      <c r="AE628" s="1655"/>
      <c r="AF628" s="1655"/>
      <c r="AG628" s="1655"/>
      <c r="AH628" s="1655"/>
      <c r="AI628" s="1655"/>
      <c r="AJ628" s="1655"/>
      <c r="AK628" s="1655"/>
      <c r="AL628" s="1655"/>
      <c r="AM628" s="1655"/>
      <c r="AN628" s="1655"/>
      <c r="AO628" s="1655"/>
      <c r="AP628" s="1655"/>
      <c r="AQ628" s="1655"/>
      <c r="AR628" s="1655"/>
      <c r="AS628" s="1655"/>
      <c r="AT628" s="1655"/>
      <c r="AU628" s="1655"/>
      <c r="AV628" s="1655"/>
      <c r="AW628" s="1655"/>
      <c r="AX628" s="1655"/>
      <c r="AY628" s="1655"/>
      <c r="AZ628" s="1655"/>
      <c r="BA628" s="1655"/>
      <c r="BB628" s="1655"/>
      <c r="BC628" s="1655"/>
      <c r="BD628" s="1655"/>
      <c r="BE628" s="1655"/>
      <c r="BF628" s="1655"/>
      <c r="BG628" s="1655"/>
      <c r="BH628" s="1655"/>
      <c r="BI628" s="1655"/>
      <c r="BJ628" s="1655"/>
      <c r="BK628" s="1655"/>
      <c r="BL628" s="1655"/>
      <c r="BM628" s="1655"/>
      <c r="BN628" s="1655"/>
      <c r="BO628" s="1655"/>
      <c r="BP628" s="1655"/>
      <c r="BQ628" s="1655"/>
      <c r="BR628" s="1655"/>
      <c r="BS628" s="1655"/>
      <c r="BT628" s="1655"/>
      <c r="BU628" s="1655"/>
      <c r="BV628" s="1655"/>
      <c r="BW628" s="1655"/>
      <c r="BX628" s="1655"/>
      <c r="BY628" s="1655"/>
      <c r="BZ628" s="1655"/>
      <c r="CA628" s="1655"/>
      <c r="CB628" s="1655"/>
      <c r="CC628" s="1655"/>
      <c r="CD628" s="1655"/>
      <c r="CE628" s="1655"/>
      <c r="CF628" s="1655"/>
      <c r="CG628" s="1655"/>
      <c r="CH628" s="1655"/>
      <c r="CI628" s="1655"/>
      <c r="CJ628" s="1655"/>
      <c r="CK628" s="1655"/>
      <c r="CL628" s="1655"/>
      <c r="CM628" s="1655"/>
      <c r="CN628" s="1655"/>
      <c r="CO628" s="1655"/>
      <c r="CP628" s="1655"/>
      <c r="CQ628" s="1655"/>
      <c r="CR628" s="1655"/>
      <c r="CS628" s="1655"/>
      <c r="CT628" s="1655"/>
      <c r="CU628" s="1655"/>
      <c r="CV628" s="1655"/>
      <c r="CW628" s="1655"/>
      <c r="CX628" s="1655"/>
      <c r="CY628" s="1655"/>
      <c r="CZ628" s="1655"/>
      <c r="DA628" s="1655"/>
      <c r="DB628" s="1655"/>
      <c r="DC628" s="1655"/>
      <c r="DD628" s="1655"/>
      <c r="DE628" s="1655"/>
      <c r="DF628" s="1655"/>
      <c r="DG628" s="1655"/>
      <c r="DH628" s="1655"/>
      <c r="DI628" s="1655"/>
      <c r="DJ628" s="1655"/>
      <c r="DK628" s="1655"/>
      <c r="DL628" s="1655"/>
      <c r="DM628" s="1655"/>
      <c r="DN628" s="1655"/>
      <c r="DO628" s="1655"/>
      <c r="DP628" s="1655"/>
      <c r="DQ628" s="1655"/>
      <c r="DR628" s="1655"/>
      <c r="DS628" s="1655"/>
      <c r="DT628" s="1655"/>
      <c r="DU628" s="1655"/>
      <c r="DV628" s="1655"/>
      <c r="DW628" s="1655"/>
      <c r="DX628" s="1655"/>
      <c r="DY628" s="1655"/>
      <c r="DZ628" s="1655"/>
      <c r="EA628" s="1655"/>
      <c r="EB628" s="1655"/>
      <c r="EC628" s="1655"/>
      <c r="ED628" s="1655"/>
      <c r="EE628" s="1655"/>
      <c r="EF628" s="1655"/>
      <c r="EG628" s="1655"/>
      <c r="EH628" s="1655"/>
      <c r="EI628" s="1655"/>
      <c r="EJ628" s="1655"/>
      <c r="EK628" s="1655"/>
      <c r="EL628" s="1655"/>
      <c r="EM628" s="1655"/>
      <c r="EN628" s="1655"/>
      <c r="EO628" s="1655"/>
      <c r="EP628" s="1655"/>
      <c r="EQ628" s="1655"/>
      <c r="ER628" s="1655"/>
      <c r="ES628" s="1655"/>
      <c r="ET628" s="1655"/>
      <c r="EU628" s="1655"/>
      <c r="EV628" s="1655"/>
      <c r="EW628" s="1655"/>
      <c r="EX628" s="1655"/>
      <c r="EY628" s="1655"/>
      <c r="EZ628" s="1655"/>
      <c r="FA628" s="1655"/>
      <c r="FB628" s="1655"/>
      <c r="FC628" s="1655"/>
      <c r="FD628" s="1655"/>
      <c r="FE628" s="1655"/>
      <c r="FF628" s="1655"/>
      <c r="FG628" s="1655"/>
      <c r="FH628" s="1655"/>
      <c r="FI628" s="1655"/>
    </row>
    <row r="629" spans="1:165">
      <c r="A629" s="1655"/>
      <c r="B629" s="1655"/>
      <c r="C629" s="1655"/>
      <c r="D629" s="1655"/>
      <c r="E629" s="1655"/>
      <c r="F629" s="1655"/>
      <c r="G629" s="1655"/>
      <c r="H629" s="1655"/>
      <c r="I629" s="1655"/>
      <c r="J629" s="1655"/>
      <c r="K629" s="1655"/>
      <c r="L629" s="1655"/>
      <c r="M629" s="1655"/>
      <c r="N629" s="1655"/>
      <c r="O629" s="1655"/>
      <c r="P629" s="1655"/>
      <c r="Q629" s="1655"/>
      <c r="R629" s="1655"/>
      <c r="S629" s="1655"/>
      <c r="T629" s="1655"/>
      <c r="U629" s="1655"/>
      <c r="V629" s="1655"/>
      <c r="W629" s="1655"/>
      <c r="X629" s="1655"/>
      <c r="Y629" s="1655"/>
      <c r="Z629" s="1655"/>
      <c r="AA629" s="1655"/>
      <c r="AB629" s="1655"/>
      <c r="AC629" s="1655"/>
      <c r="AD629" s="1655"/>
      <c r="AE629" s="1655"/>
      <c r="AF629" s="1655"/>
      <c r="AG629" s="1655"/>
      <c r="AH629" s="1655"/>
      <c r="AI629" s="1655"/>
      <c r="AJ629" s="1655"/>
      <c r="AK629" s="1655"/>
      <c r="AL629" s="1655"/>
      <c r="AM629" s="1655"/>
      <c r="AN629" s="1655"/>
      <c r="AO629" s="1655"/>
      <c r="AP629" s="1655"/>
      <c r="AQ629" s="1655"/>
      <c r="AR629" s="1655"/>
      <c r="AS629" s="1655"/>
      <c r="AT629" s="1655"/>
      <c r="AU629" s="1655"/>
      <c r="AV629" s="1655"/>
      <c r="AW629" s="1655"/>
      <c r="AX629" s="1655"/>
      <c r="AY629" s="1655"/>
      <c r="AZ629" s="1655"/>
      <c r="BA629" s="1655"/>
      <c r="BB629" s="1655"/>
      <c r="BC629" s="1655"/>
      <c r="BD629" s="1655"/>
      <c r="BE629" s="1655"/>
      <c r="BF629" s="1655"/>
      <c r="BG629" s="1655"/>
      <c r="BH629" s="1655"/>
      <c r="BI629" s="1655"/>
      <c r="BJ629" s="1655"/>
      <c r="BK629" s="1655"/>
      <c r="BL629" s="1655"/>
      <c r="BM629" s="1655"/>
      <c r="BN629" s="1655"/>
      <c r="BO629" s="1655"/>
      <c r="BP629" s="1655"/>
      <c r="BQ629" s="1655"/>
      <c r="BR629" s="1655"/>
      <c r="BS629" s="1655"/>
      <c r="BT629" s="1655"/>
      <c r="BU629" s="1655"/>
      <c r="BV629" s="1655"/>
      <c r="BW629" s="1655"/>
      <c r="BX629" s="1655"/>
      <c r="BY629" s="1655"/>
      <c r="BZ629" s="1655"/>
      <c r="CA629" s="1655"/>
      <c r="CB629" s="1655"/>
      <c r="CC629" s="1655"/>
      <c r="CD629" s="1655"/>
      <c r="CE629" s="1655"/>
      <c r="CF629" s="1655"/>
      <c r="CG629" s="1655"/>
      <c r="CH629" s="1655"/>
      <c r="CI629" s="1655"/>
      <c r="CJ629" s="1655"/>
      <c r="CK629" s="1655"/>
      <c r="CL629" s="1655"/>
      <c r="CM629" s="1655"/>
      <c r="CN629" s="1655"/>
      <c r="CO629" s="1655"/>
      <c r="CP629" s="1655"/>
      <c r="CQ629" s="1655"/>
      <c r="CR629" s="1655"/>
      <c r="CS629" s="1655"/>
      <c r="CT629" s="1655"/>
      <c r="CU629" s="1655"/>
      <c r="CV629" s="1655"/>
      <c r="CW629" s="1655"/>
      <c r="CX629" s="1655"/>
      <c r="CY629" s="1655"/>
      <c r="CZ629" s="1655"/>
      <c r="DA629" s="1655"/>
      <c r="DB629" s="1655"/>
      <c r="DC629" s="1655"/>
      <c r="DD629" s="1655"/>
      <c r="DE629" s="1655"/>
      <c r="DF629" s="1655"/>
      <c r="DG629" s="1655"/>
      <c r="DH629" s="1655"/>
      <c r="DI629" s="1655"/>
      <c r="DJ629" s="1655"/>
      <c r="DK629" s="1655"/>
      <c r="DL629" s="1655"/>
      <c r="DM629" s="1655"/>
      <c r="DN629" s="1655"/>
      <c r="DO629" s="1655"/>
      <c r="DP629" s="1655"/>
      <c r="DQ629" s="1655"/>
      <c r="DR629" s="1655"/>
      <c r="DS629" s="1655"/>
      <c r="DT629" s="1655"/>
      <c r="DU629" s="1655"/>
      <c r="DV629" s="1655"/>
      <c r="DW629" s="1655"/>
      <c r="DX629" s="1655"/>
      <c r="DY629" s="1655"/>
      <c r="DZ629" s="1655"/>
      <c r="EA629" s="1655"/>
      <c r="EB629" s="1655"/>
      <c r="EC629" s="1655"/>
      <c r="ED629" s="1655"/>
      <c r="EE629" s="1655"/>
      <c r="EF629" s="1655"/>
      <c r="EG629" s="1655"/>
      <c r="EH629" s="1655"/>
      <c r="EI629" s="1655"/>
      <c r="EJ629" s="1655"/>
      <c r="EK629" s="1655"/>
      <c r="EL629" s="1655"/>
      <c r="EM629" s="1655"/>
      <c r="EN629" s="1655"/>
      <c r="EO629" s="1655"/>
      <c r="EP629" s="1655"/>
      <c r="EQ629" s="1655"/>
      <c r="ER629" s="1655"/>
      <c r="ES629" s="1655"/>
      <c r="ET629" s="1655"/>
      <c r="EU629" s="1655"/>
      <c r="EV629" s="1655"/>
      <c r="EW629" s="1655"/>
      <c r="EX629" s="1655"/>
      <c r="EY629" s="1655"/>
      <c r="EZ629" s="1655"/>
      <c r="FA629" s="1655"/>
      <c r="FB629" s="1655"/>
      <c r="FC629" s="1655"/>
      <c r="FD629" s="1655"/>
      <c r="FE629" s="1655"/>
      <c r="FF629" s="1655"/>
      <c r="FG629" s="1655"/>
      <c r="FH629" s="1655"/>
      <c r="FI629" s="1655"/>
    </row>
    <row r="630" spans="1:165">
      <c r="A630" s="1655"/>
      <c r="B630" s="1655"/>
      <c r="C630" s="1655"/>
      <c r="D630" s="1655"/>
      <c r="E630" s="1655"/>
      <c r="F630" s="1655"/>
      <c r="G630" s="1655"/>
      <c r="H630" s="1655"/>
      <c r="I630" s="1655"/>
      <c r="J630" s="1655"/>
      <c r="K630" s="1655"/>
      <c r="L630" s="1655"/>
      <c r="M630" s="1655"/>
      <c r="N630" s="1655"/>
      <c r="O630" s="1655"/>
      <c r="P630" s="1655"/>
      <c r="Q630" s="1655"/>
      <c r="R630" s="1655"/>
      <c r="S630" s="1655"/>
      <c r="T630" s="1655"/>
      <c r="U630" s="1655"/>
      <c r="V630" s="1655"/>
      <c r="W630" s="1655"/>
      <c r="X630" s="1655"/>
      <c r="Y630" s="1655"/>
      <c r="Z630" s="1655"/>
      <c r="AA630" s="1655"/>
      <c r="AB630" s="1655"/>
      <c r="AC630" s="1655"/>
      <c r="AD630" s="1655"/>
      <c r="AE630" s="1655"/>
      <c r="AF630" s="1655"/>
      <c r="AG630" s="1655"/>
      <c r="AH630" s="1655"/>
      <c r="AI630" s="1655"/>
      <c r="AJ630" s="1655"/>
      <c r="AK630" s="1655"/>
      <c r="AL630" s="1655"/>
      <c r="AM630" s="1655"/>
      <c r="AN630" s="1655"/>
      <c r="AO630" s="1655"/>
      <c r="AP630" s="1655"/>
      <c r="AQ630" s="1655"/>
      <c r="AR630" s="1655"/>
      <c r="AS630" s="1655"/>
      <c r="AT630" s="1655"/>
      <c r="AU630" s="1655"/>
      <c r="AV630" s="1655"/>
      <c r="AW630" s="1655"/>
      <c r="AX630" s="1655"/>
      <c r="AY630" s="1655"/>
      <c r="AZ630" s="1655"/>
      <c r="BA630" s="1655"/>
      <c r="BB630" s="1655"/>
      <c r="BC630" s="1655"/>
      <c r="BD630" s="1655"/>
      <c r="BE630" s="1655"/>
      <c r="BF630" s="1655"/>
      <c r="BG630" s="1655"/>
      <c r="BH630" s="1655"/>
      <c r="BI630" s="1655"/>
      <c r="BJ630" s="1655"/>
      <c r="BK630" s="1655"/>
      <c r="BL630" s="1655"/>
      <c r="BM630" s="1655"/>
      <c r="BN630" s="1655"/>
      <c r="BO630" s="1655"/>
      <c r="BP630" s="1655"/>
      <c r="BQ630" s="1655"/>
      <c r="BR630" s="1655"/>
      <c r="BS630" s="1655"/>
      <c r="BT630" s="1655"/>
      <c r="BU630" s="1655"/>
      <c r="BV630" s="1655"/>
      <c r="BW630" s="1655"/>
      <c r="BX630" s="1655"/>
      <c r="BY630" s="1655"/>
      <c r="BZ630" s="1655"/>
      <c r="CA630" s="1655"/>
      <c r="CB630" s="1655"/>
      <c r="CC630" s="1655"/>
      <c r="CD630" s="1655"/>
      <c r="CE630" s="1655"/>
      <c r="CF630" s="1655"/>
      <c r="CG630" s="1655"/>
      <c r="CH630" s="1655"/>
      <c r="CI630" s="1655"/>
      <c r="CJ630" s="1655"/>
      <c r="CK630" s="1655"/>
      <c r="CL630" s="1655"/>
      <c r="CM630" s="1655"/>
      <c r="CN630" s="1655"/>
      <c r="CO630" s="1655"/>
      <c r="CP630" s="1655"/>
      <c r="CQ630" s="1655"/>
      <c r="CR630" s="1655"/>
      <c r="CS630" s="1655"/>
      <c r="CT630" s="1655"/>
      <c r="CU630" s="1655"/>
      <c r="CV630" s="1655"/>
      <c r="CW630" s="1655"/>
      <c r="CX630" s="1655"/>
      <c r="CY630" s="1655"/>
      <c r="CZ630" s="1655"/>
      <c r="DA630" s="1655"/>
      <c r="DB630" s="1655"/>
      <c r="DC630" s="1655"/>
      <c r="DD630" s="1655"/>
      <c r="DE630" s="1655"/>
      <c r="DF630" s="1655"/>
      <c r="DG630" s="1655"/>
      <c r="DH630" s="1655"/>
      <c r="DI630" s="1655"/>
      <c r="DJ630" s="1655"/>
      <c r="DK630" s="1655"/>
      <c r="DL630" s="1655"/>
      <c r="DM630" s="1655"/>
      <c r="DN630" s="1655"/>
      <c r="DO630" s="1655"/>
      <c r="DP630" s="1655"/>
      <c r="DQ630" s="1655"/>
      <c r="DR630" s="1655"/>
      <c r="DS630" s="1655"/>
      <c r="DT630" s="1655"/>
      <c r="DU630" s="1655"/>
      <c r="DV630" s="1655"/>
      <c r="DW630" s="1655"/>
      <c r="DX630" s="1655"/>
      <c r="DY630" s="1655"/>
      <c r="DZ630" s="1655"/>
      <c r="EA630" s="1655"/>
      <c r="EB630" s="1655"/>
      <c r="EC630" s="1655"/>
      <c r="ED630" s="1655"/>
      <c r="EE630" s="1655"/>
      <c r="EF630" s="1655"/>
      <c r="EG630" s="1655"/>
      <c r="EH630" s="1655"/>
      <c r="EI630" s="1655"/>
      <c r="EJ630" s="1655"/>
      <c r="EK630" s="1655"/>
      <c r="EL630" s="1655"/>
      <c r="EM630" s="1655"/>
      <c r="EN630" s="1655"/>
      <c r="EO630" s="1655"/>
      <c r="EP630" s="1655"/>
      <c r="EQ630" s="1655"/>
      <c r="ER630" s="1655"/>
      <c r="ES630" s="1655"/>
      <c r="ET630" s="1655"/>
      <c r="EU630" s="1655"/>
      <c r="EV630" s="1655"/>
      <c r="EW630" s="1655"/>
      <c r="EX630" s="1655"/>
      <c r="EY630" s="1655"/>
      <c r="EZ630" s="1655"/>
      <c r="FA630" s="1655"/>
      <c r="FB630" s="1655"/>
      <c r="FC630" s="1655"/>
      <c r="FD630" s="1655"/>
      <c r="FE630" s="1655"/>
      <c r="FF630" s="1655"/>
      <c r="FG630" s="1655"/>
      <c r="FH630" s="1655"/>
      <c r="FI630" s="1655"/>
    </row>
    <row r="631" spans="1:165">
      <c r="A631" s="1655"/>
      <c r="B631" s="1655"/>
      <c r="C631" s="1655"/>
      <c r="D631" s="1655"/>
      <c r="E631" s="1655"/>
      <c r="F631" s="1655"/>
      <c r="G631" s="1655"/>
      <c r="H631" s="1655"/>
      <c r="I631" s="1655"/>
      <c r="J631" s="1655"/>
      <c r="K631" s="1655"/>
      <c r="L631" s="1655"/>
      <c r="M631" s="1655"/>
      <c r="N631" s="1655"/>
      <c r="O631" s="1655"/>
      <c r="P631" s="1655"/>
      <c r="Q631" s="1655"/>
      <c r="R631" s="1655"/>
      <c r="S631" s="1655"/>
      <c r="T631" s="1655"/>
      <c r="U631" s="1655"/>
      <c r="V631" s="1655"/>
      <c r="W631" s="1655"/>
      <c r="X631" s="1655"/>
      <c r="Y631" s="1655"/>
      <c r="Z631" s="1655"/>
      <c r="AA631" s="1655"/>
      <c r="AB631" s="1655"/>
      <c r="AC631" s="1655"/>
      <c r="AD631" s="1655"/>
      <c r="AE631" s="1655"/>
      <c r="AF631" s="1655"/>
      <c r="AG631" s="1655"/>
      <c r="AH631" s="1655"/>
      <c r="AI631" s="1655"/>
      <c r="AJ631" s="1655"/>
      <c r="AK631" s="1655"/>
      <c r="AL631" s="1655"/>
      <c r="AM631" s="1655"/>
      <c r="AN631" s="1655"/>
      <c r="AO631" s="1655"/>
      <c r="AP631" s="1655"/>
      <c r="AQ631" s="1655"/>
      <c r="AR631" s="1655"/>
      <c r="AS631" s="1655"/>
      <c r="AT631" s="1655"/>
      <c r="AU631" s="1655"/>
      <c r="AV631" s="1655"/>
      <c r="AW631" s="1655"/>
      <c r="AX631" s="1655"/>
      <c r="AY631" s="1655"/>
      <c r="AZ631" s="1655"/>
      <c r="BA631" s="1655"/>
      <c r="BB631" s="1655"/>
      <c r="BC631" s="1655"/>
      <c r="BD631" s="1655"/>
      <c r="BE631" s="1655"/>
      <c r="BF631" s="1655"/>
      <c r="BG631" s="1655"/>
      <c r="BH631" s="1655"/>
      <c r="BI631" s="1655"/>
      <c r="BJ631" s="1655"/>
      <c r="BK631" s="1655"/>
      <c r="BL631" s="1655"/>
      <c r="BM631" s="1655"/>
      <c r="BN631" s="1655"/>
      <c r="BO631" s="1655"/>
      <c r="BP631" s="1655"/>
      <c r="BQ631" s="1655"/>
      <c r="BR631" s="1655"/>
      <c r="BS631" s="1655"/>
      <c r="BT631" s="1655"/>
      <c r="BU631" s="1655"/>
      <c r="BV631" s="1655"/>
      <c r="BW631" s="1655"/>
      <c r="BX631" s="1655"/>
      <c r="BY631" s="1655"/>
      <c r="BZ631" s="1655"/>
      <c r="CA631" s="1655"/>
      <c r="CB631" s="1655"/>
      <c r="CC631" s="1655"/>
      <c r="CD631" s="1655"/>
      <c r="CE631" s="1655"/>
      <c r="CF631" s="1655"/>
      <c r="CG631" s="1655"/>
      <c r="CH631" s="1655"/>
      <c r="CI631" s="1655"/>
      <c r="CJ631" s="1655"/>
      <c r="CK631" s="1655"/>
      <c r="CL631" s="1655"/>
      <c r="CM631" s="1655"/>
      <c r="CN631" s="1655"/>
      <c r="CO631" s="1655"/>
      <c r="CP631" s="1655"/>
      <c r="CQ631" s="1655"/>
      <c r="CR631" s="1655"/>
      <c r="CS631" s="1655"/>
      <c r="CT631" s="1655"/>
      <c r="CU631" s="1655"/>
      <c r="CV631" s="1655"/>
      <c r="CW631" s="1655"/>
      <c r="CX631" s="1655"/>
      <c r="CY631" s="1655"/>
      <c r="CZ631" s="1655"/>
      <c r="DA631" s="1655"/>
      <c r="DB631" s="1655"/>
      <c r="DC631" s="1655"/>
      <c r="DD631" s="1655"/>
      <c r="DE631" s="1655"/>
      <c r="DF631" s="1655"/>
      <c r="DG631" s="1655"/>
      <c r="DH631" s="1655"/>
      <c r="DI631" s="1655"/>
      <c r="DJ631" s="1655"/>
      <c r="DK631" s="1655"/>
      <c r="DL631" s="1655"/>
      <c r="DM631" s="1655"/>
      <c r="DN631" s="1655"/>
      <c r="DO631" s="1655"/>
      <c r="DP631" s="1655"/>
      <c r="DQ631" s="1655"/>
      <c r="DR631" s="1655"/>
      <c r="DS631" s="1655"/>
      <c r="DT631" s="1655"/>
      <c r="DU631" s="1655"/>
      <c r="DV631" s="1655"/>
      <c r="DW631" s="1655"/>
      <c r="DX631" s="1655"/>
      <c r="DY631" s="1655"/>
      <c r="DZ631" s="1655"/>
      <c r="EA631" s="1655"/>
      <c r="EB631" s="1655"/>
      <c r="EC631" s="1655"/>
      <c r="ED631" s="1655"/>
      <c r="EE631" s="1655"/>
      <c r="EF631" s="1655"/>
      <c r="EG631" s="1655"/>
      <c r="EH631" s="1655"/>
      <c r="EI631" s="1655"/>
      <c r="EJ631" s="1655"/>
      <c r="EK631" s="1655"/>
      <c r="EL631" s="1655"/>
      <c r="EM631" s="1655"/>
      <c r="EN631" s="1655"/>
      <c r="EO631" s="1655"/>
      <c r="EP631" s="1655"/>
      <c r="EQ631" s="1655"/>
      <c r="ER631" s="1655"/>
      <c r="ES631" s="1655"/>
      <c r="ET631" s="1655"/>
      <c r="EU631" s="1655"/>
      <c r="EV631" s="1655"/>
      <c r="EW631" s="1655"/>
      <c r="EX631" s="1655"/>
      <c r="EY631" s="1655"/>
      <c r="EZ631" s="1655"/>
      <c r="FA631" s="1655"/>
      <c r="FB631" s="1655"/>
      <c r="FC631" s="1655"/>
      <c r="FD631" s="1655"/>
      <c r="FE631" s="1655"/>
      <c r="FF631" s="1655"/>
      <c r="FG631" s="1655"/>
      <c r="FH631" s="1655"/>
      <c r="FI631" s="1655"/>
    </row>
    <row r="632" spans="1:165">
      <c r="A632" s="1655"/>
      <c r="B632" s="1655"/>
      <c r="C632" s="1655"/>
      <c r="D632" s="1655"/>
      <c r="E632" s="1655"/>
      <c r="F632" s="1655"/>
      <c r="G632" s="1655"/>
      <c r="H632" s="1655"/>
      <c r="I632" s="1655"/>
      <c r="J632" s="1655"/>
      <c r="K632" s="1655"/>
      <c r="L632" s="1655"/>
      <c r="M632" s="1655"/>
      <c r="N632" s="1655"/>
      <c r="O632" s="1655"/>
      <c r="P632" s="1655"/>
      <c r="Q632" s="1655"/>
      <c r="R632" s="1655"/>
      <c r="S632" s="1655"/>
      <c r="T632" s="1655"/>
      <c r="U632" s="1655"/>
      <c r="V632" s="1655"/>
      <c r="W632" s="1655"/>
      <c r="X632" s="1655"/>
      <c r="Y632" s="1655"/>
      <c r="Z632" s="1655"/>
      <c r="AA632" s="1655"/>
      <c r="AB632" s="1655"/>
      <c r="AC632" s="1655"/>
      <c r="AD632" s="1655"/>
      <c r="AE632" s="1655"/>
      <c r="AF632" s="1655"/>
      <c r="AG632" s="1655"/>
      <c r="AH632" s="1655"/>
      <c r="AI632" s="1655"/>
      <c r="AJ632" s="1655"/>
      <c r="AK632" s="1655"/>
      <c r="AL632" s="1655"/>
      <c r="AM632" s="1655"/>
      <c r="AN632" s="1655"/>
      <c r="AO632" s="1655"/>
      <c r="AP632" s="1655"/>
      <c r="AQ632" s="1655"/>
      <c r="AR632" s="1655"/>
      <c r="AS632" s="1655"/>
      <c r="AT632" s="1655"/>
      <c r="AU632" s="1655"/>
      <c r="AV632" s="1655"/>
      <c r="AW632" s="1655"/>
      <c r="AX632" s="1655"/>
      <c r="AY632" s="1655"/>
      <c r="AZ632" s="1655"/>
      <c r="BA632" s="1655"/>
      <c r="BB632" s="1655"/>
      <c r="BC632" s="1655"/>
      <c r="BD632" s="1655"/>
      <c r="BE632" s="1655"/>
      <c r="BF632" s="1655"/>
      <c r="BG632" s="1655"/>
      <c r="BH632" s="1655"/>
      <c r="BI632" s="1655"/>
      <c r="BJ632" s="1655"/>
      <c r="BK632" s="1655"/>
      <c r="BL632" s="1655"/>
      <c r="BM632" s="1655"/>
      <c r="BN632" s="1655"/>
      <c r="BO632" s="1655"/>
      <c r="BP632" s="1655"/>
      <c r="BQ632" s="1655"/>
      <c r="BR632" s="1655"/>
      <c r="BS632" s="1655"/>
      <c r="BT632" s="1655"/>
      <c r="BU632" s="1655"/>
      <c r="BV632" s="1655"/>
      <c r="BW632" s="1655"/>
      <c r="BX632" s="1655"/>
      <c r="BY632" s="1655"/>
      <c r="BZ632" s="1655"/>
      <c r="CA632" s="1655"/>
      <c r="CB632" s="1655"/>
      <c r="CC632" s="1655"/>
      <c r="CD632" s="1655"/>
      <c r="CE632" s="1655"/>
      <c r="CF632" s="1655"/>
      <c r="CG632" s="1655"/>
      <c r="CH632" s="1655"/>
      <c r="CI632" s="1655"/>
      <c r="CJ632" s="1655"/>
      <c r="CK632" s="1655"/>
      <c r="CL632" s="1655"/>
      <c r="CM632" s="1655"/>
      <c r="CN632" s="1655"/>
      <c r="CO632" s="1655"/>
      <c r="CP632" s="1655"/>
      <c r="CQ632" s="1655"/>
      <c r="CR632" s="1655"/>
      <c r="CS632" s="1655"/>
      <c r="CT632" s="1655"/>
      <c r="CU632" s="1655"/>
      <c r="CV632" s="1655"/>
      <c r="CW632" s="1655"/>
      <c r="CX632" s="1655"/>
      <c r="CY632" s="1655"/>
      <c r="CZ632" s="1655"/>
      <c r="DA632" s="1655"/>
      <c r="DB632" s="1655"/>
      <c r="DC632" s="1655"/>
      <c r="DD632" s="1655"/>
      <c r="DE632" s="1655"/>
      <c r="DF632" s="1655"/>
      <c r="DG632" s="1655"/>
      <c r="DH632" s="1655"/>
      <c r="DI632" s="1655"/>
      <c r="DJ632" s="1655"/>
      <c r="DK632" s="1655"/>
      <c r="DL632" s="1655"/>
      <c r="DM632" s="1655"/>
      <c r="DN632" s="1655"/>
      <c r="DO632" s="1655"/>
      <c r="DP632" s="1655"/>
      <c r="DQ632" s="1655"/>
      <c r="DR632" s="1655"/>
      <c r="DS632" s="1655"/>
      <c r="DT632" s="1655"/>
      <c r="DU632" s="1655"/>
      <c r="DV632" s="1655"/>
      <c r="DW632" s="1655"/>
      <c r="DX632" s="1655"/>
      <c r="DY632" s="1655"/>
      <c r="DZ632" s="1655"/>
      <c r="EA632" s="1655"/>
      <c r="EB632" s="1655"/>
      <c r="EC632" s="1655"/>
      <c r="ED632" s="1655"/>
      <c r="EE632" s="1655"/>
      <c r="EF632" s="1655"/>
      <c r="EG632" s="1655"/>
      <c r="EH632" s="1655"/>
      <c r="EI632" s="1655"/>
      <c r="EJ632" s="1655"/>
      <c r="EK632" s="1655"/>
      <c r="EL632" s="1655"/>
      <c r="EM632" s="1655"/>
      <c r="EN632" s="1655"/>
      <c r="EO632" s="1655"/>
      <c r="EP632" s="1655"/>
      <c r="EQ632" s="1655"/>
      <c r="ER632" s="1655"/>
      <c r="ES632" s="1655"/>
      <c r="ET632" s="1655"/>
      <c r="EU632" s="1655"/>
      <c r="EV632" s="1655"/>
      <c r="EW632" s="1655"/>
      <c r="EX632" s="1655"/>
      <c r="EY632" s="1655"/>
      <c r="EZ632" s="1655"/>
      <c r="FA632" s="1655"/>
      <c r="FB632" s="1655"/>
      <c r="FC632" s="1655"/>
      <c r="FD632" s="1655"/>
      <c r="FE632" s="1655"/>
      <c r="FF632" s="1655"/>
      <c r="FG632" s="1655"/>
      <c r="FH632" s="1655"/>
      <c r="FI632" s="1655"/>
    </row>
    <row r="633" spans="1:165">
      <c r="A633" s="1655"/>
      <c r="B633" s="1655"/>
      <c r="C633" s="1655"/>
      <c r="D633" s="1655"/>
      <c r="E633" s="1655"/>
      <c r="F633" s="1655"/>
      <c r="G633" s="1655"/>
      <c r="H633" s="1655"/>
      <c r="I633" s="1655"/>
      <c r="J633" s="1655"/>
      <c r="K633" s="1655"/>
      <c r="L633" s="1655"/>
      <c r="M633" s="1655"/>
      <c r="N633" s="1655"/>
      <c r="O633" s="1655"/>
      <c r="P633" s="1655"/>
      <c r="Q633" s="1655"/>
      <c r="R633" s="1655"/>
      <c r="S633" s="1655"/>
      <c r="T633" s="1655"/>
      <c r="U633" s="1655"/>
      <c r="V633" s="1655"/>
      <c r="W633" s="1655"/>
      <c r="X633" s="1655"/>
      <c r="Y633" s="1655"/>
      <c r="Z633" s="1655"/>
      <c r="AA633" s="1655"/>
      <c r="AB633" s="1655"/>
      <c r="AC633" s="1655"/>
      <c r="AD633" s="1655"/>
      <c r="AE633" s="1655"/>
      <c r="AF633" s="1655"/>
      <c r="AG633" s="1655"/>
      <c r="AH633" s="1655"/>
      <c r="AI633" s="1655"/>
      <c r="AJ633" s="1655"/>
      <c r="AK633" s="1655"/>
      <c r="AL633" s="1655"/>
      <c r="AM633" s="1655"/>
      <c r="AN633" s="1655"/>
      <c r="AO633" s="1655"/>
      <c r="AP633" s="1655"/>
      <c r="AQ633" s="1655"/>
      <c r="AR633" s="1655"/>
      <c r="AS633" s="1655"/>
      <c r="AT633" s="1655"/>
      <c r="AU633" s="1655"/>
      <c r="AV633" s="1655"/>
      <c r="AW633" s="1655"/>
      <c r="AX633" s="1655"/>
      <c r="AY633" s="1655"/>
      <c r="AZ633" s="1655"/>
      <c r="BA633" s="1655"/>
      <c r="BB633" s="1655"/>
      <c r="BC633" s="1655"/>
      <c r="BD633" s="1655"/>
      <c r="BE633" s="1655"/>
      <c r="BF633" s="1655"/>
      <c r="BG633" s="1655"/>
      <c r="BH633" s="1655"/>
      <c r="BI633" s="1655"/>
      <c r="BJ633" s="1655"/>
      <c r="BK633" s="1655"/>
      <c r="BL633" s="1655"/>
      <c r="BM633" s="1655"/>
      <c r="BN633" s="1655"/>
      <c r="BO633" s="1655"/>
      <c r="BP633" s="1655"/>
      <c r="BQ633" s="1655"/>
      <c r="BR633" s="1655"/>
      <c r="BS633" s="1655"/>
      <c r="BT633" s="1655"/>
      <c r="BU633" s="1655"/>
      <c r="BV633" s="1655"/>
      <c r="BW633" s="1655"/>
      <c r="BX633" s="1655"/>
      <c r="BY633" s="1655"/>
      <c r="BZ633" s="1655"/>
      <c r="CA633" s="1655"/>
      <c r="CB633" s="1655"/>
      <c r="CC633" s="1655"/>
      <c r="CD633" s="1655"/>
      <c r="CE633" s="1655"/>
      <c r="CF633" s="1655"/>
      <c r="CG633" s="1655"/>
      <c r="CH633" s="1655"/>
      <c r="CI633" s="1655"/>
      <c r="CJ633" s="1655"/>
      <c r="CK633" s="1655"/>
      <c r="CL633" s="1655"/>
      <c r="CM633" s="1655"/>
      <c r="CN633" s="1655"/>
      <c r="CO633" s="1655"/>
      <c r="CP633" s="1655"/>
      <c r="CQ633" s="1655"/>
      <c r="CR633" s="1655"/>
      <c r="CS633" s="1655"/>
      <c r="CT633" s="1655"/>
      <c r="CU633" s="1655"/>
      <c r="CV633" s="1655"/>
      <c r="CW633" s="1655"/>
      <c r="CX633" s="1655"/>
      <c r="CY633" s="1655"/>
      <c r="CZ633" s="1655"/>
      <c r="DA633" s="1655"/>
      <c r="DB633" s="1655"/>
      <c r="DC633" s="1655"/>
      <c r="DD633" s="1655"/>
      <c r="DE633" s="1655"/>
      <c r="DF633" s="1655"/>
      <c r="DG633" s="1655"/>
      <c r="DH633" s="1655"/>
      <c r="DI633" s="1655"/>
      <c r="DJ633" s="1655"/>
      <c r="DK633" s="1655"/>
      <c r="DL633" s="1655"/>
      <c r="DM633" s="1655"/>
      <c r="DN633" s="1655"/>
      <c r="DO633" s="1655"/>
      <c r="DP633" s="1655"/>
      <c r="DQ633" s="1655"/>
      <c r="DR633" s="1655"/>
      <c r="DS633" s="1655"/>
      <c r="DT633" s="1655"/>
      <c r="DU633" s="1655"/>
      <c r="DV633" s="1655"/>
      <c r="DW633" s="1655"/>
      <c r="DX633" s="1655"/>
      <c r="DY633" s="1655"/>
      <c r="DZ633" s="1655"/>
      <c r="EA633" s="1655"/>
      <c r="EB633" s="1655"/>
      <c r="EC633" s="1655"/>
      <c r="ED633" s="1655"/>
      <c r="EE633" s="1655"/>
      <c r="EF633" s="1655"/>
      <c r="EG633" s="1655"/>
      <c r="EH633" s="1655"/>
      <c r="EI633" s="1655"/>
      <c r="EJ633" s="1655"/>
      <c r="EK633" s="1655"/>
      <c r="EL633" s="1655"/>
      <c r="EM633" s="1655"/>
      <c r="EN633" s="1655"/>
      <c r="EO633" s="1655"/>
      <c r="EP633" s="1655"/>
      <c r="EQ633" s="1655"/>
      <c r="ER633" s="1655"/>
      <c r="ES633" s="1655"/>
      <c r="ET633" s="1655"/>
      <c r="EU633" s="1655"/>
      <c r="EV633" s="1655"/>
      <c r="EW633" s="1655"/>
      <c r="EX633" s="1655"/>
      <c r="EY633" s="1655"/>
      <c r="EZ633" s="1655"/>
      <c r="FA633" s="1655"/>
      <c r="FB633" s="1655"/>
      <c r="FC633" s="1655"/>
      <c r="FD633" s="1655"/>
      <c r="FE633" s="1655"/>
      <c r="FF633" s="1655"/>
      <c r="FG633" s="1655"/>
      <c r="FH633" s="1655"/>
      <c r="FI633" s="1655"/>
    </row>
    <row r="634" spans="1:165">
      <c r="A634" s="1655"/>
      <c r="B634" s="1655"/>
      <c r="C634" s="1655"/>
      <c r="D634" s="1655"/>
      <c r="E634" s="1655"/>
      <c r="F634" s="1655"/>
      <c r="G634" s="1655"/>
      <c r="H634" s="1655"/>
      <c r="I634" s="1655"/>
      <c r="J634" s="1655"/>
      <c r="K634" s="1655"/>
      <c r="L634" s="1655"/>
      <c r="M634" s="1655"/>
      <c r="N634" s="1655"/>
      <c r="O634" s="1655"/>
      <c r="P634" s="1655"/>
      <c r="Q634" s="1655"/>
      <c r="R634" s="1655"/>
      <c r="S634" s="1655"/>
      <c r="T634" s="1655"/>
      <c r="U634" s="1655"/>
      <c r="V634" s="1655"/>
      <c r="W634" s="1655"/>
      <c r="X634" s="1655"/>
      <c r="Y634" s="1655"/>
      <c r="Z634" s="1655"/>
      <c r="AA634" s="1655"/>
      <c r="AB634" s="1655"/>
      <c r="AC634" s="1655"/>
      <c r="AD634" s="1655"/>
      <c r="AE634" s="1655"/>
      <c r="AF634" s="1655"/>
      <c r="AG634" s="1655"/>
      <c r="AH634" s="1655"/>
      <c r="AI634" s="1655"/>
      <c r="AJ634" s="1655"/>
      <c r="AK634" s="1655"/>
      <c r="AL634" s="1655"/>
      <c r="AM634" s="1655"/>
      <c r="AN634" s="1655"/>
      <c r="AO634" s="1655"/>
      <c r="AP634" s="1655"/>
      <c r="AQ634" s="1655"/>
      <c r="AR634" s="1655"/>
      <c r="AS634" s="1655"/>
      <c r="AT634" s="1655"/>
      <c r="AU634" s="1655"/>
      <c r="AV634" s="1655"/>
      <c r="AW634" s="1655"/>
      <c r="AX634" s="1655"/>
      <c r="AY634" s="1655"/>
      <c r="AZ634" s="1655"/>
      <c r="BA634" s="1655"/>
      <c r="BB634" s="1655"/>
      <c r="BC634" s="1655"/>
      <c r="BD634" s="1655"/>
      <c r="BE634" s="1655"/>
      <c r="BF634" s="1655"/>
      <c r="BG634" s="1655"/>
      <c r="BH634" s="1655"/>
      <c r="BI634" s="1655"/>
      <c r="BJ634" s="1655"/>
      <c r="BK634" s="1655"/>
      <c r="BL634" s="1655"/>
      <c r="BM634" s="1655"/>
      <c r="BN634" s="1655"/>
      <c r="BO634" s="1655"/>
      <c r="BP634" s="1655"/>
      <c r="BQ634" s="1655"/>
      <c r="BR634" s="1655"/>
      <c r="BS634" s="1655"/>
      <c r="BT634" s="1655"/>
      <c r="BU634" s="1655"/>
      <c r="BV634" s="1655"/>
      <c r="BW634" s="1655"/>
      <c r="BX634" s="1655"/>
      <c r="BY634" s="1655"/>
      <c r="BZ634" s="1655"/>
      <c r="CA634" s="1655"/>
      <c r="CB634" s="1655"/>
      <c r="CC634" s="1655"/>
      <c r="CD634" s="1655"/>
      <c r="CE634" s="1655"/>
      <c r="CF634" s="1655"/>
      <c r="CG634" s="1655"/>
      <c r="CH634" s="1655"/>
      <c r="CI634" s="1655"/>
      <c r="CJ634" s="1655"/>
      <c r="CK634" s="1655"/>
      <c r="CL634" s="1655"/>
      <c r="CM634" s="1655"/>
      <c r="CN634" s="1655"/>
      <c r="CO634" s="1655"/>
      <c r="CP634" s="1655"/>
      <c r="CQ634" s="1655"/>
      <c r="CR634" s="1655"/>
      <c r="CS634" s="1655"/>
      <c r="CT634" s="1655"/>
      <c r="CU634" s="1655"/>
      <c r="CV634" s="1655"/>
      <c r="CW634" s="1655"/>
      <c r="CX634" s="1655"/>
      <c r="CY634" s="1655"/>
      <c r="CZ634" s="1655"/>
      <c r="DA634" s="1655"/>
      <c r="DB634" s="1655"/>
      <c r="DC634" s="1655"/>
      <c r="DD634" s="1655"/>
      <c r="DE634" s="1655"/>
      <c r="DF634" s="1655"/>
      <c r="DG634" s="1655"/>
      <c r="DH634" s="1655"/>
      <c r="DI634" s="1655"/>
      <c r="DJ634" s="1655"/>
      <c r="DK634" s="1655"/>
      <c r="DL634" s="1655"/>
      <c r="DM634" s="1655"/>
      <c r="DN634" s="1655"/>
      <c r="DO634" s="1655"/>
      <c r="DP634" s="1655"/>
      <c r="DQ634" s="1655"/>
      <c r="DR634" s="1655"/>
      <c r="DS634" s="1655"/>
      <c r="DT634" s="1655"/>
      <c r="DU634" s="1655"/>
      <c r="DV634" s="1655"/>
      <c r="DW634" s="1655"/>
      <c r="DX634" s="1655"/>
      <c r="DY634" s="1655"/>
      <c r="DZ634" s="1655"/>
      <c r="EA634" s="1655"/>
      <c r="EB634" s="1655"/>
      <c r="EC634" s="1655"/>
      <c r="ED634" s="1655"/>
      <c r="EE634" s="1655"/>
      <c r="EF634" s="1655"/>
      <c r="EG634" s="1655"/>
      <c r="EH634" s="1655"/>
      <c r="EI634" s="1655"/>
      <c r="EJ634" s="1655"/>
      <c r="EK634" s="1655"/>
      <c r="EL634" s="1655"/>
      <c r="EM634" s="1655"/>
      <c r="EN634" s="1655"/>
      <c r="EO634" s="1655"/>
      <c r="EP634" s="1655"/>
      <c r="EQ634" s="1655"/>
      <c r="ER634" s="1655"/>
      <c r="ES634" s="1655"/>
      <c r="ET634" s="1655"/>
      <c r="EU634" s="1655"/>
      <c r="EV634" s="1655"/>
      <c r="EW634" s="1655"/>
      <c r="EX634" s="1655"/>
      <c r="EY634" s="1655"/>
      <c r="EZ634" s="1655"/>
      <c r="FA634" s="1655"/>
      <c r="FB634" s="1655"/>
      <c r="FC634" s="1655"/>
      <c r="FD634" s="1655"/>
      <c r="FE634" s="1655"/>
      <c r="FF634" s="1655"/>
      <c r="FG634" s="1655"/>
      <c r="FH634" s="1655"/>
      <c r="FI634" s="1655"/>
    </row>
    <row r="635" spans="1:165">
      <c r="A635" s="1655"/>
      <c r="B635" s="1655"/>
      <c r="C635" s="1655"/>
      <c r="D635" s="1655"/>
      <c r="E635" s="1655"/>
      <c r="F635" s="1655"/>
      <c r="G635" s="1655"/>
      <c r="H635" s="1655"/>
      <c r="I635" s="1655"/>
      <c r="J635" s="1655"/>
      <c r="K635" s="1655"/>
      <c r="L635" s="1655"/>
      <c r="M635" s="1655"/>
      <c r="N635" s="1655"/>
      <c r="O635" s="1655"/>
      <c r="P635" s="1655"/>
      <c r="Q635" s="1655"/>
      <c r="R635" s="1655"/>
      <c r="S635" s="1655"/>
      <c r="T635" s="1655"/>
      <c r="U635" s="1655"/>
      <c r="V635" s="1655"/>
      <c r="W635" s="1655"/>
      <c r="X635" s="1655"/>
      <c r="Y635" s="1655"/>
      <c r="Z635" s="1655"/>
      <c r="AA635" s="1655"/>
      <c r="AB635" s="1655"/>
      <c r="AC635" s="1655"/>
      <c r="AD635" s="1655"/>
      <c r="AE635" s="1655"/>
      <c r="AF635" s="1655"/>
      <c r="AG635" s="1655"/>
      <c r="AH635" s="1655"/>
      <c r="AI635" s="1655"/>
      <c r="AJ635" s="1655"/>
      <c r="AK635" s="1655"/>
      <c r="AL635" s="1655"/>
      <c r="AM635" s="1655"/>
      <c r="AN635" s="1655"/>
      <c r="AO635" s="1655"/>
      <c r="AP635" s="1655"/>
      <c r="AQ635" s="1655"/>
      <c r="AR635" s="1655"/>
      <c r="AS635" s="1655"/>
      <c r="AT635" s="1655"/>
      <c r="AU635" s="1655"/>
      <c r="AV635" s="1655"/>
      <c r="AW635" s="1655"/>
      <c r="AX635" s="1655"/>
      <c r="AY635" s="1655"/>
      <c r="AZ635" s="1655"/>
      <c r="BA635" s="1655"/>
      <c r="BB635" s="1655"/>
      <c r="BC635" s="1655"/>
      <c r="BD635" s="1655"/>
      <c r="BE635" s="1655"/>
      <c r="BF635" s="1655"/>
      <c r="BG635" s="1655"/>
      <c r="BH635" s="1655"/>
      <c r="BI635" s="1655"/>
      <c r="BJ635" s="1655"/>
      <c r="BK635" s="1655"/>
      <c r="BL635" s="1655"/>
      <c r="BM635" s="1655"/>
      <c r="BN635" s="1655"/>
      <c r="BO635" s="1655"/>
      <c r="BP635" s="1655"/>
      <c r="BQ635" s="1655"/>
      <c r="BR635" s="1655"/>
      <c r="BS635" s="1655"/>
      <c r="BT635" s="1655"/>
      <c r="BU635" s="1655"/>
      <c r="BV635" s="1655"/>
      <c r="BW635" s="1655"/>
      <c r="BX635" s="1655"/>
      <c r="BY635" s="1655"/>
      <c r="BZ635" s="1655"/>
      <c r="CA635" s="1655"/>
      <c r="CB635" s="1655"/>
      <c r="CC635" s="1655"/>
      <c r="CD635" s="1655"/>
      <c r="CE635" s="1655"/>
      <c r="CF635" s="1655"/>
      <c r="CG635" s="1655"/>
      <c r="CH635" s="1655"/>
      <c r="CI635" s="1655"/>
      <c r="CJ635" s="1655"/>
      <c r="CK635" s="1655"/>
      <c r="CL635" s="1655"/>
      <c r="CM635" s="1655"/>
      <c r="CN635" s="1655"/>
      <c r="CO635" s="1655"/>
      <c r="CP635" s="1655"/>
      <c r="CQ635" s="1655"/>
      <c r="CR635" s="1655"/>
      <c r="CS635" s="1655"/>
      <c r="CT635" s="1655"/>
      <c r="CU635" s="1655"/>
      <c r="CV635" s="1655"/>
      <c r="CW635" s="1655"/>
      <c r="CX635" s="1655"/>
      <c r="CY635" s="1655"/>
      <c r="CZ635" s="1655"/>
      <c r="DA635" s="1655"/>
      <c r="DB635" s="1655"/>
      <c r="DC635" s="1655"/>
      <c r="DD635" s="1655"/>
      <c r="DE635" s="1655"/>
      <c r="DF635" s="1655"/>
      <c r="DG635" s="1655"/>
      <c r="DH635" s="1655"/>
      <c r="DI635" s="1655"/>
      <c r="DJ635" s="1655"/>
      <c r="DK635" s="1655"/>
      <c r="DL635" s="1655"/>
      <c r="DM635" s="1655"/>
      <c r="DN635" s="1655"/>
      <c r="DO635" s="1655"/>
      <c r="DP635" s="1655"/>
      <c r="DQ635" s="1655"/>
      <c r="DR635" s="1655"/>
      <c r="DS635" s="1655"/>
      <c r="DT635" s="1655"/>
      <c r="DU635" s="1655"/>
      <c r="DV635" s="1655"/>
      <c r="DW635" s="1655"/>
      <c r="DX635" s="1655"/>
      <c r="DY635" s="1655"/>
      <c r="DZ635" s="1655"/>
      <c r="EA635" s="1655"/>
      <c r="EB635" s="1655"/>
      <c r="EC635" s="1655"/>
      <c r="ED635" s="1655"/>
      <c r="EE635" s="1655"/>
      <c r="EF635" s="1655"/>
      <c r="EG635" s="1655"/>
      <c r="EH635" s="1655"/>
      <c r="EI635" s="1655"/>
      <c r="EJ635" s="1655"/>
      <c r="EK635" s="1655"/>
      <c r="EL635" s="1655"/>
      <c r="EM635" s="1655"/>
      <c r="EN635" s="1655"/>
      <c r="EO635" s="1655"/>
      <c r="EP635" s="1655"/>
      <c r="EQ635" s="1655"/>
      <c r="ER635" s="1655"/>
      <c r="ES635" s="1655"/>
      <c r="ET635" s="1655"/>
      <c r="EU635" s="1655"/>
      <c r="EV635" s="1655"/>
      <c r="EW635" s="1655"/>
      <c r="EX635" s="1655"/>
      <c r="EY635" s="1655"/>
      <c r="EZ635" s="1655"/>
      <c r="FA635" s="1655"/>
      <c r="FB635" s="1655"/>
      <c r="FC635" s="1655"/>
      <c r="FD635" s="1655"/>
      <c r="FE635" s="1655"/>
      <c r="FF635" s="1655"/>
      <c r="FG635" s="1655"/>
      <c r="FH635" s="1655"/>
      <c r="FI635" s="1655"/>
    </row>
    <row r="636" spans="1:165">
      <c r="A636" s="1655"/>
      <c r="B636" s="1655"/>
      <c r="C636" s="1655"/>
      <c r="D636" s="1655"/>
      <c r="E636" s="1655"/>
      <c r="F636" s="1655"/>
      <c r="G636" s="1655"/>
      <c r="H636" s="1655"/>
      <c r="I636" s="1655"/>
      <c r="J636" s="1655"/>
      <c r="K636" s="1655"/>
      <c r="L636" s="1655"/>
      <c r="M636" s="1655"/>
      <c r="N636" s="1655"/>
      <c r="O636" s="1655"/>
      <c r="P636" s="1655"/>
      <c r="Q636" s="1655"/>
      <c r="R636" s="1655"/>
      <c r="S636" s="1655"/>
      <c r="T636" s="1655"/>
      <c r="U636" s="1655"/>
      <c r="V636" s="1655"/>
      <c r="W636" s="1655"/>
      <c r="X636" s="1655"/>
      <c r="Y636" s="1655"/>
      <c r="Z636" s="1655"/>
      <c r="AA636" s="1655"/>
      <c r="AB636" s="1655"/>
      <c r="AC636" s="1655"/>
      <c r="AD636" s="1655"/>
      <c r="AE636" s="1655"/>
      <c r="AF636" s="1655"/>
      <c r="AG636" s="1655"/>
      <c r="AH636" s="1655"/>
      <c r="AI636" s="1655"/>
      <c r="AJ636" s="1655"/>
      <c r="AK636" s="1655"/>
      <c r="AL636" s="1655"/>
      <c r="AM636" s="1655"/>
      <c r="AN636" s="1655"/>
      <c r="AO636" s="1655"/>
      <c r="AP636" s="1655"/>
      <c r="AQ636" s="1655"/>
      <c r="AR636" s="1655"/>
      <c r="AS636" s="1655"/>
      <c r="AT636" s="1655"/>
      <c r="AU636" s="1655"/>
      <c r="AV636" s="1655"/>
      <c r="AW636" s="1655"/>
      <c r="AX636" s="1655"/>
      <c r="AY636" s="1655"/>
      <c r="AZ636" s="1655"/>
      <c r="BA636" s="1655"/>
      <c r="BB636" s="1655"/>
      <c r="BC636" s="1655"/>
      <c r="BD636" s="1655"/>
      <c r="BE636" s="1655"/>
      <c r="BF636" s="1655"/>
      <c r="BG636" s="1655"/>
      <c r="BH636" s="1655"/>
      <c r="BI636" s="1655"/>
      <c r="BJ636" s="1655"/>
      <c r="BK636" s="1655"/>
      <c r="BL636" s="1655"/>
      <c r="BM636" s="1655"/>
      <c r="BN636" s="1655"/>
      <c r="BO636" s="1655"/>
      <c r="BP636" s="1655"/>
      <c r="BQ636" s="1655"/>
      <c r="BR636" s="1655"/>
      <c r="BS636" s="1655"/>
      <c r="BT636" s="1655"/>
      <c r="BU636" s="1655"/>
      <c r="BV636" s="1655"/>
      <c r="BW636" s="1655"/>
      <c r="BX636" s="1655"/>
      <c r="BY636" s="1655"/>
      <c r="BZ636" s="1655"/>
      <c r="CA636" s="1655"/>
      <c r="CB636" s="1655"/>
      <c r="CC636" s="1655"/>
      <c r="CD636" s="1655"/>
      <c r="CE636" s="1655"/>
      <c r="CF636" s="1655"/>
      <c r="CG636" s="1655"/>
      <c r="CH636" s="1655"/>
      <c r="CI636" s="1655"/>
      <c r="CJ636" s="1655"/>
      <c r="CK636" s="1655"/>
      <c r="CL636" s="1655"/>
      <c r="CM636" s="1655"/>
      <c r="CN636" s="1655"/>
      <c r="CO636" s="1655"/>
      <c r="CP636" s="1655"/>
      <c r="CQ636" s="1655"/>
      <c r="CR636" s="1655"/>
      <c r="CS636" s="1655"/>
      <c r="CT636" s="1655"/>
      <c r="CU636" s="1655"/>
      <c r="CV636" s="1655"/>
      <c r="CW636" s="1655"/>
      <c r="CX636" s="1655"/>
      <c r="CY636" s="1655"/>
      <c r="CZ636" s="1655"/>
      <c r="DA636" s="1655"/>
      <c r="DB636" s="1655"/>
      <c r="DC636" s="1655"/>
      <c r="DD636" s="1655"/>
      <c r="DE636" s="1655"/>
      <c r="DF636" s="1655"/>
      <c r="DG636" s="1655"/>
      <c r="DH636" s="1655"/>
      <c r="DI636" s="1655"/>
      <c r="DJ636" s="1655"/>
      <c r="DK636" s="1655"/>
      <c r="DL636" s="1655"/>
      <c r="DM636" s="1655"/>
      <c r="DN636" s="1655"/>
      <c r="DO636" s="1655"/>
      <c r="DP636" s="1655"/>
      <c r="DQ636" s="1655"/>
      <c r="DR636" s="1655"/>
      <c r="DS636" s="1655"/>
      <c r="DT636" s="1655"/>
      <c r="DU636" s="1655"/>
      <c r="DV636" s="1655"/>
      <c r="DW636" s="1655"/>
      <c r="DX636" s="1655"/>
      <c r="DY636" s="1655"/>
      <c r="DZ636" s="1655"/>
      <c r="EA636" s="1655"/>
      <c r="EB636" s="1655"/>
      <c r="EC636" s="1655"/>
      <c r="ED636" s="1655"/>
      <c r="EE636" s="1655"/>
      <c r="EF636" s="1655"/>
      <c r="EG636" s="1655"/>
      <c r="EH636" s="1655"/>
      <c r="EI636" s="1655"/>
      <c r="EJ636" s="1655"/>
      <c r="EK636" s="1655"/>
      <c r="EL636" s="1655"/>
      <c r="EM636" s="1655"/>
      <c r="EN636" s="1655"/>
      <c r="EO636" s="1655"/>
      <c r="EP636" s="1655"/>
      <c r="EQ636" s="1655"/>
      <c r="ER636" s="1655"/>
      <c r="ES636" s="1655"/>
      <c r="ET636" s="1655"/>
      <c r="EU636" s="1655"/>
      <c r="EV636" s="1655"/>
      <c r="EW636" s="1655"/>
      <c r="EX636" s="1655"/>
      <c r="EY636" s="1655"/>
      <c r="EZ636" s="1655"/>
      <c r="FA636" s="1655"/>
      <c r="FB636" s="1655"/>
      <c r="FC636" s="1655"/>
      <c r="FD636" s="1655"/>
      <c r="FE636" s="1655"/>
      <c r="FF636" s="1655"/>
      <c r="FG636" s="1655"/>
      <c r="FH636" s="1655"/>
      <c r="FI636" s="1655"/>
    </row>
    <row r="637" spans="1:165">
      <c r="A637" s="1655"/>
      <c r="B637" s="1655"/>
      <c r="C637" s="1655"/>
      <c r="D637" s="1655"/>
      <c r="E637" s="1655"/>
      <c r="F637" s="1655"/>
      <c r="G637" s="1655"/>
      <c r="H637" s="1655"/>
      <c r="I637" s="1655"/>
      <c r="J637" s="1655"/>
      <c r="K637" s="1655"/>
      <c r="L637" s="1655"/>
      <c r="M637" s="1655"/>
      <c r="N637" s="1655"/>
      <c r="O637" s="1655"/>
      <c r="P637" s="1655"/>
      <c r="Q637" s="1655"/>
      <c r="R637" s="1655"/>
      <c r="S637" s="1655"/>
      <c r="T637" s="1655"/>
      <c r="U637" s="1655"/>
      <c r="V637" s="1655"/>
      <c r="W637" s="1655"/>
      <c r="X637" s="1655"/>
      <c r="Y637" s="1655"/>
      <c r="Z637" s="1655"/>
      <c r="AA637" s="1655"/>
      <c r="AB637" s="1655"/>
      <c r="AC637" s="1655"/>
      <c r="AD637" s="1655"/>
      <c r="AE637" s="1655"/>
      <c r="AF637" s="1655"/>
      <c r="AG637" s="1655"/>
      <c r="AH637" s="1655"/>
      <c r="AI637" s="1655"/>
      <c r="AJ637" s="1655"/>
      <c r="AK637" s="1655"/>
      <c r="AL637" s="1655"/>
      <c r="AM637" s="1655"/>
      <c r="AN637" s="1655"/>
      <c r="AO637" s="1655"/>
      <c r="AP637" s="1655"/>
      <c r="AQ637" s="1655"/>
      <c r="AR637" s="1655"/>
      <c r="AS637" s="1655"/>
      <c r="AT637" s="1655"/>
      <c r="AU637" s="1655"/>
      <c r="AV637" s="1655"/>
      <c r="AW637" s="1655"/>
      <c r="AX637" s="1655"/>
      <c r="AY637" s="1655"/>
      <c r="AZ637" s="1655"/>
      <c r="BA637" s="1655"/>
      <c r="BB637" s="1655"/>
      <c r="BC637" s="1655"/>
      <c r="BD637" s="1655"/>
      <c r="BE637" s="1655"/>
      <c r="BF637" s="1655"/>
      <c r="BG637" s="1655"/>
      <c r="BH637" s="1655"/>
      <c r="BI637" s="1655"/>
      <c r="BJ637" s="1655"/>
      <c r="BK637" s="1655"/>
      <c r="BL637" s="1655"/>
      <c r="BM637" s="1655"/>
      <c r="BN637" s="1655"/>
      <c r="BO637" s="1655"/>
      <c r="BP637" s="1655"/>
      <c r="BQ637" s="1655"/>
      <c r="BR637" s="1655"/>
      <c r="BS637" s="1655"/>
      <c r="BT637" s="1655"/>
      <c r="BU637" s="1655"/>
      <c r="BV637" s="1655"/>
      <c r="BW637" s="1655"/>
      <c r="BX637" s="1655"/>
      <c r="BY637" s="1655"/>
      <c r="BZ637" s="1655"/>
      <c r="CA637" s="1655"/>
      <c r="CB637" s="1655"/>
      <c r="CC637" s="1655"/>
      <c r="CD637" s="1655"/>
      <c r="CE637" s="1655"/>
      <c r="CF637" s="1655"/>
      <c r="CG637" s="1655"/>
      <c r="CH637" s="1655"/>
      <c r="CI637" s="1655"/>
      <c r="CJ637" s="1655"/>
      <c r="CK637" s="1655"/>
      <c r="CL637" s="1655"/>
      <c r="CM637" s="1655"/>
      <c r="CN637" s="1655"/>
      <c r="CO637" s="1655"/>
      <c r="CP637" s="1655"/>
      <c r="CQ637" s="1655"/>
      <c r="CR637" s="1655"/>
      <c r="CS637" s="1655"/>
      <c r="CT637" s="1655"/>
      <c r="CU637" s="1655"/>
      <c r="CV637" s="1655"/>
      <c r="CW637" s="1655"/>
      <c r="CX637" s="1655"/>
      <c r="CY637" s="1655"/>
      <c r="CZ637" s="1655"/>
      <c r="DA637" s="1655"/>
      <c r="DB637" s="1655"/>
      <c r="DC637" s="1655"/>
      <c r="DD637" s="1655"/>
      <c r="DE637" s="1655"/>
      <c r="DF637" s="1655"/>
      <c r="DG637" s="1655"/>
      <c r="DH637" s="1655"/>
      <c r="DI637" s="1655"/>
      <c r="DJ637" s="1655"/>
      <c r="DK637" s="1655"/>
      <c r="DL637" s="1655"/>
      <c r="DM637" s="1655"/>
      <c r="DN637" s="1655"/>
      <c r="DO637" s="1655"/>
      <c r="DP637" s="1655"/>
      <c r="DQ637" s="1655"/>
      <c r="DR637" s="1655"/>
      <c r="DS637" s="1655"/>
      <c r="DT637" s="1655"/>
      <c r="DU637" s="1655"/>
      <c r="DV637" s="1655"/>
      <c r="DW637" s="1655"/>
      <c r="DX637" s="1655"/>
      <c r="DY637" s="1655"/>
      <c r="DZ637" s="1655"/>
      <c r="EA637" s="1655"/>
      <c r="EB637" s="1655"/>
      <c r="EC637" s="1655"/>
      <c r="ED637" s="1655"/>
      <c r="EE637" s="1655"/>
      <c r="EF637" s="1655"/>
      <c r="EG637" s="1655"/>
      <c r="EH637" s="1655"/>
      <c r="EI637" s="1655"/>
      <c r="EJ637" s="1655"/>
      <c r="EK637" s="1655"/>
      <c r="EL637" s="1655"/>
      <c r="EM637" s="1655"/>
      <c r="EN637" s="1655"/>
      <c r="EO637" s="1655"/>
      <c r="EP637" s="1655"/>
      <c r="EQ637" s="1655"/>
      <c r="ER637" s="1655"/>
      <c r="ES637" s="1655"/>
      <c r="ET637" s="1655"/>
      <c r="EU637" s="1655"/>
      <c r="EV637" s="1655"/>
      <c r="EW637" s="1655"/>
      <c r="EX637" s="1655"/>
      <c r="EY637" s="1655"/>
      <c r="EZ637" s="1655"/>
      <c r="FA637" s="1655"/>
      <c r="FB637" s="1655"/>
      <c r="FC637" s="1655"/>
      <c r="FD637" s="1655"/>
      <c r="FE637" s="1655"/>
      <c r="FF637" s="1655"/>
      <c r="FG637" s="1655"/>
      <c r="FH637" s="1655"/>
      <c r="FI637" s="1655"/>
    </row>
    <row r="638" spans="1:165">
      <c r="A638" s="1655"/>
      <c r="B638" s="1655"/>
      <c r="C638" s="1655"/>
      <c r="D638" s="1655"/>
      <c r="E638" s="1655"/>
      <c r="F638" s="1655"/>
      <c r="G638" s="1655"/>
      <c r="H638" s="1655"/>
      <c r="I638" s="1655"/>
      <c r="J638" s="1655"/>
      <c r="K638" s="1655"/>
      <c r="L638" s="1655"/>
      <c r="M638" s="1655"/>
      <c r="N638" s="1655"/>
      <c r="O638" s="1655"/>
      <c r="P638" s="1655"/>
      <c r="Q638" s="1655"/>
      <c r="R638" s="1655"/>
      <c r="S638" s="1655"/>
      <c r="T638" s="1655"/>
      <c r="U638" s="1655"/>
      <c r="V638" s="1655"/>
      <c r="W638" s="1655"/>
      <c r="X638" s="1655"/>
      <c r="Y638" s="1655"/>
      <c r="Z638" s="1655"/>
      <c r="AA638" s="1655"/>
      <c r="AB638" s="1655"/>
      <c r="AC638" s="1655"/>
      <c r="AD638" s="1655"/>
      <c r="AE638" s="1655"/>
      <c r="AF638" s="1655"/>
      <c r="AG638" s="1655"/>
      <c r="AH638" s="1655"/>
      <c r="AI638" s="1655"/>
      <c r="AJ638" s="1655"/>
      <c r="AK638" s="1655"/>
      <c r="AL638" s="1655"/>
      <c r="AM638" s="1655"/>
      <c r="AN638" s="1655"/>
      <c r="AO638" s="1655"/>
      <c r="AP638" s="1655"/>
      <c r="AQ638" s="1655"/>
      <c r="AR638" s="1655"/>
      <c r="AS638" s="1655"/>
      <c r="AT638" s="1655"/>
      <c r="AU638" s="1655"/>
      <c r="AV638" s="1655"/>
      <c r="AW638" s="1655"/>
      <c r="AX638" s="1655"/>
      <c r="AY638" s="1655"/>
      <c r="AZ638" s="1655"/>
      <c r="BA638" s="1655"/>
      <c r="BB638" s="1655"/>
      <c r="BC638" s="1655"/>
      <c r="BD638" s="1655"/>
      <c r="BE638" s="1655"/>
      <c r="BF638" s="1655"/>
      <c r="BG638" s="1655"/>
      <c r="BH638" s="1655"/>
      <c r="BI638" s="1655"/>
      <c r="BJ638" s="1655"/>
      <c r="BK638" s="1655"/>
      <c r="BL638" s="1655"/>
      <c r="BM638" s="1655"/>
      <c r="BN638" s="1655"/>
      <c r="BO638" s="1655"/>
      <c r="BP638" s="1655"/>
      <c r="BQ638" s="1655"/>
      <c r="BR638" s="1655"/>
      <c r="BS638" s="1655"/>
      <c r="BT638" s="1655"/>
      <c r="BU638" s="1655"/>
      <c r="BV638" s="1655"/>
      <c r="BW638" s="1655"/>
      <c r="BX638" s="1655"/>
      <c r="BY638" s="1655"/>
      <c r="BZ638" s="1655"/>
      <c r="CA638" s="1655"/>
      <c r="CB638" s="1655"/>
      <c r="CC638" s="1655"/>
      <c r="CD638" s="1655"/>
      <c r="CE638" s="1655"/>
      <c r="CF638" s="1655"/>
      <c r="CG638" s="1655"/>
      <c r="CH638" s="1655"/>
      <c r="CI638" s="1655"/>
      <c r="CJ638" s="1655"/>
      <c r="CK638" s="1655"/>
      <c r="CL638" s="1655"/>
      <c r="CM638" s="1655"/>
      <c r="CN638" s="1655"/>
      <c r="CO638" s="1655"/>
      <c r="CP638" s="1655"/>
      <c r="CQ638" s="1655"/>
      <c r="CR638" s="1655"/>
      <c r="CS638" s="1655"/>
      <c r="CT638" s="1655"/>
      <c r="CU638" s="1655"/>
      <c r="CV638" s="1655"/>
      <c r="CW638" s="1655"/>
      <c r="CX638" s="1655"/>
      <c r="CY638" s="1655"/>
      <c r="CZ638" s="1655"/>
      <c r="DA638" s="1655"/>
      <c r="DB638" s="1655"/>
      <c r="DC638" s="1655"/>
      <c r="DD638" s="1655"/>
      <c r="DE638" s="1655"/>
      <c r="DF638" s="1655"/>
      <c r="DG638" s="1655"/>
      <c r="DH638" s="1655"/>
      <c r="DI638" s="1655"/>
      <c r="DJ638" s="1655"/>
      <c r="DK638" s="1655"/>
      <c r="DL638" s="1655"/>
      <c r="DM638" s="1655"/>
      <c r="DN638" s="1655"/>
      <c r="DO638" s="1655"/>
      <c r="DP638" s="1655"/>
      <c r="DQ638" s="1655"/>
      <c r="DR638" s="1655"/>
      <c r="DS638" s="1655"/>
      <c r="DT638" s="1655"/>
      <c r="DU638" s="1655"/>
      <c r="DV638" s="1655"/>
      <c r="DW638" s="1655"/>
      <c r="DX638" s="1655"/>
      <c r="DY638" s="1655"/>
      <c r="DZ638" s="1655"/>
      <c r="EA638" s="1655"/>
      <c r="EB638" s="1655"/>
      <c r="EC638" s="1655"/>
      <c r="ED638" s="1655"/>
      <c r="EE638" s="1655"/>
      <c r="EF638" s="1655"/>
      <c r="EG638" s="1655"/>
      <c r="EH638" s="1655"/>
      <c r="EI638" s="1655"/>
      <c r="EJ638" s="1655"/>
      <c r="EK638" s="1655"/>
      <c r="EL638" s="1655"/>
      <c r="EM638" s="1655"/>
      <c r="EN638" s="1655"/>
      <c r="EO638" s="1655"/>
      <c r="EP638" s="1655"/>
      <c r="EQ638" s="1655"/>
      <c r="ER638" s="1655"/>
      <c r="ES638" s="1655"/>
      <c r="ET638" s="1655"/>
      <c r="EU638" s="1655"/>
      <c r="EV638" s="1655"/>
      <c r="EW638" s="1655"/>
      <c r="EX638" s="1655"/>
      <c r="EY638" s="1655"/>
      <c r="EZ638" s="1655"/>
      <c r="FA638" s="1655"/>
      <c r="FB638" s="1655"/>
      <c r="FC638" s="1655"/>
      <c r="FD638" s="1655"/>
      <c r="FE638" s="1655"/>
      <c r="FF638" s="1655"/>
      <c r="FG638" s="1655"/>
      <c r="FH638" s="1655"/>
      <c r="FI638" s="1655"/>
    </row>
    <row r="639" spans="1:165">
      <c r="A639" s="1655"/>
      <c r="B639" s="1655"/>
      <c r="C639" s="1655"/>
      <c r="D639" s="1655"/>
      <c r="E639" s="1655"/>
      <c r="F639" s="1655"/>
      <c r="G639" s="1655"/>
      <c r="H639" s="1655"/>
      <c r="I639" s="1655"/>
      <c r="J639" s="1655"/>
      <c r="K639" s="1655"/>
      <c r="L639" s="1655"/>
      <c r="M639" s="1655"/>
      <c r="N639" s="1655"/>
      <c r="O639" s="1655"/>
      <c r="P639" s="1655"/>
      <c r="Q639" s="1655"/>
      <c r="R639" s="1655"/>
      <c r="S639" s="1655"/>
      <c r="T639" s="1655"/>
      <c r="U639" s="1655"/>
      <c r="V639" s="1655"/>
      <c r="W639" s="1655"/>
      <c r="X639" s="1655"/>
      <c r="Y639" s="1655"/>
      <c r="Z639" s="1655"/>
      <c r="AA639" s="1655"/>
      <c r="AB639" s="1655"/>
      <c r="AC639" s="1655"/>
      <c r="AD639" s="1655"/>
      <c r="AE639" s="1655"/>
      <c r="AF639" s="1655"/>
      <c r="AG639" s="1655"/>
      <c r="AH639" s="1655"/>
      <c r="AI639" s="1655"/>
      <c r="AJ639" s="1655"/>
      <c r="AK639" s="1655"/>
      <c r="AL639" s="1655"/>
      <c r="AM639" s="1655"/>
      <c r="AN639" s="1655"/>
      <c r="AO639" s="1655"/>
      <c r="AP639" s="1655"/>
      <c r="AQ639" s="1655"/>
      <c r="AR639" s="1655"/>
      <c r="AS639" s="1655"/>
      <c r="AT639" s="1655"/>
      <c r="AU639" s="1655"/>
      <c r="AV639" s="1655"/>
      <c r="AW639" s="1655"/>
      <c r="AX639" s="1655"/>
      <c r="AY639" s="1655"/>
      <c r="AZ639" s="1655"/>
      <c r="BA639" s="1655"/>
      <c r="BB639" s="1655"/>
      <c r="BC639" s="1655"/>
      <c r="BD639" s="1655"/>
      <c r="BE639" s="1655"/>
      <c r="BF639" s="1655"/>
      <c r="BG639" s="1655"/>
      <c r="BH639" s="1655"/>
      <c r="BI639" s="1655"/>
      <c r="BJ639" s="1655"/>
      <c r="BK639" s="1655"/>
      <c r="BL639" s="1655"/>
      <c r="BM639" s="1655"/>
      <c r="BN639" s="1655"/>
      <c r="BO639" s="1655"/>
      <c r="BP639" s="1655"/>
      <c r="BQ639" s="1655"/>
      <c r="BR639" s="1655"/>
      <c r="BS639" s="1655"/>
      <c r="BT639" s="1655"/>
      <c r="BU639" s="1655"/>
      <c r="BV639" s="1655"/>
      <c r="BW639" s="1655"/>
      <c r="BX639" s="1655"/>
      <c r="BY639" s="1655"/>
      <c r="BZ639" s="1655"/>
      <c r="CA639" s="1655"/>
      <c r="CB639" s="1655"/>
      <c r="CC639" s="1655"/>
      <c r="CD639" s="1655"/>
      <c r="CE639" s="1655"/>
      <c r="CF639" s="1655"/>
      <c r="CG639" s="1655"/>
      <c r="CH639" s="1655"/>
      <c r="CI639" s="1655"/>
      <c r="CJ639" s="1655"/>
      <c r="CK639" s="1655"/>
      <c r="CL639" s="1655"/>
      <c r="CM639" s="1655"/>
      <c r="CN639" s="1655"/>
      <c r="CO639" s="1655"/>
      <c r="CP639" s="1655"/>
      <c r="CQ639" s="1655"/>
      <c r="CR639" s="1655"/>
      <c r="CS639" s="1655"/>
      <c r="CT639" s="1655"/>
      <c r="CU639" s="1655"/>
      <c r="CV639" s="1655"/>
      <c r="CW639" s="1655"/>
      <c r="CX639" s="1655"/>
      <c r="CY639" s="1655"/>
      <c r="CZ639" s="1655"/>
      <c r="DA639" s="1655"/>
      <c r="DB639" s="1655"/>
      <c r="DC639" s="1655"/>
      <c r="DD639" s="1655"/>
      <c r="DE639" s="1655"/>
      <c r="DF639" s="1655"/>
      <c r="DG639" s="1655"/>
      <c r="DH639" s="1655"/>
      <c r="DI639" s="1655"/>
      <c r="DJ639" s="1655"/>
      <c r="DK639" s="1655"/>
      <c r="DL639" s="1655"/>
      <c r="DM639" s="1655"/>
      <c r="DN639" s="1655"/>
      <c r="DO639" s="1655"/>
      <c r="DP639" s="1655"/>
      <c r="DQ639" s="1655"/>
      <c r="DR639" s="1655"/>
      <c r="DS639" s="1655"/>
      <c r="DT639" s="1655"/>
      <c r="DU639" s="1655"/>
      <c r="DV639" s="1655"/>
      <c r="DW639" s="1655"/>
      <c r="DX639" s="1655"/>
      <c r="DY639" s="1655"/>
      <c r="DZ639" s="1655"/>
      <c r="EA639" s="1655"/>
      <c r="EB639" s="1655"/>
      <c r="EC639" s="1655"/>
      <c r="ED639" s="1655"/>
      <c r="EE639" s="1655"/>
      <c r="EF639" s="1655"/>
      <c r="EG639" s="1655"/>
      <c r="EH639" s="1655"/>
      <c r="EI639" s="1655"/>
      <c r="EJ639" s="1655"/>
      <c r="EK639" s="1655"/>
      <c r="EL639" s="1655"/>
      <c r="EM639" s="1655"/>
      <c r="EN639" s="1655"/>
      <c r="EO639" s="1655"/>
      <c r="EP639" s="1655"/>
      <c r="EQ639" s="1655"/>
      <c r="ER639" s="1655"/>
      <c r="ES639" s="1655"/>
      <c r="ET639" s="1655"/>
      <c r="EU639" s="1655"/>
      <c r="EV639" s="1655"/>
      <c r="EW639" s="1655"/>
      <c r="EX639" s="1655"/>
      <c r="EY639" s="1655"/>
      <c r="EZ639" s="1655"/>
      <c r="FA639" s="1655"/>
      <c r="FB639" s="1655"/>
      <c r="FC639" s="1655"/>
      <c r="FD639" s="1655"/>
      <c r="FE639" s="1655"/>
      <c r="FF639" s="1655"/>
      <c r="FG639" s="1655"/>
      <c r="FH639" s="1655"/>
      <c r="FI639" s="1655"/>
    </row>
    <row r="640" spans="1:165">
      <c r="A640" s="1655"/>
      <c r="B640" s="1655"/>
      <c r="C640" s="1655"/>
      <c r="D640" s="1655"/>
      <c r="E640" s="1655"/>
      <c r="F640" s="1655"/>
      <c r="G640" s="1655"/>
      <c r="H640" s="1655"/>
      <c r="I640" s="1655"/>
      <c r="J640" s="1655"/>
      <c r="K640" s="1655"/>
      <c r="L640" s="1655"/>
      <c r="M640" s="1655"/>
      <c r="N640" s="1655"/>
      <c r="O640" s="1655"/>
      <c r="P640" s="1655"/>
      <c r="Q640" s="1655"/>
      <c r="R640" s="1655"/>
      <c r="S640" s="1655"/>
      <c r="T640" s="1655"/>
      <c r="U640" s="1655"/>
      <c r="V640" s="1655"/>
      <c r="W640" s="1655"/>
      <c r="X640" s="1655"/>
      <c r="Y640" s="1655"/>
      <c r="Z640" s="1655"/>
      <c r="AA640" s="1655"/>
      <c r="AB640" s="1655"/>
      <c r="AC640" s="1655"/>
      <c r="AD640" s="1655"/>
      <c r="AE640" s="1655"/>
      <c r="AF640" s="1655"/>
      <c r="AG640" s="1655"/>
      <c r="AH640" s="1655"/>
      <c r="AI640" s="1655"/>
      <c r="AJ640" s="1655"/>
      <c r="AK640" s="1655"/>
      <c r="AL640" s="1655"/>
      <c r="AM640" s="1655"/>
      <c r="AN640" s="1655"/>
      <c r="AO640" s="1655"/>
      <c r="AP640" s="1655"/>
      <c r="AQ640" s="1655"/>
      <c r="AR640" s="1655"/>
      <c r="AS640" s="1655"/>
      <c r="AT640" s="1655"/>
      <c r="AU640" s="1655"/>
      <c r="AV640" s="1655"/>
      <c r="AW640" s="1655"/>
      <c r="AX640" s="1655"/>
      <c r="AY640" s="1655"/>
      <c r="AZ640" s="1655"/>
      <c r="BA640" s="1655"/>
      <c r="BB640" s="1655"/>
      <c r="BC640" s="1655"/>
      <c r="BD640" s="1655"/>
      <c r="BE640" s="1655"/>
      <c r="BF640" s="1655"/>
      <c r="BG640" s="1655"/>
      <c r="BH640" s="1655"/>
      <c r="BI640" s="1655"/>
      <c r="BJ640" s="1655"/>
      <c r="BK640" s="1655"/>
      <c r="BL640" s="1655"/>
      <c r="BM640" s="1655"/>
      <c r="BN640" s="1655"/>
      <c r="BO640" s="1655"/>
      <c r="BP640" s="1655"/>
      <c r="BQ640" s="1655"/>
      <c r="BR640" s="1655"/>
      <c r="BS640" s="1655"/>
      <c r="BT640" s="1655"/>
      <c r="BU640" s="1655"/>
      <c r="BV640" s="1655"/>
      <c r="BW640" s="1655"/>
      <c r="BX640" s="1655"/>
      <c r="BY640" s="1655"/>
      <c r="BZ640" s="1655"/>
      <c r="CA640" s="1655"/>
      <c r="CB640" s="1655"/>
      <c r="CC640" s="1655"/>
      <c r="CD640" s="1655"/>
      <c r="CE640" s="1655"/>
      <c r="CF640" s="1655"/>
      <c r="CG640" s="1655"/>
      <c r="CH640" s="1655"/>
      <c r="CI640" s="1655"/>
      <c r="CJ640" s="1655"/>
      <c r="CK640" s="1655"/>
      <c r="CL640" s="1655"/>
      <c r="CM640" s="1655"/>
      <c r="CN640" s="1655"/>
      <c r="CO640" s="1655"/>
      <c r="CP640" s="1655"/>
      <c r="CQ640" s="1655"/>
      <c r="CR640" s="1655"/>
      <c r="CS640" s="1655"/>
      <c r="CT640" s="1655"/>
      <c r="CU640" s="1655"/>
      <c r="CV640" s="1655"/>
      <c r="CW640" s="1655"/>
      <c r="CX640" s="1655"/>
      <c r="CY640" s="1655"/>
      <c r="CZ640" s="1655"/>
      <c r="DA640" s="1655"/>
      <c r="DB640" s="1655"/>
      <c r="DC640" s="1655"/>
      <c r="DD640" s="1655"/>
      <c r="DE640" s="1655"/>
      <c r="DF640" s="1655"/>
      <c r="DG640" s="1655"/>
      <c r="DH640" s="1655"/>
      <c r="DI640" s="1655"/>
      <c r="DJ640" s="1655"/>
      <c r="DK640" s="1655"/>
      <c r="DL640" s="1655"/>
      <c r="DM640" s="1655"/>
      <c r="DN640" s="1655"/>
      <c r="DO640" s="1655"/>
      <c r="DP640" s="1655"/>
      <c r="DQ640" s="1655"/>
      <c r="DR640" s="1655"/>
      <c r="DS640" s="1655"/>
      <c r="DT640" s="1655"/>
      <c r="DU640" s="1655"/>
      <c r="DV640" s="1655"/>
      <c r="DW640" s="1655"/>
      <c r="DX640" s="1655"/>
      <c r="DY640" s="1655"/>
      <c r="DZ640" s="1655"/>
      <c r="EA640" s="1655"/>
      <c r="EB640" s="1655"/>
      <c r="EC640" s="1655"/>
      <c r="ED640" s="1655"/>
      <c r="EE640" s="1655"/>
      <c r="EF640" s="1655"/>
      <c r="EG640" s="1655"/>
      <c r="EH640" s="1655"/>
      <c r="EI640" s="1655"/>
      <c r="EJ640" s="1655"/>
      <c r="EK640" s="1655"/>
      <c r="EL640" s="1655"/>
      <c r="EM640" s="1655"/>
      <c r="EN640" s="1655"/>
      <c r="EO640" s="1655"/>
      <c r="EP640" s="1655"/>
      <c r="EQ640" s="1655"/>
      <c r="ER640" s="1655"/>
      <c r="ES640" s="1655"/>
      <c r="ET640" s="1655"/>
      <c r="EU640" s="1655"/>
      <c r="EV640" s="1655"/>
      <c r="EW640" s="1655"/>
      <c r="EX640" s="1655"/>
      <c r="EY640" s="1655"/>
      <c r="EZ640" s="1655"/>
      <c r="FA640" s="1655"/>
      <c r="FB640" s="1655"/>
      <c r="FC640" s="1655"/>
      <c r="FD640" s="1655"/>
      <c r="FE640" s="1655"/>
      <c r="FF640" s="1655"/>
      <c r="FG640" s="1655"/>
      <c r="FH640" s="1655"/>
      <c r="FI640" s="1655"/>
    </row>
    <row r="641" spans="1:165">
      <c r="A641" s="1655"/>
      <c r="B641" s="1655"/>
      <c r="C641" s="1655"/>
      <c r="D641" s="1655"/>
      <c r="E641" s="1655"/>
      <c r="F641" s="1655"/>
      <c r="G641" s="1655"/>
      <c r="H641" s="1655"/>
      <c r="I641" s="1655"/>
      <c r="J641" s="1655"/>
      <c r="K641" s="1655"/>
      <c r="L641" s="1655"/>
      <c r="M641" s="1655"/>
      <c r="N641" s="1655"/>
      <c r="O641" s="1655"/>
      <c r="P641" s="1655"/>
      <c r="Q641" s="1655"/>
      <c r="R641" s="1655"/>
      <c r="S641" s="1655"/>
      <c r="T641" s="1655"/>
      <c r="U641" s="1655"/>
      <c r="V641" s="1655"/>
      <c r="W641" s="1655"/>
      <c r="X641" s="1655"/>
      <c r="Y641" s="1655"/>
      <c r="Z641" s="1655"/>
      <c r="AA641" s="1655"/>
      <c r="AB641" s="1655"/>
      <c r="AC641" s="1655"/>
      <c r="AD641" s="1655"/>
      <c r="AE641" s="1655"/>
      <c r="AF641" s="1655"/>
      <c r="AG641" s="1655"/>
      <c r="AH641" s="1655"/>
      <c r="AI641" s="1655"/>
      <c r="AJ641" s="1655"/>
      <c r="AK641" s="1655"/>
      <c r="AL641" s="1655"/>
      <c r="AM641" s="1655"/>
      <c r="AN641" s="1655"/>
      <c r="AO641" s="1655"/>
      <c r="AP641" s="1655"/>
      <c r="AQ641" s="1655"/>
      <c r="AR641" s="1655"/>
      <c r="AS641" s="1655"/>
      <c r="AT641" s="1655"/>
      <c r="AU641" s="1655"/>
      <c r="AV641" s="1655"/>
      <c r="AW641" s="1655"/>
      <c r="AX641" s="1655"/>
      <c r="AY641" s="1655"/>
      <c r="AZ641" s="1655"/>
      <c r="BA641" s="1655"/>
      <c r="BB641" s="1655"/>
      <c r="BC641" s="1655"/>
      <c r="BD641" s="1655"/>
      <c r="BE641" s="1655"/>
      <c r="BF641" s="1655"/>
      <c r="BG641" s="1655"/>
      <c r="BH641" s="1655"/>
      <c r="BI641" s="1655"/>
      <c r="BJ641" s="1655"/>
      <c r="BK641" s="1655"/>
      <c r="BL641" s="1655"/>
      <c r="BM641" s="1655"/>
      <c r="BN641" s="1655"/>
      <c r="BO641" s="1655"/>
      <c r="BP641" s="1655"/>
      <c r="BQ641" s="1655"/>
      <c r="BR641" s="1655"/>
      <c r="BS641" s="1655"/>
      <c r="BT641" s="1655"/>
      <c r="BU641" s="1655"/>
      <c r="BV641" s="1655"/>
      <c r="BW641" s="1655"/>
      <c r="BX641" s="1655"/>
      <c r="BY641" s="1655"/>
      <c r="BZ641" s="1655"/>
      <c r="CA641" s="1655"/>
      <c r="CB641" s="1655"/>
      <c r="CC641" s="1655"/>
      <c r="CD641" s="1655"/>
      <c r="CE641" s="1655"/>
      <c r="CF641" s="1655"/>
      <c r="CG641" s="1655"/>
      <c r="CH641" s="1655"/>
      <c r="CI641" s="1655"/>
      <c r="CJ641" s="1655"/>
      <c r="CK641" s="1655"/>
      <c r="CL641" s="1655"/>
      <c r="CM641" s="1655"/>
      <c r="CN641" s="1655"/>
      <c r="CO641" s="1655"/>
      <c r="CP641" s="1655"/>
      <c r="CQ641" s="1655"/>
      <c r="CR641" s="1655"/>
      <c r="CS641" s="1655"/>
      <c r="CT641" s="1655"/>
      <c r="CU641" s="1655"/>
      <c r="CV641" s="1655"/>
      <c r="CW641" s="1655"/>
      <c r="CX641" s="1655"/>
      <c r="CY641" s="1655"/>
      <c r="CZ641" s="1655"/>
      <c r="DA641" s="1655"/>
      <c r="DB641" s="1655"/>
      <c r="DC641" s="1655"/>
      <c r="DD641" s="1655"/>
      <c r="DE641" s="1655"/>
      <c r="DF641" s="1655"/>
      <c r="DG641" s="1655"/>
      <c r="DH641" s="1655"/>
      <c r="DI641" s="1655"/>
      <c r="DJ641" s="1655"/>
      <c r="DK641" s="1655"/>
      <c r="DL641" s="1655"/>
      <c r="DM641" s="1655"/>
      <c r="DN641" s="1655"/>
      <c r="DO641" s="1655"/>
      <c r="DP641" s="1655"/>
      <c r="DQ641" s="1655"/>
      <c r="DR641" s="1655"/>
      <c r="DS641" s="1655"/>
      <c r="DT641" s="1655"/>
      <c r="DU641" s="1655"/>
      <c r="DV641" s="1655"/>
      <c r="DW641" s="1655"/>
      <c r="DX641" s="1655"/>
      <c r="DY641" s="1655"/>
      <c r="DZ641" s="1655"/>
      <c r="EA641" s="1655"/>
      <c r="EB641" s="1655"/>
      <c r="EC641" s="1655"/>
      <c r="ED641" s="1655"/>
      <c r="EE641" s="1655"/>
      <c r="EF641" s="1655"/>
      <c r="EG641" s="1655"/>
      <c r="EH641" s="1655"/>
      <c r="EI641" s="1655"/>
      <c r="EJ641" s="1655"/>
      <c r="EK641" s="1655"/>
      <c r="EL641" s="1655"/>
      <c r="EM641" s="1655"/>
      <c r="EN641" s="1655"/>
      <c r="EO641" s="1655"/>
      <c r="EP641" s="1655"/>
      <c r="EQ641" s="1655"/>
      <c r="ER641" s="1655"/>
      <c r="ES641" s="1655"/>
      <c r="ET641" s="1655"/>
      <c r="EU641" s="1655"/>
      <c r="EV641" s="1655"/>
      <c r="EW641" s="1655"/>
      <c r="EX641" s="1655"/>
      <c r="EY641" s="1655"/>
      <c r="EZ641" s="1655"/>
      <c r="FA641" s="1655"/>
      <c r="FB641" s="1655"/>
      <c r="FC641" s="1655"/>
      <c r="FD641" s="1655"/>
      <c r="FE641" s="1655"/>
      <c r="FF641" s="1655"/>
      <c r="FG641" s="1655"/>
      <c r="FH641" s="1655"/>
      <c r="FI641" s="1655"/>
    </row>
    <row r="642" spans="1:165">
      <c r="A642" s="1655"/>
      <c r="B642" s="1655"/>
      <c r="C642" s="1655"/>
      <c r="D642" s="1655"/>
      <c r="E642" s="1655"/>
      <c r="F642" s="1655"/>
      <c r="G642" s="1655"/>
      <c r="H642" s="1655"/>
      <c r="I642" s="1655"/>
      <c r="J642" s="1655"/>
      <c r="K642" s="1655"/>
      <c r="L642" s="1655"/>
      <c r="M642" s="1655"/>
      <c r="N642" s="1655"/>
      <c r="O642" s="1655"/>
      <c r="P642" s="1655"/>
      <c r="Q642" s="1655"/>
      <c r="R642" s="1655"/>
      <c r="S642" s="1655"/>
      <c r="T642" s="1655"/>
      <c r="U642" s="1655"/>
      <c r="V642" s="1655"/>
      <c r="W642" s="1655"/>
      <c r="X642" s="1655"/>
      <c r="Y642" s="1655"/>
      <c r="Z642" s="1655"/>
      <c r="AA642" s="1655"/>
      <c r="AB642" s="1655"/>
      <c r="AC642" s="1655"/>
      <c r="AD642" s="1655"/>
      <c r="AE642" s="1655"/>
      <c r="AF642" s="1655"/>
      <c r="AG642" s="1655"/>
      <c r="AH642" s="1655"/>
      <c r="AI642" s="1655"/>
      <c r="AJ642" s="1655"/>
      <c r="AK642" s="1655"/>
      <c r="AL642" s="1655"/>
      <c r="AM642" s="1655"/>
      <c r="AN642" s="1655"/>
      <c r="AO642" s="1655"/>
      <c r="AP642" s="1655"/>
      <c r="AQ642" s="1655"/>
      <c r="AR642" s="1655"/>
      <c r="AS642" s="1655"/>
      <c r="AT642" s="1655"/>
      <c r="AU642" s="1655"/>
      <c r="AV642" s="1655"/>
      <c r="AW642" s="1655"/>
      <c r="AX642" s="1655"/>
      <c r="AY642" s="1655"/>
      <c r="AZ642" s="1655"/>
      <c r="BA642" s="1655"/>
      <c r="BB642" s="1655"/>
      <c r="BC642" s="1655"/>
      <c r="BD642" s="1655"/>
      <c r="BE642" s="1655"/>
      <c r="BF642" s="1655"/>
      <c r="BG642" s="1655"/>
      <c r="BH642" s="1655"/>
      <c r="BI642" s="1655"/>
      <c r="BJ642" s="1655"/>
      <c r="BK642" s="1655"/>
      <c r="BL642" s="1655"/>
      <c r="BM642" s="1655"/>
      <c r="BN642" s="1655"/>
      <c r="BO642" s="1655"/>
      <c r="BP642" s="1655"/>
      <c r="BQ642" s="1655"/>
      <c r="BR642" s="1655"/>
      <c r="BS642" s="1655"/>
      <c r="BT642" s="1655"/>
      <c r="BU642" s="1655"/>
      <c r="BV642" s="1655"/>
      <c r="BW642" s="1655"/>
      <c r="BX642" s="1655"/>
      <c r="BY642" s="1655"/>
      <c r="BZ642" s="1655"/>
      <c r="CA642" s="1655"/>
      <c r="CB642" s="1655"/>
      <c r="CC642" s="1655"/>
      <c r="CD642" s="1655"/>
      <c r="CE642" s="1655"/>
      <c r="CF642" s="1655"/>
      <c r="CG642" s="1655"/>
      <c r="CH642" s="1655"/>
      <c r="CI642" s="1655"/>
      <c r="CJ642" s="1655"/>
      <c r="CK642" s="1655"/>
      <c r="CL642" s="1655"/>
      <c r="CM642" s="1655"/>
      <c r="CN642" s="1655"/>
      <c r="CO642" s="1655"/>
      <c r="CP642" s="1655"/>
      <c r="CQ642" s="1655"/>
      <c r="CR642" s="1655"/>
      <c r="CS642" s="1655"/>
      <c r="CT642" s="1655"/>
      <c r="CU642" s="1655"/>
      <c r="CV642" s="1655"/>
      <c r="CW642" s="1655"/>
      <c r="CX642" s="1655"/>
      <c r="CY642" s="1655"/>
      <c r="CZ642" s="1655"/>
      <c r="DA642" s="1655"/>
      <c r="DB642" s="1655"/>
      <c r="DC642" s="1655"/>
      <c r="DD642" s="1655"/>
      <c r="DE642" s="1655"/>
      <c r="DF642" s="1655"/>
      <c r="DG642" s="1655"/>
      <c r="DH642" s="1655"/>
      <c r="DI642" s="1655"/>
      <c r="DJ642" s="1655"/>
      <c r="DK642" s="1655"/>
      <c r="DL642" s="1655"/>
      <c r="DM642" s="1655"/>
      <c r="DN642" s="1655"/>
      <c r="DO642" s="1655"/>
      <c r="DP642" s="1655"/>
      <c r="DQ642" s="1655"/>
      <c r="DR642" s="1655"/>
      <c r="DS642" s="1655"/>
      <c r="DT642" s="1655"/>
      <c r="DU642" s="1655"/>
      <c r="DV642" s="1655"/>
      <c r="DW642" s="1655"/>
      <c r="DX642" s="1655"/>
      <c r="DY642" s="1655"/>
      <c r="DZ642" s="1655"/>
      <c r="EA642" s="1655"/>
      <c r="EB642" s="1655"/>
      <c r="EC642" s="1655"/>
      <c r="ED642" s="1655"/>
      <c r="EE642" s="1655"/>
      <c r="EF642" s="1655"/>
      <c r="EG642" s="1655"/>
      <c r="EH642" s="1655"/>
      <c r="EI642" s="1655"/>
      <c r="EJ642" s="1655"/>
      <c r="EK642" s="1655"/>
      <c r="EL642" s="1655"/>
      <c r="EM642" s="1655"/>
      <c r="EN642" s="1655"/>
      <c r="EO642" s="1655"/>
      <c r="EP642" s="1655"/>
      <c r="EQ642" s="1655"/>
      <c r="ER642" s="1655"/>
      <c r="ES642" s="1655"/>
      <c r="ET642" s="1655"/>
      <c r="EU642" s="1655"/>
      <c r="EV642" s="1655"/>
      <c r="EW642" s="1655"/>
      <c r="EX642" s="1655"/>
      <c r="EY642" s="1655"/>
      <c r="EZ642" s="1655"/>
      <c r="FA642" s="1655"/>
      <c r="FB642" s="1655"/>
      <c r="FC642" s="1655"/>
      <c r="FD642" s="1655"/>
      <c r="FE642" s="1655"/>
      <c r="FF642" s="1655"/>
      <c r="FG642" s="1655"/>
      <c r="FH642" s="1655"/>
      <c r="FI642" s="1655"/>
    </row>
    <row r="643" spans="1:165">
      <c r="A643" s="1655"/>
      <c r="B643" s="1655"/>
      <c r="C643" s="1655"/>
      <c r="D643" s="1655"/>
      <c r="E643" s="1655"/>
      <c r="F643" s="1655"/>
      <c r="G643" s="1655"/>
      <c r="H643" s="1655"/>
      <c r="I643" s="1655"/>
      <c r="J643" s="1655"/>
      <c r="K643" s="1655"/>
      <c r="L643" s="1655"/>
      <c r="M643" s="1655"/>
      <c r="N643" s="1655"/>
      <c r="O643" s="1655"/>
      <c r="P643" s="1655"/>
      <c r="Q643" s="1655"/>
      <c r="R643" s="1655"/>
      <c r="S643" s="1655"/>
      <c r="T643" s="1655"/>
      <c r="U643" s="1655"/>
      <c r="V643" s="1655"/>
      <c r="W643" s="1655"/>
      <c r="X643" s="1655"/>
      <c r="Y643" s="1655"/>
      <c r="Z643" s="1655"/>
      <c r="AA643" s="1655"/>
      <c r="AB643" s="1655"/>
      <c r="AC643" s="1655"/>
      <c r="AD643" s="1655"/>
      <c r="AE643" s="1655"/>
      <c r="AF643" s="1655"/>
      <c r="AG643" s="1655"/>
      <c r="AH643" s="1655"/>
      <c r="AI643" s="1655"/>
      <c r="AJ643" s="1655"/>
      <c r="AK643" s="1655"/>
      <c r="AL643" s="1655"/>
      <c r="AM643" s="1655"/>
      <c r="AN643" s="1655"/>
      <c r="AO643" s="1655"/>
      <c r="AP643" s="1655"/>
      <c r="AQ643" s="1655"/>
      <c r="AR643" s="1655"/>
      <c r="AS643" s="1655"/>
      <c r="AT643" s="1655"/>
      <c r="AU643" s="1655"/>
      <c r="AV643" s="1655"/>
      <c r="AW643" s="1655"/>
      <c r="AX643" s="1655"/>
      <c r="AY643" s="1655"/>
      <c r="AZ643" s="1655"/>
      <c r="BA643" s="1655"/>
      <c r="BB643" s="1655"/>
      <c r="BC643" s="1655"/>
      <c r="BD643" s="1655"/>
      <c r="BE643" s="1655"/>
      <c r="BF643" s="1655"/>
      <c r="BG643" s="1655"/>
      <c r="BH643" s="1655"/>
      <c r="BI643" s="1655"/>
      <c r="BJ643" s="1655"/>
      <c r="BK643" s="1655"/>
      <c r="BL643" s="1655"/>
      <c r="BM643" s="1655"/>
      <c r="BN643" s="1655"/>
      <c r="BO643" s="1655"/>
      <c r="BP643" s="1655"/>
      <c r="BQ643" s="1655"/>
      <c r="BR643" s="1655"/>
      <c r="BS643" s="1655"/>
      <c r="BT643" s="1655"/>
      <c r="BU643" s="1655"/>
      <c r="BV643" s="1655"/>
      <c r="BW643" s="1655"/>
      <c r="BX643" s="1655"/>
      <c r="BY643" s="1655"/>
      <c r="BZ643" s="1655"/>
      <c r="CA643" s="1655"/>
      <c r="CB643" s="1655"/>
      <c r="CC643" s="1655"/>
      <c r="CD643" s="1655"/>
      <c r="CE643" s="1655"/>
      <c r="CF643" s="1655"/>
      <c r="CG643" s="1655"/>
      <c r="CH643" s="1655"/>
      <c r="CI643" s="1655"/>
      <c r="CJ643" s="1655"/>
      <c r="CK643" s="1655"/>
      <c r="CL643" s="1655"/>
      <c r="CM643" s="1655"/>
      <c r="CN643" s="1655"/>
      <c r="CO643" s="1655"/>
      <c r="CP643" s="1655"/>
      <c r="CQ643" s="1655"/>
      <c r="CR643" s="1655"/>
      <c r="CS643" s="1655"/>
      <c r="CT643" s="1655"/>
      <c r="CU643" s="1655"/>
      <c r="CV643" s="1655"/>
      <c r="CW643" s="1655"/>
      <c r="CX643" s="1655"/>
      <c r="CY643" s="1655"/>
      <c r="CZ643" s="1655"/>
      <c r="DA643" s="1655"/>
      <c r="DB643" s="1655"/>
      <c r="DC643" s="1655"/>
      <c r="DD643" s="1655"/>
      <c r="DE643" s="1655"/>
      <c r="DF643" s="1655"/>
      <c r="DG643" s="1655"/>
      <c r="DH643" s="1655"/>
      <c r="DI643" s="1655"/>
      <c r="DJ643" s="1655"/>
      <c r="DK643" s="1655"/>
      <c r="DL643" s="1655"/>
      <c r="DM643" s="1655"/>
      <c r="DN643" s="1655"/>
      <c r="DO643" s="1655"/>
      <c r="DP643" s="1655"/>
      <c r="DQ643" s="1655"/>
      <c r="DR643" s="1655"/>
      <c r="DS643" s="1655"/>
      <c r="DT643" s="1655"/>
      <c r="DU643" s="1655"/>
      <c r="DV643" s="1655"/>
      <c r="DW643" s="1655"/>
      <c r="DX643" s="1655"/>
      <c r="DY643" s="1655"/>
      <c r="DZ643" s="1655"/>
      <c r="EA643" s="1655"/>
      <c r="EB643" s="1655"/>
      <c r="EC643" s="1655"/>
      <c r="ED643" s="1655"/>
      <c r="EE643" s="1655"/>
      <c r="EF643" s="1655"/>
      <c r="EG643" s="1655"/>
      <c r="EH643" s="1655"/>
      <c r="EI643" s="1655"/>
      <c r="EJ643" s="1655"/>
      <c r="EK643" s="1655"/>
      <c r="EL643" s="1655"/>
      <c r="EM643" s="1655"/>
      <c r="EN643" s="1655"/>
      <c r="EO643" s="1655"/>
      <c r="EP643" s="1655"/>
      <c r="EQ643" s="1655"/>
      <c r="ER643" s="1655"/>
      <c r="ES643" s="1655"/>
      <c r="ET643" s="1655"/>
      <c r="EU643" s="1655"/>
      <c r="EV643" s="1655"/>
      <c r="EW643" s="1655"/>
      <c r="EX643" s="1655"/>
      <c r="EY643" s="1655"/>
      <c r="EZ643" s="1655"/>
      <c r="FA643" s="1655"/>
      <c r="FB643" s="1655"/>
      <c r="FC643" s="1655"/>
      <c r="FD643" s="1655"/>
      <c r="FE643" s="1655"/>
      <c r="FF643" s="1655"/>
      <c r="FG643" s="1655"/>
      <c r="FH643" s="1655"/>
      <c r="FI643" s="1655"/>
    </row>
    <row r="644" spans="1:165">
      <c r="A644" s="1655"/>
      <c r="B644" s="1655"/>
      <c r="C644" s="1655"/>
      <c r="D644" s="1655"/>
      <c r="E644" s="1655"/>
      <c r="F644" s="1655"/>
      <c r="G644" s="1655"/>
      <c r="H644" s="1655"/>
      <c r="I644" s="1655"/>
      <c r="J644" s="1655"/>
      <c r="K644" s="1655"/>
      <c r="L644" s="1655"/>
      <c r="M644" s="1655"/>
      <c r="N644" s="1655"/>
      <c r="O644" s="1655"/>
      <c r="P644" s="1655"/>
      <c r="Q644" s="1655"/>
      <c r="R644" s="1655"/>
      <c r="S644" s="1655"/>
      <c r="T644" s="1655"/>
      <c r="U644" s="1655"/>
      <c r="V644" s="1655"/>
      <c r="W644" s="1655"/>
      <c r="X644" s="1655"/>
      <c r="Y644" s="1655"/>
      <c r="Z644" s="1655"/>
      <c r="AA644" s="1655"/>
      <c r="AB644" s="1655"/>
      <c r="AC644" s="1655"/>
      <c r="AD644" s="1655"/>
      <c r="AE644" s="1655"/>
      <c r="AF644" s="1655"/>
      <c r="AG644" s="1655"/>
      <c r="AH644" s="1655"/>
      <c r="AI644" s="1655"/>
      <c r="AJ644" s="1655"/>
      <c r="AK644" s="1655"/>
      <c r="AL644" s="1655"/>
      <c r="AM644" s="1655"/>
      <c r="AN644" s="1655"/>
      <c r="AO644" s="1655"/>
      <c r="AP644" s="1655"/>
      <c r="AQ644" s="1655"/>
      <c r="AR644" s="1655"/>
      <c r="AS644" s="1655"/>
      <c r="AT644" s="1655"/>
      <c r="AU644" s="1655"/>
      <c r="AV644" s="1655"/>
      <c r="AW644" s="1655"/>
      <c r="AX644" s="1655"/>
      <c r="AY644" s="1655"/>
      <c r="AZ644" s="1655"/>
      <c r="BA644" s="1655"/>
      <c r="BB644" s="1655"/>
      <c r="BC644" s="1655"/>
      <c r="BD644" s="1655"/>
      <c r="BE644" s="1655"/>
      <c r="BF644" s="1655"/>
      <c r="BG644" s="1655"/>
      <c r="BH644" s="1655"/>
      <c r="BI644" s="1655"/>
      <c r="BJ644" s="1655"/>
      <c r="BK644" s="1655"/>
      <c r="BL644" s="1655"/>
      <c r="BM644" s="1655"/>
      <c r="BN644" s="1655"/>
      <c r="BO644" s="1655"/>
      <c r="BP644" s="1655"/>
      <c r="BQ644" s="1655"/>
      <c r="BR644" s="1655"/>
      <c r="BS644" s="1655"/>
      <c r="BT644" s="1655"/>
      <c r="BU644" s="1655"/>
      <c r="BV644" s="1655"/>
      <c r="BW644" s="1655"/>
      <c r="BX644" s="1655"/>
      <c r="BY644" s="1655"/>
      <c r="BZ644" s="1655"/>
      <c r="CA644" s="1655"/>
      <c r="CB644" s="1655"/>
      <c r="CC644" s="1655"/>
      <c r="CD644" s="1655"/>
      <c r="CE644" s="1655"/>
      <c r="CF644" s="1655"/>
      <c r="CG644" s="1655"/>
      <c r="CH644" s="1655"/>
      <c r="CI644" s="1655"/>
      <c r="CJ644" s="1655"/>
      <c r="CK644" s="1655"/>
      <c r="CL644" s="1655"/>
      <c r="CM644" s="1655"/>
      <c r="CN644" s="1655"/>
      <c r="CO644" s="1655"/>
      <c r="CP644" s="1655"/>
      <c r="CQ644" s="1655"/>
      <c r="CR644" s="1655"/>
      <c r="CS644" s="1655"/>
      <c r="CT644" s="1655"/>
      <c r="CU644" s="1655"/>
      <c r="CV644" s="1655"/>
      <c r="CW644" s="1655"/>
      <c r="CX644" s="1655"/>
      <c r="CY644" s="1655"/>
      <c r="CZ644" s="1655"/>
      <c r="DA644" s="1655"/>
      <c r="DB644" s="1655"/>
      <c r="DC644" s="1655"/>
      <c r="DD644" s="1655"/>
      <c r="DE644" s="1655"/>
      <c r="DF644" s="1655"/>
      <c r="DG644" s="1655"/>
      <c r="DH644" s="1655"/>
      <c r="DI644" s="1655"/>
      <c r="DJ644" s="1655"/>
      <c r="DK644" s="1655"/>
      <c r="DL644" s="1655"/>
      <c r="DM644" s="1655"/>
      <c r="DN644" s="1655"/>
      <c r="DO644" s="1655"/>
      <c r="DP644" s="1655"/>
      <c r="DQ644" s="1655"/>
      <c r="DR644" s="1655"/>
      <c r="DS644" s="1655"/>
      <c r="DT644" s="1655"/>
      <c r="DU644" s="1655"/>
      <c r="DV644" s="1655"/>
      <c r="DW644" s="1655"/>
      <c r="DX644" s="1655"/>
      <c r="DY644" s="1655"/>
      <c r="DZ644" s="1655"/>
      <c r="EA644" s="1655"/>
      <c r="EB644" s="1655"/>
      <c r="EC644" s="1655"/>
      <c r="ED644" s="1655"/>
      <c r="EE644" s="1655"/>
      <c r="EF644" s="1655"/>
      <c r="EG644" s="1655"/>
      <c r="EH644" s="1655"/>
      <c r="EI644" s="1655"/>
      <c r="EJ644" s="1655"/>
      <c r="EK644" s="1655"/>
      <c r="EL644" s="1655"/>
      <c r="EM644" s="1655"/>
      <c r="EN644" s="1655"/>
      <c r="EO644" s="1655"/>
      <c r="EP644" s="1655"/>
      <c r="EQ644" s="1655"/>
      <c r="ER644" s="1655"/>
      <c r="ES644" s="1655"/>
      <c r="ET644" s="1655"/>
      <c r="EU644" s="1655"/>
      <c r="EV644" s="1655"/>
      <c r="EW644" s="1655"/>
      <c r="EX644" s="1655"/>
      <c r="EY644" s="1655"/>
      <c r="EZ644" s="1655"/>
      <c r="FA644" s="1655"/>
      <c r="FB644" s="1655"/>
      <c r="FC644" s="1655"/>
      <c r="FD644" s="1655"/>
      <c r="FE644" s="1655"/>
      <c r="FF644" s="1655"/>
      <c r="FG644" s="1655"/>
      <c r="FH644" s="1655"/>
      <c r="FI644" s="1655"/>
    </row>
    <row r="645" spans="1:165">
      <c r="A645" s="1655"/>
      <c r="B645" s="1655"/>
      <c r="C645" s="1655"/>
      <c r="D645" s="1655"/>
      <c r="E645" s="1655"/>
      <c r="F645" s="1655"/>
      <c r="G645" s="1655"/>
      <c r="H645" s="1655"/>
      <c r="I645" s="1655"/>
      <c r="J645" s="1655"/>
      <c r="K645" s="1655"/>
      <c r="L645" s="1655"/>
      <c r="M645" s="1655"/>
      <c r="N645" s="1655"/>
      <c r="O645" s="1655"/>
      <c r="P645" s="1655"/>
      <c r="Q645" s="1655"/>
      <c r="R645" s="1655"/>
      <c r="S645" s="1655"/>
      <c r="T645" s="1655"/>
      <c r="U645" s="1655"/>
      <c r="V645" s="1655"/>
      <c r="W645" s="1655"/>
      <c r="X645" s="1655"/>
      <c r="Y645" s="1655"/>
      <c r="Z645" s="1655"/>
      <c r="AA645" s="1655"/>
      <c r="AB645" s="1655"/>
      <c r="AC645" s="1655"/>
      <c r="AD645" s="1655"/>
      <c r="AE645" s="1655"/>
      <c r="AF645" s="1655"/>
      <c r="AG645" s="1655"/>
      <c r="AH645" s="1655"/>
      <c r="AI645" s="1655"/>
      <c r="AJ645" s="1655"/>
      <c r="AK645" s="1655"/>
      <c r="AL645" s="1655"/>
      <c r="AM645" s="1655"/>
      <c r="AN645" s="1655"/>
      <c r="AO645" s="1655"/>
      <c r="AP645" s="1655"/>
      <c r="AQ645" s="1655"/>
      <c r="AR645" s="1655"/>
      <c r="AS645" s="1655"/>
      <c r="AT645" s="1655"/>
      <c r="AU645" s="1655"/>
      <c r="AV645" s="1655"/>
      <c r="AW645" s="1655"/>
      <c r="AX645" s="1655"/>
      <c r="AY645" s="1655"/>
      <c r="AZ645" s="1655"/>
      <c r="BA645" s="1655"/>
      <c r="BB645" s="1655"/>
      <c r="BC645" s="1655"/>
      <c r="BD645" s="1655"/>
      <c r="BE645" s="1655"/>
      <c r="BF645" s="1655"/>
      <c r="BG645" s="1655"/>
      <c r="BH645" s="1655"/>
      <c r="BI645" s="1655"/>
      <c r="BJ645" s="1655"/>
      <c r="BK645" s="1655"/>
      <c r="BL645" s="1655"/>
      <c r="BM645" s="1655"/>
      <c r="BN645" s="1655"/>
      <c r="BO645" s="1655"/>
      <c r="BP645" s="1655"/>
      <c r="BQ645" s="1655"/>
      <c r="BR645" s="1655"/>
      <c r="BS645" s="1655"/>
      <c r="BT645" s="1655"/>
      <c r="BU645" s="1655"/>
      <c r="BV645" s="1655"/>
      <c r="BW645" s="1655"/>
      <c r="BX645" s="1655"/>
      <c r="BY645" s="1655"/>
      <c r="BZ645" s="1655"/>
      <c r="CA645" s="1655"/>
      <c r="CB645" s="1655"/>
      <c r="CC645" s="1655"/>
      <c r="CD645" s="1655"/>
      <c r="CE645" s="1655"/>
      <c r="CF645" s="1655"/>
      <c r="CG645" s="1655"/>
      <c r="CH645" s="1655"/>
      <c r="CI645" s="1655"/>
      <c r="CJ645" s="1655"/>
      <c r="CK645" s="1655"/>
      <c r="CL645" s="1655"/>
      <c r="CM645" s="1655"/>
      <c r="CN645" s="1655"/>
      <c r="CO645" s="1655"/>
      <c r="CP645" s="1655"/>
      <c r="CQ645" s="1655"/>
      <c r="CR645" s="1655"/>
      <c r="CS645" s="1655"/>
      <c r="CT645" s="1655"/>
      <c r="CU645" s="1655"/>
      <c r="CV645" s="1655"/>
      <c r="CW645" s="1655"/>
      <c r="CX645" s="1655"/>
      <c r="CY645" s="1655"/>
      <c r="CZ645" s="1655"/>
      <c r="DA645" s="1655"/>
      <c r="DB645" s="1655"/>
      <c r="DC645" s="1655"/>
      <c r="DD645" s="1655"/>
      <c r="DE645" s="1655"/>
      <c r="DF645" s="1655"/>
      <c r="DG645" s="1655"/>
      <c r="DH645" s="1655"/>
      <c r="DI645" s="1655"/>
      <c r="DJ645" s="1655"/>
      <c r="DK645" s="1655"/>
      <c r="DL645" s="1655"/>
      <c r="DM645" s="1655"/>
      <c r="DN645" s="1655"/>
      <c r="DO645" s="1655"/>
      <c r="DP645" s="1655"/>
      <c r="DQ645" s="1655"/>
      <c r="DR645" s="1655"/>
      <c r="DS645" s="1655"/>
      <c r="DT645" s="1655"/>
      <c r="DU645" s="1655"/>
      <c r="DV645" s="1655"/>
      <c r="DW645" s="1655"/>
      <c r="DX645" s="1655"/>
      <c r="DY645" s="1655"/>
      <c r="DZ645" s="1655"/>
      <c r="EA645" s="1655"/>
      <c r="EB645" s="1655"/>
      <c r="EC645" s="1655"/>
      <c r="ED645" s="1655"/>
      <c r="EE645" s="1655"/>
      <c r="EF645" s="1655"/>
      <c r="EG645" s="1655"/>
      <c r="EH645" s="1655"/>
      <c r="EI645" s="1655"/>
      <c r="EJ645" s="1655"/>
      <c r="EK645" s="1655"/>
      <c r="EL645" s="1655"/>
      <c r="EM645" s="1655"/>
      <c r="EN645" s="1655"/>
      <c r="EO645" s="1655"/>
      <c r="EP645" s="1655"/>
      <c r="EQ645" s="1655"/>
      <c r="ER645" s="1655"/>
      <c r="ES645" s="1655"/>
      <c r="ET645" s="1655"/>
      <c r="EU645" s="1655"/>
      <c r="EV645" s="1655"/>
      <c r="EW645" s="1655"/>
      <c r="EX645" s="1655"/>
      <c r="EY645" s="1655"/>
      <c r="EZ645" s="1655"/>
      <c r="FA645" s="1655"/>
      <c r="FB645" s="1655"/>
      <c r="FC645" s="1655"/>
      <c r="FD645" s="1655"/>
      <c r="FE645" s="1655"/>
      <c r="FF645" s="1655"/>
      <c r="FG645" s="1655"/>
      <c r="FH645" s="1655"/>
      <c r="FI645" s="1655"/>
    </row>
    <row r="646" spans="1:165">
      <c r="A646" s="1655"/>
      <c r="B646" s="1655"/>
      <c r="C646" s="1655"/>
      <c r="D646" s="1655"/>
      <c r="E646" s="1655"/>
      <c r="F646" s="1655"/>
      <c r="G646" s="1655"/>
      <c r="H646" s="1655"/>
      <c r="I646" s="1655"/>
      <c r="J646" s="1655"/>
      <c r="K646" s="1655"/>
      <c r="L646" s="1655"/>
      <c r="M646" s="1655"/>
      <c r="N646" s="1655"/>
      <c r="O646" s="1655"/>
      <c r="P646" s="1655"/>
      <c r="Q646" s="1655"/>
      <c r="R646" s="1655"/>
      <c r="S646" s="1655"/>
      <c r="T646" s="1655"/>
      <c r="U646" s="1655"/>
      <c r="V646" s="1655"/>
      <c r="W646" s="1655"/>
      <c r="X646" s="1655"/>
      <c r="Y646" s="1655"/>
      <c r="Z646" s="1655"/>
      <c r="AA646" s="1655"/>
      <c r="AB646" s="1655"/>
      <c r="AC646" s="1655"/>
      <c r="AD646" s="1655"/>
      <c r="AE646" s="1655"/>
      <c r="AF646" s="1655"/>
      <c r="AG646" s="1655"/>
      <c r="AH646" s="1655"/>
      <c r="AI646" s="1655"/>
      <c r="AJ646" s="1655"/>
      <c r="AK646" s="1655"/>
      <c r="AL646" s="1655"/>
      <c r="AM646" s="1655"/>
      <c r="AN646" s="1655"/>
      <c r="AO646" s="1655"/>
      <c r="AP646" s="1655"/>
      <c r="AQ646" s="1655"/>
      <c r="AR646" s="1655"/>
      <c r="AS646" s="1655"/>
      <c r="AT646" s="1655"/>
      <c r="AU646" s="1655"/>
      <c r="AV646" s="1655"/>
      <c r="AW646" s="1655"/>
      <c r="AX646" s="1655"/>
      <c r="AY646" s="1655"/>
      <c r="AZ646" s="1655"/>
      <c r="BA646" s="1655"/>
      <c r="BB646" s="1655"/>
      <c r="BC646" s="1655"/>
      <c r="BD646" s="1655"/>
      <c r="BE646" s="1655"/>
      <c r="BF646" s="1655"/>
      <c r="BG646" s="1655"/>
      <c r="BH646" s="1655"/>
      <c r="BI646" s="1655"/>
      <c r="BJ646" s="1655"/>
      <c r="BK646" s="1655"/>
      <c r="BL646" s="1655"/>
      <c r="BM646" s="1655"/>
      <c r="BN646" s="1655"/>
      <c r="BO646" s="1655"/>
      <c r="BP646" s="1655"/>
      <c r="BQ646" s="1655"/>
      <c r="BR646" s="1655"/>
      <c r="BS646" s="1655"/>
      <c r="BT646" s="1655"/>
      <c r="BU646" s="1655"/>
      <c r="BV646" s="1655"/>
      <c r="BW646" s="1655"/>
      <c r="BX646" s="1655"/>
      <c r="BY646" s="1655"/>
      <c r="BZ646" s="1655"/>
      <c r="CA646" s="1655"/>
      <c r="CB646" s="1655"/>
      <c r="CC646" s="1655"/>
      <c r="CD646" s="1655"/>
      <c r="CE646" s="1655"/>
      <c r="CF646" s="1655"/>
      <c r="CG646" s="1655"/>
      <c r="CH646" s="1655"/>
      <c r="CI646" s="1655"/>
      <c r="CJ646" s="1655"/>
      <c r="CK646" s="1655"/>
      <c r="CL646" s="1655"/>
      <c r="CM646" s="1655"/>
      <c r="CN646" s="1655"/>
      <c r="CO646" s="1655"/>
      <c r="CP646" s="1655"/>
      <c r="CQ646" s="1655"/>
      <c r="CR646" s="1655"/>
      <c r="CS646" s="1655"/>
      <c r="CT646" s="1655"/>
      <c r="CU646" s="1655"/>
      <c r="CV646" s="1655"/>
      <c r="CW646" s="1655"/>
      <c r="CX646" s="1655"/>
      <c r="CY646" s="1655"/>
      <c r="CZ646" s="1655"/>
      <c r="DA646" s="1655"/>
      <c r="DB646" s="1655"/>
      <c r="DC646" s="1655"/>
      <c r="DD646" s="1655"/>
      <c r="DE646" s="1655"/>
      <c r="DF646" s="1655"/>
      <c r="DG646" s="1655"/>
      <c r="DH646" s="1655"/>
      <c r="DI646" s="1655"/>
      <c r="DJ646" s="1655"/>
      <c r="DK646" s="1655"/>
      <c r="DL646" s="1655"/>
      <c r="DM646" s="1655"/>
      <c r="DN646" s="1655"/>
      <c r="DO646" s="1655"/>
      <c r="DP646" s="1655"/>
      <c r="DQ646" s="1655"/>
      <c r="DR646" s="1655"/>
      <c r="DS646" s="1655"/>
      <c r="DT646" s="1655"/>
      <c r="DU646" s="1655"/>
      <c r="DV646" s="1655"/>
      <c r="DW646" s="1655"/>
      <c r="DX646" s="1655"/>
      <c r="DY646" s="1655"/>
      <c r="DZ646" s="1655"/>
      <c r="EA646" s="1655"/>
      <c r="EB646" s="1655"/>
      <c r="EC646" s="1655"/>
      <c r="ED646" s="1655"/>
      <c r="EE646" s="1655"/>
      <c r="EF646" s="1655"/>
      <c r="EG646" s="1655"/>
      <c r="EH646" s="1655"/>
      <c r="EI646" s="1655"/>
      <c r="EJ646" s="1655"/>
      <c r="EK646" s="1655"/>
      <c r="EL646" s="1655"/>
      <c r="EM646" s="1655"/>
      <c r="EN646" s="1655"/>
      <c r="EO646" s="1655"/>
      <c r="EP646" s="1655"/>
      <c r="EQ646" s="1655"/>
      <c r="ER646" s="1655"/>
      <c r="ES646" s="1655"/>
      <c r="ET646" s="1655"/>
      <c r="EU646" s="1655"/>
      <c r="EV646" s="1655"/>
      <c r="EW646" s="1655"/>
      <c r="EX646" s="1655"/>
      <c r="EY646" s="1655"/>
      <c r="EZ646" s="1655"/>
      <c r="FA646" s="1655"/>
      <c r="FB646" s="1655"/>
      <c r="FC646" s="1655"/>
      <c r="FD646" s="1655"/>
      <c r="FE646" s="1655"/>
      <c r="FF646" s="1655"/>
      <c r="FG646" s="1655"/>
      <c r="FH646" s="1655"/>
      <c r="FI646" s="1655"/>
    </row>
    <row r="647" spans="1:165">
      <c r="A647" s="1655"/>
      <c r="B647" s="1655"/>
      <c r="C647" s="1655"/>
      <c r="D647" s="1655"/>
      <c r="E647" s="1655"/>
      <c r="F647" s="1655"/>
      <c r="G647" s="1655"/>
      <c r="H647" s="1655"/>
      <c r="I647" s="1655"/>
      <c r="J647" s="1655"/>
      <c r="K647" s="1655"/>
      <c r="L647" s="1655"/>
      <c r="M647" s="1655"/>
      <c r="N647" s="1655"/>
      <c r="O647" s="1655"/>
      <c r="P647" s="1655"/>
      <c r="Q647" s="1655"/>
      <c r="R647" s="1655"/>
      <c r="S647" s="1655"/>
      <c r="T647" s="1655"/>
      <c r="U647" s="1655"/>
      <c r="V647" s="1655"/>
      <c r="W647" s="1655"/>
      <c r="X647" s="1655"/>
      <c r="Y647" s="1655"/>
      <c r="Z647" s="1655"/>
      <c r="AA647" s="1655"/>
      <c r="AB647" s="1655"/>
      <c r="AC647" s="1655"/>
      <c r="AD647" s="1655"/>
      <c r="AE647" s="1655"/>
      <c r="AF647" s="1655"/>
      <c r="AG647" s="1655"/>
      <c r="AH647" s="1655"/>
      <c r="AI647" s="1655"/>
      <c r="AJ647" s="1655"/>
      <c r="AK647" s="1655"/>
      <c r="AL647" s="1655"/>
      <c r="AM647" s="1655"/>
      <c r="AN647" s="1655"/>
      <c r="AO647" s="1655"/>
      <c r="AP647" s="1655"/>
      <c r="AQ647" s="1655"/>
      <c r="AR647" s="1655"/>
      <c r="AS647" s="1655"/>
      <c r="AT647" s="1655"/>
      <c r="AU647" s="1655"/>
      <c r="AV647" s="1655"/>
      <c r="AW647" s="1655"/>
      <c r="AX647" s="1655"/>
      <c r="AY647" s="1655"/>
      <c r="AZ647" s="1655"/>
      <c r="BA647" s="1655"/>
      <c r="BB647" s="1655"/>
      <c r="BC647" s="1655"/>
      <c r="BD647" s="1655"/>
      <c r="BE647" s="1655"/>
      <c r="BF647" s="1655"/>
      <c r="BG647" s="1655"/>
      <c r="BH647" s="1655"/>
      <c r="BI647" s="1655"/>
      <c r="BJ647" s="1655"/>
      <c r="BK647" s="1655"/>
      <c r="BL647" s="1655"/>
      <c r="BM647" s="1655"/>
      <c r="BN647" s="1655"/>
      <c r="BO647" s="1655"/>
      <c r="BP647" s="1655"/>
      <c r="BQ647" s="1655"/>
      <c r="BR647" s="1655"/>
      <c r="BS647" s="1655"/>
      <c r="BT647" s="1655"/>
      <c r="BU647" s="1655"/>
      <c r="BV647" s="1655"/>
      <c r="BW647" s="1655"/>
      <c r="BX647" s="1655"/>
      <c r="BY647" s="1655"/>
      <c r="BZ647" s="1655"/>
      <c r="CA647" s="1655"/>
      <c r="CB647" s="1655"/>
      <c r="CC647" s="1655"/>
      <c r="CD647" s="1655"/>
      <c r="CE647" s="1655"/>
      <c r="CF647" s="1655"/>
      <c r="CG647" s="1655"/>
      <c r="CH647" s="1655"/>
      <c r="CI647" s="1655"/>
      <c r="CJ647" s="1655"/>
      <c r="CK647" s="1655"/>
      <c r="CL647" s="1655"/>
      <c r="CM647" s="1655"/>
      <c r="CN647" s="1655"/>
      <c r="CO647" s="1655"/>
      <c r="CP647" s="1655"/>
      <c r="CQ647" s="1655"/>
      <c r="CR647" s="1655"/>
      <c r="CS647" s="1655"/>
      <c r="CT647" s="1655"/>
      <c r="CU647" s="1655"/>
      <c r="CV647" s="1655"/>
      <c r="CW647" s="1655"/>
      <c r="CX647" s="1655"/>
      <c r="CY647" s="1655"/>
      <c r="CZ647" s="1655"/>
      <c r="DA647" s="1655"/>
      <c r="DB647" s="1655"/>
      <c r="DC647" s="1655"/>
      <c r="DD647" s="1655"/>
      <c r="DE647" s="1655"/>
      <c r="DF647" s="1655"/>
      <c r="DG647" s="1655"/>
      <c r="DH647" s="1655"/>
      <c r="DI647" s="1655"/>
      <c r="DJ647" s="1655"/>
      <c r="DK647" s="1655"/>
      <c r="DL647" s="1655"/>
      <c r="DM647" s="1655"/>
      <c r="DN647" s="1655"/>
      <c r="DO647" s="1655"/>
      <c r="DP647" s="1655"/>
      <c r="DQ647" s="1655"/>
      <c r="DR647" s="1655"/>
      <c r="DS647" s="1655"/>
      <c r="DT647" s="1655"/>
      <c r="DU647" s="1655"/>
      <c r="DV647" s="1655"/>
      <c r="DW647" s="1655"/>
      <c r="DX647" s="1655"/>
      <c r="DY647" s="1655"/>
      <c r="DZ647" s="1655"/>
      <c r="EA647" s="1655"/>
      <c r="EB647" s="1655"/>
      <c r="EC647" s="1655"/>
      <c r="ED647" s="1655"/>
      <c r="EE647" s="1655"/>
      <c r="EF647" s="1655"/>
      <c r="EG647" s="1655"/>
      <c r="EH647" s="1655"/>
      <c r="EI647" s="1655"/>
      <c r="EJ647" s="1655"/>
      <c r="EK647" s="1655"/>
      <c r="EL647" s="1655"/>
      <c r="EM647" s="1655"/>
      <c r="EN647" s="1655"/>
      <c r="EO647" s="1655"/>
      <c r="EP647" s="1655"/>
      <c r="EQ647" s="1655"/>
      <c r="ER647" s="1655"/>
      <c r="ES647" s="1655"/>
      <c r="ET647" s="1655"/>
      <c r="EU647" s="1655"/>
      <c r="EV647" s="1655"/>
      <c r="EW647" s="1655"/>
      <c r="EX647" s="1655"/>
      <c r="EY647" s="1655"/>
      <c r="EZ647" s="1655"/>
      <c r="FA647" s="1655"/>
      <c r="FB647" s="1655"/>
      <c r="FC647" s="1655"/>
      <c r="FD647" s="1655"/>
      <c r="FE647" s="1655"/>
      <c r="FF647" s="1655"/>
      <c r="FG647" s="1655"/>
      <c r="FH647" s="1655"/>
      <c r="FI647" s="1655"/>
    </row>
    <row r="648" spans="1:165">
      <c r="A648" s="1655"/>
      <c r="B648" s="1655"/>
      <c r="C648" s="1655"/>
      <c r="D648" s="1655"/>
      <c r="E648" s="1655"/>
      <c r="F648" s="1655"/>
      <c r="G648" s="1655"/>
      <c r="H648" s="1655"/>
      <c r="I648" s="1655"/>
      <c r="J648" s="1655"/>
      <c r="K648" s="1655"/>
      <c r="L648" s="1655"/>
      <c r="M648" s="1655"/>
      <c r="N648" s="1655"/>
      <c r="O648" s="1655"/>
      <c r="P648" s="1655"/>
      <c r="Q648" s="1655"/>
      <c r="R648" s="1655"/>
      <c r="S648" s="1655"/>
      <c r="T648" s="1655"/>
      <c r="U648" s="1655"/>
      <c r="V648" s="1655"/>
      <c r="W648" s="1655"/>
      <c r="X648" s="1655"/>
      <c r="Y648" s="1655"/>
      <c r="Z648" s="1655"/>
      <c r="AA648" s="1655"/>
      <c r="AB648" s="1655"/>
      <c r="AC648" s="1655"/>
      <c r="AD648" s="1655"/>
      <c r="AE648" s="1655"/>
      <c r="AF648" s="1655"/>
      <c r="AG648" s="1655"/>
      <c r="AH648" s="1655"/>
      <c r="AI648" s="1655"/>
      <c r="AJ648" s="1655"/>
      <c r="AK648" s="1655"/>
      <c r="AL648" s="1655"/>
      <c r="AM648" s="1655"/>
      <c r="AN648" s="1655"/>
      <c r="AO648" s="1655"/>
      <c r="AP648" s="1655"/>
      <c r="AQ648" s="1655"/>
      <c r="AR648" s="1655"/>
      <c r="AS648" s="1655"/>
      <c r="AT648" s="1655"/>
      <c r="AU648" s="1655"/>
      <c r="AV648" s="1655"/>
      <c r="AW648" s="1655"/>
      <c r="AX648" s="1655"/>
      <c r="AY648" s="1655"/>
      <c r="AZ648" s="1655"/>
      <c r="BA648" s="1655"/>
      <c r="BB648" s="1655"/>
      <c r="BC648" s="1655"/>
      <c r="BD648" s="1655"/>
      <c r="BE648" s="1655"/>
      <c r="BF648" s="1655"/>
      <c r="BG648" s="1655"/>
      <c r="BH648" s="1655"/>
      <c r="BI648" s="1655"/>
      <c r="BJ648" s="1655"/>
      <c r="BK648" s="1655"/>
      <c r="BL648" s="1655"/>
      <c r="BM648" s="1655"/>
      <c r="BN648" s="1655"/>
      <c r="BO648" s="1655"/>
      <c r="BP648" s="1655"/>
      <c r="BQ648" s="1655"/>
      <c r="BR648" s="1655"/>
      <c r="BS648" s="1655"/>
      <c r="BT648" s="1655"/>
      <c r="BU648" s="1655"/>
      <c r="BV648" s="1655"/>
      <c r="BW648" s="1655"/>
      <c r="BX648" s="1655"/>
      <c r="BY648" s="1655"/>
      <c r="BZ648" s="1655"/>
      <c r="CA648" s="1655"/>
      <c r="CB648" s="1655"/>
      <c r="CC648" s="1655"/>
      <c r="CD648" s="1655"/>
      <c r="CE648" s="1655"/>
      <c r="CF648" s="1655"/>
      <c r="CG648" s="1655"/>
      <c r="CH648" s="1655"/>
      <c r="CI648" s="1655"/>
      <c r="CJ648" s="1655"/>
      <c r="CK648" s="1655"/>
      <c r="CL648" s="1655"/>
      <c r="CM648" s="1655"/>
      <c r="CN648" s="1655"/>
      <c r="CO648" s="1655"/>
      <c r="CP648" s="1655"/>
      <c r="CQ648" s="1655"/>
      <c r="CR648" s="1655"/>
      <c r="CS648" s="1655"/>
      <c r="CT648" s="1655"/>
      <c r="CU648" s="1655"/>
      <c r="CV648" s="1655"/>
      <c r="CW648" s="1655"/>
      <c r="CX648" s="1655"/>
      <c r="CY648" s="1655"/>
      <c r="CZ648" s="1655"/>
      <c r="DA648" s="1655"/>
      <c r="DB648" s="1655"/>
      <c r="DC648" s="1655"/>
      <c r="DD648" s="1655"/>
      <c r="DE648" s="1655"/>
      <c r="DF648" s="1655"/>
      <c r="DG648" s="1655"/>
      <c r="DH648" s="1655"/>
      <c r="DI648" s="1655"/>
      <c r="DJ648" s="1655"/>
      <c r="DK648" s="1655"/>
      <c r="DL648" s="1655"/>
      <c r="DM648" s="1655"/>
      <c r="DN648" s="1655"/>
      <c r="DO648" s="1655"/>
      <c r="DP648" s="1655"/>
      <c r="DQ648" s="1655"/>
      <c r="DR648" s="1655"/>
      <c r="DS648" s="1655"/>
      <c r="DT648" s="1655"/>
      <c r="DU648" s="1655"/>
      <c r="DV648" s="1655"/>
      <c r="DW648" s="1655"/>
      <c r="DX648" s="1655"/>
      <c r="DY648" s="1655"/>
      <c r="DZ648" s="1655"/>
      <c r="EA648" s="1655"/>
      <c r="EB648" s="1655"/>
      <c r="EC648" s="1655"/>
      <c r="ED648" s="1655"/>
      <c r="EE648" s="1655"/>
      <c r="EF648" s="1655"/>
      <c r="EG648" s="1655"/>
      <c r="EH648" s="1655"/>
      <c r="EI648" s="1655"/>
      <c r="EJ648" s="1655"/>
      <c r="EK648" s="1655"/>
      <c r="EL648" s="1655"/>
      <c r="EM648" s="1655"/>
      <c r="EN648" s="1655"/>
      <c r="EO648" s="1655"/>
      <c r="EP648" s="1655"/>
      <c r="EQ648" s="1655"/>
      <c r="ER648" s="1655"/>
      <c r="ES648" s="1655"/>
      <c r="ET648" s="1655"/>
      <c r="EU648" s="1655"/>
      <c r="EV648" s="1655"/>
      <c r="EW648" s="1655"/>
      <c r="EX648" s="1655"/>
      <c r="EY648" s="1655"/>
      <c r="EZ648" s="1655"/>
      <c r="FA648" s="1655"/>
      <c r="FB648" s="1655"/>
      <c r="FC648" s="1655"/>
      <c r="FD648" s="1655"/>
      <c r="FE648" s="1655"/>
      <c r="FF648" s="1655"/>
      <c r="FG648" s="1655"/>
      <c r="FH648" s="1655"/>
      <c r="FI648" s="1655"/>
    </row>
    <row r="649" spans="1:165">
      <c r="A649" s="1655"/>
      <c r="B649" s="1655"/>
      <c r="C649" s="1655"/>
      <c r="D649" s="1655"/>
      <c r="E649" s="1655"/>
      <c r="F649" s="1655"/>
      <c r="G649" s="1655"/>
      <c r="H649" s="1655"/>
      <c r="I649" s="1655"/>
      <c r="J649" s="1655"/>
      <c r="K649" s="1655"/>
      <c r="L649" s="1655"/>
      <c r="M649" s="1655"/>
      <c r="N649" s="1655"/>
      <c r="O649" s="1655"/>
      <c r="P649" s="1655"/>
      <c r="Q649" s="1655"/>
      <c r="R649" s="1655"/>
      <c r="S649" s="1655"/>
      <c r="T649" s="1655"/>
      <c r="U649" s="1655"/>
      <c r="V649" s="1655"/>
      <c r="W649" s="1655"/>
      <c r="X649" s="1655"/>
      <c r="Y649" s="1655"/>
      <c r="Z649" s="1655"/>
      <c r="AA649" s="1655"/>
      <c r="AB649" s="1655"/>
      <c r="AC649" s="1655"/>
      <c r="AD649" s="1655"/>
      <c r="AE649" s="1655"/>
      <c r="AF649" s="1655"/>
      <c r="AG649" s="1655"/>
      <c r="AH649" s="1655"/>
      <c r="AI649" s="1655"/>
      <c r="AJ649" s="1655"/>
      <c r="AK649" s="1655"/>
      <c r="AL649" s="1655"/>
      <c r="AM649" s="1655"/>
      <c r="AN649" s="1655"/>
      <c r="AO649" s="1655"/>
      <c r="AP649" s="1655"/>
      <c r="AQ649" s="1655"/>
      <c r="AR649" s="1655"/>
      <c r="AS649" s="1655"/>
      <c r="AT649" s="1655"/>
      <c r="AU649" s="1655"/>
      <c r="AV649" s="1655"/>
      <c r="AW649" s="1655"/>
      <c r="AX649" s="1655"/>
      <c r="AY649" s="1655"/>
      <c r="AZ649" s="1655"/>
      <c r="BA649" s="1655"/>
      <c r="BB649" s="1655"/>
      <c r="BC649" s="1655"/>
      <c r="BD649" s="1655"/>
      <c r="BE649" s="1655"/>
      <c r="BF649" s="1655"/>
      <c r="BG649" s="1655"/>
      <c r="BH649" s="1655"/>
      <c r="BI649" s="1655"/>
      <c r="BJ649" s="1655"/>
      <c r="BK649" s="1655"/>
      <c r="BL649" s="1655"/>
      <c r="BM649" s="1655"/>
      <c r="BN649" s="1655"/>
      <c r="BO649" s="1655"/>
      <c r="BP649" s="1655"/>
      <c r="BQ649" s="1655"/>
      <c r="BR649" s="1655"/>
      <c r="BS649" s="1655"/>
      <c r="BT649" s="1655"/>
      <c r="BU649" s="1655"/>
      <c r="BV649" s="1655"/>
      <c r="BW649" s="1655"/>
      <c r="BX649" s="1655"/>
      <c r="BY649" s="1655"/>
      <c r="BZ649" s="1655"/>
      <c r="CA649" s="1655"/>
      <c r="CB649" s="1655"/>
      <c r="CC649" s="1655"/>
      <c r="CD649" s="1655"/>
      <c r="CE649" s="1655"/>
      <c r="CF649" s="1655"/>
      <c r="CG649" s="1655"/>
      <c r="CH649" s="1655"/>
      <c r="CI649" s="1655"/>
      <c r="CJ649" s="1655"/>
      <c r="CK649" s="1655"/>
      <c r="CL649" s="1655"/>
      <c r="CM649" s="1655"/>
      <c r="CN649" s="1655"/>
      <c r="CO649" s="1655"/>
      <c r="CP649" s="1655"/>
      <c r="CQ649" s="1655"/>
      <c r="CR649" s="1655"/>
      <c r="CS649" s="1655"/>
      <c r="CT649" s="1655"/>
      <c r="CU649" s="1655"/>
      <c r="CV649" s="1655"/>
      <c r="CW649" s="1655"/>
      <c r="CX649" s="1655"/>
      <c r="CY649" s="1655"/>
      <c r="CZ649" s="1655"/>
      <c r="DA649" s="1655"/>
      <c r="DB649" s="1655"/>
      <c r="DC649" s="1655"/>
      <c r="DD649" s="1655"/>
      <c r="DE649" s="1655"/>
      <c r="DF649" s="1655"/>
      <c r="DG649" s="1655"/>
      <c r="DH649" s="1655"/>
      <c r="DI649" s="1655"/>
      <c r="DJ649" s="1655"/>
      <c r="DK649" s="1655"/>
      <c r="DL649" s="1655"/>
      <c r="DM649" s="1655"/>
      <c r="DN649" s="1655"/>
      <c r="DO649" s="1655"/>
      <c r="DP649" s="1655"/>
      <c r="DQ649" s="1655"/>
      <c r="DR649" s="1655"/>
      <c r="DS649" s="1655"/>
      <c r="DT649" s="1655"/>
      <c r="DU649" s="1655"/>
      <c r="DV649" s="1655"/>
      <c r="DW649" s="1655"/>
      <c r="DX649" s="1655"/>
      <c r="DY649" s="1655"/>
      <c r="DZ649" s="1655"/>
      <c r="EA649" s="1655"/>
      <c r="EB649" s="1655"/>
      <c r="EC649" s="1655"/>
      <c r="ED649" s="1655"/>
      <c r="EE649" s="1655"/>
      <c r="EF649" s="1655"/>
      <c r="EG649" s="1655"/>
      <c r="EH649" s="1655"/>
      <c r="EI649" s="1655"/>
      <c r="EJ649" s="1655"/>
      <c r="EK649" s="1655"/>
      <c r="EL649" s="1655"/>
      <c r="EM649" s="1655"/>
      <c r="EN649" s="1655"/>
      <c r="EO649" s="1655"/>
      <c r="EP649" s="1655"/>
      <c r="EQ649" s="1655"/>
      <c r="ER649" s="1655"/>
      <c r="ES649" s="1655"/>
      <c r="ET649" s="1655"/>
      <c r="EU649" s="1655"/>
      <c r="EV649" s="1655"/>
      <c r="EW649" s="1655"/>
      <c r="EX649" s="1655"/>
      <c r="EY649" s="1655"/>
      <c r="EZ649" s="1655"/>
      <c r="FA649" s="1655"/>
      <c r="FB649" s="1655"/>
      <c r="FC649" s="1655"/>
      <c r="FD649" s="1655"/>
      <c r="FE649" s="1655"/>
      <c r="FF649" s="1655"/>
      <c r="FG649" s="1655"/>
      <c r="FH649" s="1655"/>
      <c r="FI649" s="1655"/>
    </row>
    <row r="650" spans="1:165">
      <c r="A650" s="1655"/>
      <c r="B650" s="1655"/>
      <c r="C650" s="1655"/>
      <c r="D650" s="1655"/>
      <c r="E650" s="1655"/>
      <c r="F650" s="1655"/>
      <c r="G650" s="1655"/>
      <c r="H650" s="1655"/>
      <c r="I650" s="1655"/>
      <c r="J650" s="1655"/>
      <c r="K650" s="1655"/>
      <c r="L650" s="1655"/>
      <c r="M650" s="1655"/>
      <c r="N650" s="1655"/>
      <c r="O650" s="1655"/>
      <c r="P650" s="1655"/>
      <c r="Q650" s="1655"/>
      <c r="R650" s="1655"/>
      <c r="S650" s="1655"/>
      <c r="T650" s="1655"/>
      <c r="U650" s="1655"/>
      <c r="V650" s="1655"/>
      <c r="W650" s="1655"/>
      <c r="X650" s="1655"/>
      <c r="Y650" s="1655"/>
      <c r="Z650" s="1655"/>
      <c r="AA650" s="1655"/>
      <c r="AB650" s="1655"/>
      <c r="AC650" s="1655"/>
      <c r="AD650" s="1655"/>
      <c r="AE650" s="1655"/>
      <c r="AF650" s="1655"/>
      <c r="AG650" s="1655"/>
      <c r="AH650" s="1655"/>
      <c r="AI650" s="1655"/>
      <c r="AJ650" s="1655"/>
      <c r="AK650" s="1655"/>
      <c r="AL650" s="1655"/>
      <c r="AM650" s="1655"/>
      <c r="AN650" s="1655"/>
      <c r="AO650" s="1655"/>
      <c r="AP650" s="1655"/>
      <c r="AQ650" s="1655"/>
      <c r="AR650" s="1655"/>
      <c r="AS650" s="1655"/>
      <c r="AT650" s="1655"/>
      <c r="AU650" s="1655"/>
      <c r="AV650" s="1655"/>
      <c r="AW650" s="1655"/>
      <c r="AX650" s="1655"/>
      <c r="AY650" s="1655"/>
      <c r="AZ650" s="1655"/>
      <c r="BA650" s="1655"/>
      <c r="BB650" s="1655"/>
      <c r="BC650" s="1655"/>
      <c r="BD650" s="1655"/>
      <c r="BE650" s="1655"/>
      <c r="BF650" s="1655"/>
      <c r="BG650" s="1655"/>
      <c r="BH650" s="1655"/>
      <c r="BI650" s="1655"/>
      <c r="BJ650" s="1655"/>
      <c r="BK650" s="1655"/>
      <c r="BL650" s="1655"/>
      <c r="BM650" s="1655"/>
      <c r="BN650" s="1655"/>
      <c r="BO650" s="1655"/>
      <c r="BP650" s="1655"/>
      <c r="BQ650" s="1655"/>
      <c r="BR650" s="1655"/>
      <c r="BS650" s="1655"/>
      <c r="BT650" s="1655"/>
      <c r="BU650" s="1655"/>
      <c r="BV650" s="1655"/>
      <c r="BW650" s="1655"/>
      <c r="BX650" s="1655"/>
      <c r="BY650" s="1655"/>
      <c r="BZ650" s="1655"/>
      <c r="CA650" s="1655"/>
      <c r="CB650" s="1655"/>
      <c r="CC650" s="1655"/>
      <c r="CD650" s="1655"/>
      <c r="CE650" s="1655"/>
      <c r="CF650" s="1655"/>
      <c r="CG650" s="1655"/>
      <c r="CH650" s="1655"/>
      <c r="CI650" s="1655"/>
      <c r="CJ650" s="1655"/>
      <c r="CK650" s="1655"/>
      <c r="CL650" s="1655"/>
      <c r="CM650" s="1655"/>
      <c r="CN650" s="1655"/>
      <c r="CO650" s="1655"/>
      <c r="CP650" s="1655"/>
      <c r="CQ650" s="1655"/>
      <c r="CR650" s="1655"/>
      <c r="CS650" s="1655"/>
      <c r="CT650" s="1655"/>
      <c r="CU650" s="1655"/>
      <c r="CV650" s="1655"/>
      <c r="CW650" s="1655"/>
      <c r="CX650" s="1655"/>
      <c r="CY650" s="1655"/>
      <c r="CZ650" s="1655"/>
      <c r="DA650" s="1655"/>
      <c r="DB650" s="1655"/>
      <c r="DC650" s="1655"/>
      <c r="DD650" s="1655"/>
      <c r="DE650" s="1655"/>
      <c r="DF650" s="1655"/>
      <c r="DG650" s="1655"/>
      <c r="DH650" s="1655"/>
      <c r="DI650" s="1655"/>
      <c r="DJ650" s="1655"/>
      <c r="DK650" s="1655"/>
      <c r="DL650" s="1655"/>
      <c r="DM650" s="1655"/>
      <c r="DN650" s="1655"/>
      <c r="DO650" s="1655"/>
      <c r="DP650" s="1655"/>
      <c r="DQ650" s="1655"/>
      <c r="DR650" s="1655"/>
      <c r="DS650" s="1655"/>
      <c r="DT650" s="1655"/>
      <c r="DU650" s="1655"/>
      <c r="DV650" s="1655"/>
      <c r="DW650" s="1655"/>
      <c r="DX650" s="1655"/>
      <c r="DY650" s="1655"/>
      <c r="DZ650" s="1655"/>
      <c r="EA650" s="1655"/>
      <c r="EB650" s="1655"/>
      <c r="EC650" s="1655"/>
      <c r="ED650" s="1655"/>
      <c r="EE650" s="1655"/>
      <c r="EF650" s="1655"/>
      <c r="EG650" s="1655"/>
      <c r="EH650" s="1655"/>
      <c r="EI650" s="1655"/>
      <c r="EJ650" s="1655"/>
      <c r="EK650" s="1655"/>
      <c r="EL650" s="1655"/>
      <c r="EM650" s="1655"/>
      <c r="EN650" s="1655"/>
      <c r="EO650" s="1655"/>
      <c r="EP650" s="1655"/>
      <c r="EQ650" s="1655"/>
      <c r="ER650" s="1655"/>
      <c r="ES650" s="1655"/>
      <c r="ET650" s="1655"/>
      <c r="EU650" s="1655"/>
      <c r="EV650" s="1655"/>
      <c r="EW650" s="1655"/>
      <c r="EX650" s="1655"/>
      <c r="EY650" s="1655"/>
      <c r="EZ650" s="1655"/>
      <c r="FA650" s="1655"/>
      <c r="FB650" s="1655"/>
      <c r="FC650" s="1655"/>
      <c r="FD650" s="1655"/>
      <c r="FE650" s="1655"/>
      <c r="FF650" s="1655"/>
      <c r="FG650" s="1655"/>
      <c r="FH650" s="1655"/>
      <c r="FI650" s="1655"/>
    </row>
    <row r="651" spans="1:165">
      <c r="A651" s="1655"/>
      <c r="B651" s="1655"/>
      <c r="C651" s="1655"/>
      <c r="D651" s="1655"/>
      <c r="E651" s="1655"/>
      <c r="F651" s="1655"/>
      <c r="G651" s="1655"/>
      <c r="H651" s="1655"/>
      <c r="I651" s="1655"/>
      <c r="J651" s="1655"/>
      <c r="K651" s="1655"/>
      <c r="L651" s="1655"/>
      <c r="M651" s="1655"/>
      <c r="N651" s="1655"/>
      <c r="O651" s="1655"/>
      <c r="P651" s="1655"/>
      <c r="Q651" s="1655"/>
      <c r="R651" s="1655"/>
      <c r="S651" s="1655"/>
      <c r="T651" s="1655"/>
      <c r="U651" s="1655"/>
      <c r="V651" s="1655"/>
      <c r="W651" s="1655"/>
      <c r="X651" s="1655"/>
      <c r="Y651" s="1655"/>
      <c r="Z651" s="1655"/>
      <c r="AA651" s="1655"/>
      <c r="AB651" s="1655"/>
      <c r="AC651" s="1655"/>
      <c r="AD651" s="1655"/>
      <c r="AE651" s="1655"/>
      <c r="AF651" s="1655"/>
      <c r="AG651" s="1655"/>
      <c r="AH651" s="1655"/>
      <c r="AI651" s="1655"/>
      <c r="AJ651" s="1655"/>
      <c r="AK651" s="1655"/>
      <c r="AL651" s="1655"/>
      <c r="AM651" s="1655"/>
      <c r="AN651" s="1655"/>
      <c r="AO651" s="1655"/>
      <c r="AP651" s="1655"/>
      <c r="AQ651" s="1655"/>
      <c r="AR651" s="1655"/>
      <c r="AS651" s="1655"/>
      <c r="AT651" s="1655"/>
      <c r="AU651" s="1655"/>
      <c r="AV651" s="1655"/>
      <c r="AW651" s="1655"/>
      <c r="AX651" s="1655"/>
      <c r="AY651" s="1655"/>
      <c r="AZ651" s="1655"/>
      <c r="BA651" s="1655"/>
      <c r="BB651" s="1655"/>
      <c r="BC651" s="1655"/>
      <c r="BD651" s="1655"/>
      <c r="BE651" s="1655"/>
      <c r="BF651" s="1655"/>
      <c r="BG651" s="1655"/>
      <c r="BH651" s="1655"/>
      <c r="BI651" s="1655"/>
      <c r="BJ651" s="1655"/>
      <c r="BK651" s="1655"/>
      <c r="BL651" s="1655"/>
      <c r="BM651" s="1655"/>
      <c r="BN651" s="1655"/>
      <c r="BO651" s="1655"/>
      <c r="BP651" s="1655"/>
      <c r="BQ651" s="1655"/>
      <c r="BR651" s="1655"/>
      <c r="BS651" s="1655"/>
      <c r="BT651" s="1655"/>
      <c r="BU651" s="1655"/>
      <c r="BV651" s="1655"/>
      <c r="BW651" s="1655"/>
      <c r="BX651" s="1655"/>
      <c r="BY651" s="1655"/>
      <c r="BZ651" s="1655"/>
      <c r="CA651" s="1655"/>
      <c r="CB651" s="1655"/>
      <c r="CC651" s="1655"/>
      <c r="CD651" s="1655"/>
      <c r="CE651" s="1655"/>
      <c r="CF651" s="1655"/>
      <c r="CG651" s="1655"/>
      <c r="CH651" s="1655"/>
      <c r="CI651" s="1655"/>
      <c r="CJ651" s="1655"/>
      <c r="CK651" s="1655"/>
      <c r="CL651" s="1655"/>
      <c r="CM651" s="1655"/>
      <c r="CN651" s="1655"/>
      <c r="CO651" s="1655"/>
      <c r="CP651" s="1655"/>
      <c r="CQ651" s="1655"/>
      <c r="CR651" s="1655"/>
      <c r="CS651" s="1655"/>
      <c r="CT651" s="1655"/>
      <c r="CU651" s="1655"/>
      <c r="CV651" s="1655"/>
      <c r="CW651" s="1655"/>
      <c r="CX651" s="1655"/>
      <c r="CY651" s="1655"/>
      <c r="CZ651" s="1655"/>
      <c r="DA651" s="1655"/>
      <c r="DB651" s="1655"/>
      <c r="DC651" s="1655"/>
      <c r="DD651" s="1655"/>
      <c r="DE651" s="1655"/>
      <c r="DF651" s="1655"/>
      <c r="DG651" s="1655"/>
      <c r="DH651" s="1655"/>
      <c r="DI651" s="1655"/>
      <c r="DJ651" s="1655"/>
      <c r="DK651" s="1655"/>
      <c r="DL651" s="1655"/>
      <c r="DM651" s="1655"/>
      <c r="DN651" s="1655"/>
      <c r="DO651" s="1655"/>
      <c r="DP651" s="1655"/>
      <c r="DQ651" s="1655"/>
      <c r="DR651" s="1655"/>
      <c r="DS651" s="1655"/>
      <c r="DT651" s="1655"/>
      <c r="DU651" s="1655"/>
      <c r="DV651" s="1655"/>
      <c r="DW651" s="1655"/>
      <c r="DX651" s="1655"/>
      <c r="DY651" s="1655"/>
      <c r="DZ651" s="1655"/>
      <c r="EA651" s="1655"/>
      <c r="EB651" s="1655"/>
      <c r="EC651" s="1655"/>
      <c r="ED651" s="1655"/>
      <c r="EE651" s="1655"/>
      <c r="EF651" s="1655"/>
      <c r="EG651" s="1655"/>
      <c r="EH651" s="1655"/>
      <c r="EI651" s="1655"/>
      <c r="EJ651" s="1655"/>
      <c r="EK651" s="1655"/>
      <c r="EL651" s="1655"/>
      <c r="EM651" s="1655"/>
      <c r="EN651" s="1655"/>
      <c r="EO651" s="1655"/>
      <c r="EP651" s="1655"/>
      <c r="EQ651" s="1655"/>
      <c r="ER651" s="1655"/>
      <c r="ES651" s="1655"/>
      <c r="ET651" s="1655"/>
      <c r="EU651" s="1655"/>
      <c r="EV651" s="1655"/>
      <c r="EW651" s="1655"/>
      <c r="EX651" s="1655"/>
      <c r="EY651" s="1655"/>
      <c r="EZ651" s="1655"/>
      <c r="FA651" s="1655"/>
      <c r="FB651" s="1655"/>
      <c r="FC651" s="1655"/>
      <c r="FD651" s="1655"/>
      <c r="FE651" s="1655"/>
      <c r="FF651" s="1655"/>
      <c r="FG651" s="1655"/>
      <c r="FH651" s="1655"/>
      <c r="FI651" s="1655"/>
    </row>
    <row r="652" spans="1:165">
      <c r="A652" s="1655"/>
      <c r="B652" s="1655"/>
      <c r="C652" s="1655"/>
      <c r="D652" s="1655"/>
      <c r="E652" s="1655"/>
      <c r="F652" s="1655"/>
      <c r="G652" s="1655"/>
      <c r="H652" s="1655"/>
      <c r="I652" s="1655"/>
      <c r="J652" s="1655"/>
      <c r="K652" s="1655"/>
      <c r="L652" s="1655"/>
      <c r="M652" s="1655"/>
      <c r="N652" s="1655"/>
      <c r="O652" s="1655"/>
      <c r="P652" s="1655"/>
      <c r="Q652" s="1655"/>
      <c r="R652" s="1655"/>
      <c r="S652" s="1655"/>
      <c r="T652" s="1655"/>
      <c r="U652" s="1655"/>
      <c r="V652" s="1655"/>
      <c r="W652" s="1655"/>
      <c r="X652" s="1655"/>
      <c r="Y652" s="1655"/>
      <c r="Z652" s="1655"/>
      <c r="AA652" s="1655"/>
      <c r="AB652" s="1655"/>
      <c r="AC652" s="1655"/>
      <c r="AD652" s="1655"/>
      <c r="AE652" s="1655"/>
      <c r="AF652" s="1655"/>
      <c r="AG652" s="1655"/>
      <c r="AH652" s="1655"/>
      <c r="AI652" s="1655"/>
      <c r="AJ652" s="1655"/>
      <c r="AK652" s="1655"/>
      <c r="AL652" s="1655"/>
      <c r="AM652" s="1655"/>
      <c r="AN652" s="1655"/>
      <c r="AO652" s="1655"/>
      <c r="AP652" s="1655"/>
      <c r="AQ652" s="1655"/>
      <c r="AR652" s="1655"/>
      <c r="AS652" s="1655"/>
      <c r="AT652" s="1655"/>
      <c r="AU652" s="1655"/>
      <c r="AV652" s="1655"/>
      <c r="AW652" s="1655"/>
      <c r="AX652" s="1655"/>
      <c r="AY652" s="1655"/>
      <c r="AZ652" s="1655"/>
      <c r="BA652" s="1655"/>
      <c r="BB652" s="1655"/>
      <c r="BC652" s="1655"/>
      <c r="BD652" s="1655"/>
      <c r="BE652" s="1655"/>
      <c r="BF652" s="1655"/>
      <c r="BG652" s="1655"/>
      <c r="BH652" s="1655"/>
      <c r="BI652" s="1655"/>
      <c r="BJ652" s="1655"/>
      <c r="BK652" s="1655"/>
      <c r="BL652" s="1655"/>
      <c r="BM652" s="1655"/>
      <c r="BN652" s="1655"/>
      <c r="BO652" s="1655"/>
      <c r="BP652" s="1655"/>
      <c r="BQ652" s="1655"/>
      <c r="BR652" s="1655"/>
      <c r="BS652" s="1655"/>
      <c r="BT652" s="1655"/>
      <c r="BU652" s="1655"/>
      <c r="BV652" s="1655"/>
      <c r="BW652" s="1655"/>
      <c r="BX652" s="1655"/>
      <c r="BY652" s="1655"/>
      <c r="BZ652" s="1655"/>
      <c r="CA652" s="1655"/>
      <c r="CB652" s="1655"/>
      <c r="CC652" s="1655"/>
      <c r="CD652" s="1655"/>
      <c r="CE652" s="1655"/>
      <c r="CF652" s="1655"/>
      <c r="CG652" s="1655"/>
      <c r="CH652" s="1655"/>
      <c r="CI652" s="1655"/>
      <c r="CJ652" s="1655"/>
      <c r="CK652" s="1655"/>
      <c r="CL652" s="1655"/>
      <c r="CM652" s="1655"/>
      <c r="CN652" s="1655"/>
      <c r="CO652" s="1655"/>
      <c r="CP652" s="1655"/>
      <c r="CQ652" s="1655"/>
      <c r="CR652" s="1655"/>
      <c r="CS652" s="1655"/>
      <c r="CT652" s="1655"/>
      <c r="CU652" s="1655"/>
      <c r="CV652" s="1655"/>
      <c r="CW652" s="1655"/>
      <c r="CX652" s="1655"/>
      <c r="CY652" s="1655"/>
      <c r="CZ652" s="1655"/>
      <c r="DA652" s="1655"/>
      <c r="DB652" s="1655"/>
      <c r="DC652" s="1655"/>
      <c r="DD652" s="1655"/>
      <c r="DE652" s="1655"/>
      <c r="DF652" s="1655"/>
      <c r="DG652" s="1655"/>
      <c r="DH652" s="1655"/>
      <c r="DI652" s="1655"/>
      <c r="DJ652" s="1655"/>
      <c r="DK652" s="1655"/>
      <c r="DL652" s="1655"/>
      <c r="DM652" s="1655"/>
      <c r="DN652" s="1655"/>
      <c r="DO652" s="1655"/>
      <c r="DP652" s="1655"/>
      <c r="DQ652" s="1655"/>
      <c r="DR652" s="1655"/>
      <c r="DS652" s="1655"/>
      <c r="DT652" s="1655"/>
      <c r="DU652" s="1655"/>
      <c r="DV652" s="1655"/>
      <c r="DW652" s="1655"/>
      <c r="DX652" s="1655"/>
      <c r="DY652" s="1655"/>
      <c r="DZ652" s="1655"/>
      <c r="EA652" s="1655"/>
      <c r="EB652" s="1655"/>
      <c r="EC652" s="1655"/>
      <c r="ED652" s="1655"/>
      <c r="EE652" s="1655"/>
      <c r="EF652" s="1655"/>
      <c r="EG652" s="1655"/>
      <c r="EH652" s="1655"/>
      <c r="EI652" s="1655"/>
      <c r="EJ652" s="1655"/>
      <c r="EK652" s="1655"/>
      <c r="EL652" s="1655"/>
      <c r="EM652" s="1655"/>
      <c r="EN652" s="1655"/>
      <c r="EO652" s="1655"/>
      <c r="EP652" s="1655"/>
      <c r="EQ652" s="1655"/>
      <c r="ER652" s="1655"/>
      <c r="ES652" s="1655"/>
      <c r="ET652" s="1655"/>
      <c r="EU652" s="1655"/>
      <c r="EV652" s="1655"/>
      <c r="EW652" s="1655"/>
      <c r="EX652" s="1655"/>
      <c r="EY652" s="1655"/>
      <c r="EZ652" s="1655"/>
      <c r="FA652" s="1655"/>
      <c r="FB652" s="1655"/>
      <c r="FC652" s="1655"/>
      <c r="FD652" s="1655"/>
      <c r="FE652" s="1655"/>
      <c r="FF652" s="1655"/>
      <c r="FG652" s="1655"/>
      <c r="FH652" s="1655"/>
      <c r="FI652" s="1655"/>
    </row>
    <row r="653" spans="1:165">
      <c r="A653" s="1655"/>
      <c r="B653" s="1655"/>
      <c r="C653" s="1655"/>
      <c r="D653" s="1655"/>
      <c r="E653" s="1655"/>
      <c r="F653" s="1655"/>
      <c r="G653" s="1655"/>
      <c r="H653" s="1655"/>
      <c r="I653" s="1655"/>
      <c r="J653" s="1655"/>
      <c r="K653" s="1655"/>
      <c r="L653" s="1655"/>
      <c r="M653" s="1655"/>
      <c r="N653" s="1655"/>
      <c r="O653" s="1655"/>
      <c r="P653" s="1655"/>
      <c r="Q653" s="1655"/>
      <c r="R653" s="1655"/>
      <c r="S653" s="1655"/>
      <c r="T653" s="1655"/>
      <c r="U653" s="1655"/>
      <c r="V653" s="1655"/>
      <c r="W653" s="1655"/>
      <c r="X653" s="1655"/>
      <c r="Y653" s="1655"/>
      <c r="Z653" s="1655"/>
      <c r="AA653" s="1655"/>
      <c r="AB653" s="1655"/>
      <c r="AC653" s="1655"/>
      <c r="AD653" s="1655"/>
      <c r="AE653" s="1655"/>
      <c r="AF653" s="1655"/>
      <c r="AG653" s="1655"/>
      <c r="AH653" s="1655"/>
      <c r="AI653" s="1655"/>
      <c r="AJ653" s="1655"/>
      <c r="AK653" s="1655"/>
      <c r="AL653" s="1655"/>
      <c r="AM653" s="1655"/>
      <c r="AN653" s="1655"/>
      <c r="AO653" s="1655"/>
      <c r="AP653" s="1655"/>
      <c r="AQ653" s="1655"/>
      <c r="AR653" s="1655"/>
      <c r="AS653" s="1655"/>
      <c r="AT653" s="1655"/>
      <c r="AU653" s="1655"/>
      <c r="AV653" s="1655"/>
      <c r="AW653" s="1655"/>
      <c r="AX653" s="1655"/>
      <c r="AY653" s="1655"/>
      <c r="AZ653" s="1655"/>
      <c r="BA653" s="1655"/>
      <c r="BB653" s="1655"/>
      <c r="BC653" s="1655"/>
      <c r="BD653" s="1655"/>
      <c r="BE653" s="1655"/>
      <c r="BF653" s="1655"/>
      <c r="BG653" s="1655"/>
      <c r="BH653" s="1655"/>
      <c r="BI653" s="1655"/>
      <c r="BJ653" s="1655"/>
      <c r="BK653" s="1655"/>
      <c r="BL653" s="1655"/>
      <c r="BM653" s="1655"/>
      <c r="BN653" s="1655"/>
      <c r="BO653" s="1655"/>
      <c r="BP653" s="1655"/>
      <c r="BQ653" s="1655"/>
      <c r="BR653" s="1655"/>
      <c r="BS653" s="1655"/>
      <c r="BT653" s="1655"/>
      <c r="BU653" s="1655"/>
      <c r="BV653" s="1655"/>
      <c r="BW653" s="1655"/>
      <c r="BX653" s="1655"/>
      <c r="BY653" s="1655"/>
      <c r="BZ653" s="1655"/>
      <c r="CA653" s="1655"/>
      <c r="CB653" s="1655"/>
      <c r="CC653" s="1655"/>
      <c r="CD653" s="1655"/>
      <c r="CE653" s="1655"/>
      <c r="CF653" s="1655"/>
      <c r="CG653" s="1655"/>
      <c r="CH653" s="1655"/>
      <c r="CI653" s="1655"/>
      <c r="CJ653" s="1655"/>
      <c r="CK653" s="1655"/>
      <c r="CL653" s="1655"/>
      <c r="CM653" s="1655"/>
      <c r="CN653" s="1655"/>
      <c r="CO653" s="1655"/>
      <c r="CP653" s="1655"/>
      <c r="CQ653" s="1655"/>
      <c r="CR653" s="1655"/>
      <c r="CS653" s="1655"/>
      <c r="CT653" s="1655"/>
      <c r="CU653" s="1655"/>
      <c r="CV653" s="1655"/>
      <c r="CW653" s="1655"/>
      <c r="CX653" s="1655"/>
      <c r="CY653" s="1655"/>
      <c r="CZ653" s="1655"/>
      <c r="DA653" s="1655"/>
      <c r="DB653" s="1655"/>
      <c r="DC653" s="1655"/>
      <c r="DD653" s="1655"/>
      <c r="DE653" s="1655"/>
      <c r="DF653" s="1655"/>
      <c r="DG653" s="1655"/>
      <c r="DH653" s="1655"/>
      <c r="DI653" s="1655"/>
      <c r="DJ653" s="1655"/>
      <c r="DK653" s="1655"/>
      <c r="DL653" s="1655"/>
      <c r="DM653" s="1655"/>
      <c r="DN653" s="1655"/>
      <c r="DO653" s="1655"/>
      <c r="DP653" s="1655"/>
      <c r="DQ653" s="1655"/>
      <c r="DR653" s="1655"/>
      <c r="DS653" s="1655"/>
      <c r="DT653" s="1655"/>
      <c r="DU653" s="1655"/>
      <c r="DV653" s="1655"/>
      <c r="DW653" s="1655"/>
      <c r="DX653" s="1655"/>
      <c r="DY653" s="1655"/>
      <c r="DZ653" s="1655"/>
      <c r="EA653" s="1655"/>
      <c r="EB653" s="1655"/>
      <c r="EC653" s="1655"/>
      <c r="ED653" s="1655"/>
      <c r="EE653" s="1655"/>
      <c r="EF653" s="1655"/>
      <c r="EG653" s="1655"/>
      <c r="EH653" s="1655"/>
      <c r="EI653" s="1655"/>
      <c r="EJ653" s="1655"/>
      <c r="EK653" s="1655"/>
      <c r="EL653" s="1655"/>
      <c r="EM653" s="1655"/>
      <c r="EN653" s="1655"/>
      <c r="EO653" s="1655"/>
      <c r="EP653" s="1655"/>
      <c r="EQ653" s="1655"/>
      <c r="ER653" s="1655"/>
      <c r="ES653" s="1655"/>
      <c r="ET653" s="1655"/>
      <c r="EU653" s="1655"/>
      <c r="EV653" s="1655"/>
      <c r="EW653" s="1655"/>
      <c r="EX653" s="1655"/>
      <c r="EY653" s="1655"/>
      <c r="EZ653" s="1655"/>
      <c r="FA653" s="1655"/>
      <c r="FB653" s="1655"/>
      <c r="FC653" s="1655"/>
      <c r="FD653" s="1655"/>
      <c r="FE653" s="1655"/>
      <c r="FF653" s="1655"/>
      <c r="FG653" s="1655"/>
      <c r="FH653" s="1655"/>
      <c r="FI653" s="1655"/>
    </row>
    <row r="654" spans="1:165">
      <c r="A654" s="1655"/>
      <c r="B654" s="1655"/>
      <c r="C654" s="1655"/>
      <c r="D654" s="1655"/>
      <c r="E654" s="1655"/>
      <c r="F654" s="1655"/>
      <c r="G654" s="1655"/>
      <c r="H654" s="1655"/>
      <c r="I654" s="1655"/>
      <c r="J654" s="1655"/>
      <c r="K654" s="1655"/>
      <c r="L654" s="1655"/>
      <c r="M654" s="1655"/>
      <c r="N654" s="1655"/>
      <c r="O654" s="1655"/>
      <c r="P654" s="1655"/>
      <c r="Q654" s="1655"/>
      <c r="R654" s="1655"/>
      <c r="S654" s="1655"/>
      <c r="T654" s="1655"/>
      <c r="U654" s="1655"/>
      <c r="V654" s="1655"/>
      <c r="W654" s="1655"/>
      <c r="X654" s="1655"/>
      <c r="Y654" s="1655"/>
      <c r="Z654" s="1655"/>
      <c r="AA654" s="1655"/>
      <c r="AB654" s="1655"/>
      <c r="AC654" s="1655"/>
      <c r="AD654" s="1655"/>
      <c r="AE654" s="1655"/>
      <c r="AF654" s="1655"/>
      <c r="AG654" s="1655"/>
      <c r="AH654" s="1655"/>
      <c r="AI654" s="1655"/>
      <c r="AJ654" s="1655"/>
      <c r="AK654" s="1655"/>
      <c r="AL654" s="1655"/>
      <c r="AM654" s="1655"/>
      <c r="AN654" s="1655"/>
      <c r="AO654" s="1655"/>
      <c r="AP654" s="1655"/>
      <c r="AQ654" s="1655"/>
      <c r="AR654" s="1655"/>
      <c r="AS654" s="1655"/>
      <c r="AT654" s="1655"/>
      <c r="AU654" s="1655"/>
      <c r="AV654" s="1655"/>
      <c r="AW654" s="1655"/>
      <c r="AX654" s="1655"/>
      <c r="AY654" s="1655"/>
      <c r="AZ654" s="1655"/>
      <c r="BA654" s="1655"/>
      <c r="BB654" s="1655"/>
      <c r="BC654" s="1655"/>
      <c r="BD654" s="1655"/>
      <c r="BE654" s="1655"/>
      <c r="BF654" s="1655"/>
      <c r="BG654" s="1655"/>
      <c r="BH654" s="1655"/>
      <c r="BI654" s="1655"/>
      <c r="BJ654" s="1655"/>
      <c r="BK654" s="1655"/>
      <c r="BL654" s="1655"/>
      <c r="BM654" s="1655"/>
      <c r="BN654" s="1655"/>
      <c r="BO654" s="1655"/>
      <c r="BP654" s="1655"/>
      <c r="BQ654" s="1655"/>
      <c r="BR654" s="1655"/>
      <c r="BS654" s="1655"/>
      <c r="BT654" s="1655"/>
      <c r="BU654" s="1655"/>
      <c r="BV654" s="1655"/>
      <c r="BW654" s="1655"/>
      <c r="BX654" s="1655"/>
      <c r="BY654" s="1655"/>
      <c r="BZ654" s="1655"/>
      <c r="CA654" s="1655"/>
      <c r="CB654" s="1655"/>
      <c r="CC654" s="1655"/>
      <c r="CD654" s="1655"/>
      <c r="CE654" s="1655"/>
      <c r="CF654" s="1655"/>
      <c r="CG654" s="1655"/>
      <c r="CH654" s="1655"/>
      <c r="CI654" s="1655"/>
      <c r="CJ654" s="1655"/>
      <c r="CK654" s="1655"/>
      <c r="CL654" s="1655"/>
      <c r="CM654" s="1655"/>
      <c r="CN654" s="1655"/>
      <c r="CO654" s="1655"/>
      <c r="CP654" s="1655"/>
      <c r="CQ654" s="1655"/>
      <c r="CR654" s="1655"/>
      <c r="CS654" s="1655"/>
      <c r="CT654" s="1655"/>
      <c r="CU654" s="1655"/>
      <c r="CV654" s="1655"/>
      <c r="CW654" s="1655"/>
      <c r="CX654" s="1655"/>
      <c r="CY654" s="1655"/>
      <c r="CZ654" s="1655"/>
      <c r="DA654" s="1655"/>
      <c r="DB654" s="1655"/>
      <c r="DC654" s="1655"/>
      <c r="DD654" s="1655"/>
      <c r="DE654" s="1655"/>
      <c r="DF654" s="1655"/>
      <c r="DG654" s="1655"/>
      <c r="DH654" s="1655"/>
      <c r="DI654" s="1655"/>
      <c r="DJ654" s="1655"/>
      <c r="DK654" s="1655"/>
      <c r="DL654" s="1655"/>
      <c r="DM654" s="1655"/>
      <c r="DN654" s="1655"/>
      <c r="DO654" s="1655"/>
      <c r="DP654" s="1655"/>
      <c r="DQ654" s="1655"/>
      <c r="DR654" s="1655"/>
      <c r="DS654" s="1655"/>
      <c r="DT654" s="1655"/>
      <c r="DU654" s="1655"/>
      <c r="DV654" s="1655"/>
      <c r="DW654" s="1655"/>
      <c r="DX654" s="1655"/>
      <c r="DY654" s="1655"/>
      <c r="DZ654" s="1655"/>
      <c r="EA654" s="1655"/>
      <c r="EB654" s="1655"/>
      <c r="EC654" s="1655"/>
      <c r="ED654" s="1655"/>
      <c r="EE654" s="1655"/>
      <c r="EF654" s="1655"/>
      <c r="EG654" s="1655"/>
      <c r="EH654" s="1655"/>
      <c r="EI654" s="1655"/>
      <c r="EJ654" s="1655"/>
      <c r="EK654" s="1655"/>
      <c r="EL654" s="1655"/>
      <c r="EM654" s="1655"/>
      <c r="EN654" s="1655"/>
      <c r="EO654" s="1655"/>
      <c r="EP654" s="1655"/>
      <c r="EQ654" s="1655"/>
      <c r="ER654" s="1655"/>
      <c r="ES654" s="1655"/>
      <c r="ET654" s="1655"/>
      <c r="EU654" s="1655"/>
      <c r="EV654" s="1655"/>
      <c r="EW654" s="1655"/>
      <c r="EX654" s="1655"/>
      <c r="EY654" s="1655"/>
      <c r="EZ654" s="1655"/>
      <c r="FA654" s="1655"/>
      <c r="FB654" s="1655"/>
      <c r="FC654" s="1655"/>
      <c r="FD654" s="1655"/>
      <c r="FE654" s="1655"/>
      <c r="FF654" s="1655"/>
      <c r="FG654" s="1655"/>
      <c r="FH654" s="1655"/>
      <c r="FI654" s="1655"/>
    </row>
    <row r="655" spans="1:165">
      <c r="A655" s="1655"/>
      <c r="B655" s="1655"/>
      <c r="C655" s="1655"/>
      <c r="D655" s="1655"/>
      <c r="E655" s="1655"/>
      <c r="F655" s="1655"/>
      <c r="G655" s="1655"/>
      <c r="H655" s="1655"/>
      <c r="I655" s="1655"/>
      <c r="J655" s="1655"/>
      <c r="K655" s="1655"/>
      <c r="L655" s="1655"/>
      <c r="M655" s="1655"/>
      <c r="N655" s="1655"/>
      <c r="O655" s="1655"/>
      <c r="P655" s="1655"/>
      <c r="Q655" s="1655"/>
      <c r="R655" s="1655"/>
      <c r="S655" s="1655"/>
      <c r="T655" s="1655"/>
      <c r="U655" s="1655"/>
      <c r="V655" s="1655"/>
      <c r="W655" s="1655"/>
      <c r="X655" s="1655"/>
      <c r="Y655" s="1655"/>
      <c r="Z655" s="1655"/>
      <c r="AA655" s="1655"/>
      <c r="AB655" s="1655"/>
      <c r="AC655" s="1655"/>
      <c r="AD655" s="1655"/>
      <c r="AE655" s="1655"/>
      <c r="AF655" s="1655"/>
      <c r="AG655" s="1655"/>
      <c r="AH655" s="1655"/>
      <c r="AI655" s="1655"/>
      <c r="AJ655" s="1655"/>
      <c r="AK655" s="1655"/>
      <c r="AL655" s="1655"/>
      <c r="AM655" s="1655"/>
      <c r="AN655" s="1655"/>
      <c r="AO655" s="1655"/>
      <c r="AP655" s="1655"/>
      <c r="AQ655" s="1655"/>
      <c r="AR655" s="1655"/>
      <c r="AS655" s="1655"/>
      <c r="AT655" s="1655"/>
      <c r="AU655" s="1655"/>
      <c r="AV655" s="1655"/>
      <c r="AW655" s="1655"/>
      <c r="AX655" s="1655"/>
      <c r="AY655" s="1655"/>
      <c r="AZ655" s="1655"/>
      <c r="BA655" s="1655"/>
      <c r="BB655" s="1655"/>
      <c r="BC655" s="1655"/>
      <c r="BD655" s="1655"/>
      <c r="BE655" s="1655"/>
      <c r="BF655" s="1655"/>
      <c r="BG655" s="1655"/>
      <c r="BH655" s="1655"/>
      <c r="BI655" s="1655"/>
      <c r="BJ655" s="1655"/>
      <c r="BK655" s="1655"/>
      <c r="BL655" s="1655"/>
      <c r="BM655" s="1655"/>
      <c r="BN655" s="1655"/>
      <c r="BO655" s="1655"/>
      <c r="BP655" s="1655"/>
      <c r="BQ655" s="1655"/>
      <c r="BR655" s="1655"/>
      <c r="BS655" s="1655"/>
      <c r="BT655" s="1655"/>
      <c r="BU655" s="1655"/>
      <c r="BV655" s="1655"/>
      <c r="BW655" s="1655"/>
      <c r="BX655" s="1655"/>
      <c r="BY655" s="1655"/>
      <c r="BZ655" s="1655"/>
      <c r="CA655" s="1655"/>
      <c r="CB655" s="1655"/>
      <c r="CC655" s="1655"/>
      <c r="CD655" s="1655"/>
      <c r="CE655" s="1655"/>
      <c r="CF655" s="1655"/>
      <c r="CG655" s="1655"/>
      <c r="CH655" s="1655"/>
      <c r="CI655" s="1655"/>
      <c r="CJ655" s="1655"/>
      <c r="CK655" s="1655"/>
      <c r="CL655" s="1655"/>
      <c r="CM655" s="1655"/>
      <c r="CN655" s="1655"/>
      <c r="CO655" s="1655"/>
      <c r="CP655" s="1655"/>
      <c r="CQ655" s="1655"/>
      <c r="CR655" s="1655"/>
      <c r="CS655" s="1655"/>
      <c r="CT655" s="1655"/>
      <c r="CU655" s="1655"/>
      <c r="CV655" s="1655"/>
      <c r="CW655" s="1655"/>
      <c r="CX655" s="1655"/>
      <c r="CY655" s="1655"/>
      <c r="CZ655" s="1655"/>
      <c r="DA655" s="1655"/>
      <c r="DB655" s="1655"/>
      <c r="DC655" s="1655"/>
      <c r="DD655" s="1655"/>
      <c r="DE655" s="1655"/>
      <c r="DF655" s="1655"/>
      <c r="DG655" s="1655"/>
      <c r="DH655" s="1655"/>
      <c r="DI655" s="1655"/>
      <c r="DJ655" s="1655"/>
      <c r="DK655" s="1655"/>
      <c r="DL655" s="1655"/>
      <c r="DM655" s="1655"/>
      <c r="DN655" s="1655"/>
      <c r="DO655" s="1655"/>
      <c r="DP655" s="1655"/>
      <c r="DQ655" s="1655"/>
      <c r="DR655" s="1655"/>
      <c r="DS655" s="1655"/>
      <c r="DT655" s="1655"/>
      <c r="DU655" s="1655"/>
      <c r="DV655" s="1655"/>
      <c r="DW655" s="1655"/>
      <c r="DX655" s="1655"/>
      <c r="DY655" s="1655"/>
      <c r="DZ655" s="1655"/>
      <c r="EA655" s="1655"/>
      <c r="EB655" s="1655"/>
      <c r="EC655" s="1655"/>
      <c r="ED655" s="1655"/>
      <c r="EE655" s="1655"/>
      <c r="EF655" s="1655"/>
      <c r="EG655" s="1655"/>
      <c r="EH655" s="1655"/>
      <c r="EI655" s="1655"/>
      <c r="EJ655" s="1655"/>
      <c r="EK655" s="1655"/>
      <c r="EL655" s="1655"/>
      <c r="EM655" s="1655"/>
      <c r="EN655" s="1655"/>
      <c r="EO655" s="1655"/>
      <c r="EP655" s="1655"/>
      <c r="EQ655" s="1655"/>
      <c r="ER655" s="1655"/>
      <c r="ES655" s="1655"/>
      <c r="ET655" s="1655"/>
      <c r="EU655" s="1655"/>
      <c r="EV655" s="1655"/>
      <c r="EW655" s="1655"/>
      <c r="EX655" s="1655"/>
      <c r="EY655" s="1655"/>
      <c r="EZ655" s="1655"/>
      <c r="FA655" s="1655"/>
      <c r="FB655" s="1655"/>
      <c r="FC655" s="1655"/>
      <c r="FD655" s="1655"/>
      <c r="FE655" s="1655"/>
      <c r="FF655" s="1655"/>
      <c r="FG655" s="1655"/>
      <c r="FH655" s="1655"/>
      <c r="FI655" s="1655"/>
    </row>
    <row r="656" spans="1:165">
      <c r="A656" s="1655"/>
      <c r="B656" s="1655"/>
      <c r="C656" s="1655"/>
      <c r="D656" s="1655"/>
      <c r="E656" s="1655"/>
      <c r="F656" s="1655"/>
      <c r="G656" s="1655"/>
      <c r="H656" s="1655"/>
      <c r="I656" s="1655"/>
      <c r="J656" s="1655"/>
      <c r="K656" s="1655"/>
      <c r="L656" s="1655"/>
      <c r="M656" s="1655"/>
      <c r="N656" s="1655"/>
      <c r="O656" s="1655"/>
      <c r="P656" s="1655"/>
      <c r="Q656" s="1655"/>
      <c r="R656" s="1655"/>
      <c r="S656" s="1655"/>
      <c r="T656" s="1655"/>
      <c r="U656" s="1655"/>
      <c r="V656" s="1655"/>
      <c r="W656" s="1655"/>
      <c r="X656" s="1655"/>
      <c r="Y656" s="1655"/>
      <c r="Z656" s="1655"/>
      <c r="AA656" s="1655"/>
      <c r="AB656" s="1655"/>
      <c r="AC656" s="1655"/>
      <c r="AD656" s="1655"/>
      <c r="AE656" s="1655"/>
      <c r="AF656" s="1655"/>
      <c r="AG656" s="1655"/>
      <c r="AH656" s="1655"/>
      <c r="AI656" s="1655"/>
      <c r="AJ656" s="1655"/>
      <c r="AK656" s="1655"/>
      <c r="AL656" s="1655"/>
      <c r="AM656" s="1655"/>
      <c r="AN656" s="1655"/>
      <c r="AO656" s="1655"/>
      <c r="AP656" s="1655"/>
      <c r="AQ656" s="1655"/>
      <c r="AR656" s="1655"/>
      <c r="AS656" s="1655"/>
      <c r="AT656" s="1655"/>
      <c r="AU656" s="1655"/>
      <c r="AV656" s="1655"/>
      <c r="AW656" s="1655"/>
      <c r="AX656" s="1655"/>
      <c r="AY656" s="1655"/>
      <c r="AZ656" s="1655"/>
      <c r="BA656" s="1655"/>
      <c r="BB656" s="1655"/>
      <c r="BC656" s="1655"/>
      <c r="BD656" s="1655"/>
      <c r="BE656" s="1655"/>
      <c r="BF656" s="1655"/>
      <c r="BG656" s="1655"/>
      <c r="BH656" s="1655"/>
      <c r="BI656" s="1655"/>
      <c r="BJ656" s="1655"/>
      <c r="BK656" s="1655"/>
      <c r="BL656" s="1655"/>
      <c r="BM656" s="1655"/>
      <c r="BN656" s="1655"/>
      <c r="BO656" s="1655"/>
      <c r="BP656" s="1655"/>
      <c r="BQ656" s="1655"/>
      <c r="BR656" s="1655"/>
      <c r="BS656" s="1655"/>
      <c r="BT656" s="1655"/>
      <c r="BU656" s="1655"/>
      <c r="BV656" s="1655"/>
      <c r="BW656" s="1655"/>
      <c r="BX656" s="1655"/>
      <c r="BY656" s="1655"/>
      <c r="BZ656" s="1655"/>
      <c r="CA656" s="1655"/>
      <c r="CB656" s="1655"/>
      <c r="CC656" s="1655"/>
      <c r="CD656" s="1655"/>
      <c r="CE656" s="1655"/>
      <c r="CF656" s="1655"/>
      <c r="CG656" s="1655"/>
      <c r="CH656" s="1655"/>
      <c r="CI656" s="1655"/>
      <c r="CJ656" s="1655"/>
      <c r="CK656" s="1655"/>
      <c r="CL656" s="1655"/>
      <c r="CM656" s="1655"/>
      <c r="CN656" s="1655"/>
      <c r="CO656" s="1655"/>
      <c r="CP656" s="1655"/>
      <c r="CQ656" s="1655"/>
      <c r="CR656" s="1655"/>
      <c r="CS656" s="1655"/>
      <c r="CT656" s="1655"/>
      <c r="CU656" s="1655"/>
      <c r="CV656" s="1655"/>
      <c r="CW656" s="1655"/>
      <c r="CX656" s="1655"/>
      <c r="CY656" s="1655"/>
      <c r="CZ656" s="1655"/>
      <c r="DA656" s="1655"/>
      <c r="DB656" s="1655"/>
      <c r="DC656" s="1655"/>
      <c r="DD656" s="1655"/>
      <c r="DE656" s="1655"/>
      <c r="DF656" s="1655"/>
      <c r="DG656" s="1655"/>
      <c r="DH656" s="1655"/>
      <c r="DI656" s="1655"/>
      <c r="DJ656" s="1655"/>
      <c r="DK656" s="1655"/>
      <c r="DL656" s="1655"/>
      <c r="DM656" s="1655"/>
      <c r="DN656" s="1655"/>
      <c r="DO656" s="1655"/>
      <c r="DP656" s="1655"/>
      <c r="DQ656" s="1655"/>
      <c r="DR656" s="1655"/>
      <c r="DS656" s="1655"/>
      <c r="DT656" s="1655"/>
      <c r="DU656" s="1655"/>
      <c r="DV656" s="1655"/>
      <c r="DW656" s="1655"/>
      <c r="DX656" s="1655"/>
      <c r="DY656" s="1655"/>
      <c r="DZ656" s="1655"/>
      <c r="EA656" s="1655"/>
      <c r="EB656" s="1655"/>
      <c r="EC656" s="1655"/>
      <c r="ED656" s="1655"/>
      <c r="EE656" s="1655"/>
      <c r="EF656" s="1655"/>
      <c r="EG656" s="1655"/>
      <c r="EH656" s="1655"/>
      <c r="EI656" s="1655"/>
      <c r="EJ656" s="1655"/>
      <c r="EK656" s="1655"/>
      <c r="EL656" s="1655"/>
      <c r="EM656" s="1655"/>
      <c r="EN656" s="1655"/>
      <c r="EO656" s="1655"/>
      <c r="EP656" s="1655"/>
      <c r="EQ656" s="1655"/>
      <c r="ER656" s="1655"/>
      <c r="ES656" s="1655"/>
      <c r="ET656" s="1655"/>
      <c r="EU656" s="1655"/>
      <c r="EV656" s="1655"/>
      <c r="EW656" s="1655"/>
      <c r="EX656" s="1655"/>
      <c r="EY656" s="1655"/>
      <c r="EZ656" s="1655"/>
      <c r="FA656" s="1655"/>
      <c r="FB656" s="1655"/>
      <c r="FC656" s="1655"/>
      <c r="FD656" s="1655"/>
      <c r="FE656" s="1655"/>
      <c r="FF656" s="1655"/>
      <c r="FG656" s="1655"/>
      <c r="FH656" s="1655"/>
      <c r="FI656" s="1655"/>
    </row>
    <row r="657" spans="1:165">
      <c r="A657" s="1655"/>
      <c r="B657" s="1655"/>
      <c r="C657" s="1655"/>
      <c r="D657" s="1655"/>
      <c r="E657" s="1655"/>
      <c r="F657" s="1655"/>
      <c r="G657" s="1655"/>
      <c r="H657" s="1655"/>
      <c r="I657" s="1655"/>
      <c r="J657" s="1655"/>
      <c r="K657" s="1655"/>
      <c r="L657" s="1655"/>
      <c r="M657" s="1655"/>
      <c r="N657" s="1655"/>
      <c r="O657" s="1655"/>
      <c r="P657" s="1655"/>
      <c r="Q657" s="1655"/>
      <c r="R657" s="1655"/>
      <c r="S657" s="1655"/>
      <c r="T657" s="1655"/>
      <c r="U657" s="1655"/>
      <c r="V657" s="1655"/>
      <c r="W657" s="1655"/>
      <c r="X657" s="1655"/>
      <c r="Y657" s="1655"/>
      <c r="Z657" s="1655"/>
      <c r="AA657" s="1655"/>
      <c r="AB657" s="1655"/>
      <c r="AC657" s="1655"/>
      <c r="AD657" s="1655"/>
      <c r="AE657" s="1655"/>
      <c r="AF657" s="1655"/>
      <c r="AG657" s="1655"/>
      <c r="AH657" s="1655"/>
      <c r="AI657" s="1655"/>
      <c r="AJ657" s="1655"/>
      <c r="AK657" s="1655"/>
      <c r="AL657" s="1655"/>
      <c r="AM657" s="1655"/>
      <c r="AN657" s="1655"/>
      <c r="AO657" s="1655"/>
      <c r="AP657" s="1655"/>
      <c r="AQ657" s="1655"/>
      <c r="AR657" s="1655"/>
      <c r="AS657" s="1655"/>
      <c r="AT657" s="1655"/>
      <c r="AU657" s="1655"/>
      <c r="AV657" s="1655"/>
      <c r="AW657" s="1655"/>
      <c r="AX657" s="1655"/>
      <c r="AY657" s="1655"/>
      <c r="AZ657" s="1655"/>
      <c r="BA657" s="1655"/>
      <c r="BB657" s="1655"/>
      <c r="BC657" s="1655"/>
      <c r="BD657" s="1655"/>
      <c r="BE657" s="1655"/>
      <c r="BF657" s="1655"/>
      <c r="BG657" s="1655"/>
      <c r="BH657" s="1655"/>
      <c r="BI657" s="1655"/>
      <c r="BJ657" s="1655"/>
      <c r="BK657" s="1655"/>
      <c r="BL657" s="1655"/>
      <c r="BM657" s="1655"/>
      <c r="BN657" s="1655"/>
      <c r="BO657" s="1655"/>
      <c r="BP657" s="1655"/>
      <c r="BQ657" s="1655"/>
      <c r="BR657" s="1655"/>
      <c r="BS657" s="1655"/>
      <c r="BT657" s="1655"/>
      <c r="BU657" s="1655"/>
      <c r="BV657" s="1655"/>
      <c r="BW657" s="1655"/>
      <c r="BX657" s="1655"/>
      <c r="BY657" s="1655"/>
      <c r="BZ657" s="1655"/>
      <c r="CA657" s="1655"/>
      <c r="CB657" s="1655"/>
      <c r="CC657" s="1655"/>
      <c r="CD657" s="1655"/>
      <c r="CE657" s="1655"/>
      <c r="CF657" s="1655"/>
      <c r="CG657" s="1655"/>
      <c r="CH657" s="1655"/>
      <c r="CI657" s="1655"/>
      <c r="CJ657" s="1655"/>
      <c r="CK657" s="1655"/>
      <c r="CL657" s="1655"/>
      <c r="CM657" s="1655"/>
      <c r="CN657" s="1655"/>
      <c r="CO657" s="1655"/>
      <c r="CP657" s="1655"/>
      <c r="CQ657" s="1655"/>
      <c r="CR657" s="1655"/>
      <c r="CS657" s="1655"/>
      <c r="CT657" s="1655"/>
      <c r="CU657" s="1655"/>
      <c r="CV657" s="1655"/>
      <c r="CW657" s="1655"/>
      <c r="CX657" s="1655"/>
      <c r="CY657" s="1655"/>
      <c r="CZ657" s="1655"/>
      <c r="DA657" s="1655"/>
      <c r="DB657" s="1655"/>
      <c r="DC657" s="1655"/>
      <c r="DD657" s="1655"/>
      <c r="DE657" s="1655"/>
      <c r="DF657" s="1655"/>
      <c r="DG657" s="1655"/>
      <c r="DH657" s="1655"/>
      <c r="DI657" s="1655"/>
      <c r="DJ657" s="1655"/>
      <c r="DK657" s="1655"/>
      <c r="DL657" s="1655"/>
      <c r="DM657" s="1655"/>
      <c r="DN657" s="1655"/>
      <c r="DO657" s="1655"/>
      <c r="DP657" s="1655"/>
      <c r="DQ657" s="1655"/>
      <c r="DR657" s="1655"/>
      <c r="DS657" s="1655"/>
      <c r="DT657" s="1655"/>
      <c r="DU657" s="1655"/>
      <c r="DV657" s="1655"/>
      <c r="DW657" s="1655"/>
      <c r="DX657" s="1655"/>
      <c r="DY657" s="1655"/>
      <c r="DZ657" s="1655"/>
      <c r="EA657" s="1655"/>
      <c r="EB657" s="1655"/>
      <c r="EC657" s="1655"/>
      <c r="ED657" s="1655"/>
      <c r="EE657" s="1655"/>
      <c r="EF657" s="1655"/>
      <c r="EG657" s="1655"/>
      <c r="EH657" s="1655"/>
      <c r="EI657" s="1655"/>
      <c r="EJ657" s="1655"/>
      <c r="EK657" s="1655"/>
      <c r="EL657" s="1655"/>
      <c r="EM657" s="1655"/>
      <c r="EN657" s="1655"/>
      <c r="EO657" s="1655"/>
      <c r="EP657" s="1655"/>
      <c r="EQ657" s="1655"/>
      <c r="ER657" s="1655"/>
      <c r="ES657" s="1655"/>
      <c r="ET657" s="1655"/>
      <c r="EU657" s="1655"/>
      <c r="EV657" s="1655"/>
      <c r="EW657" s="1655"/>
      <c r="EX657" s="1655"/>
      <c r="EY657" s="1655"/>
      <c r="EZ657" s="1655"/>
      <c r="FA657" s="1655"/>
      <c r="FB657" s="1655"/>
      <c r="FC657" s="1655"/>
      <c r="FD657" s="1655"/>
      <c r="FE657" s="1655"/>
      <c r="FF657" s="1655"/>
      <c r="FG657" s="1655"/>
      <c r="FH657" s="1655"/>
      <c r="FI657" s="1655"/>
    </row>
    <row r="658" spans="1:165">
      <c r="A658" s="1655"/>
      <c r="B658" s="1655"/>
      <c r="C658" s="1655"/>
      <c r="D658" s="1655"/>
      <c r="E658" s="1655"/>
      <c r="F658" s="1655"/>
      <c r="G658" s="1655"/>
      <c r="H658" s="1655"/>
      <c r="I658" s="1655"/>
      <c r="J658" s="1655"/>
      <c r="K658" s="1655"/>
      <c r="L658" s="1655"/>
      <c r="M658" s="1655"/>
      <c r="N658" s="1655"/>
      <c r="O658" s="1655"/>
      <c r="P658" s="1655"/>
      <c r="Q658" s="1655"/>
      <c r="R658" s="1655"/>
      <c r="S658" s="1655"/>
      <c r="T658" s="1655"/>
      <c r="U658" s="1655"/>
      <c r="V658" s="1655"/>
      <c r="W658" s="1655"/>
      <c r="X658" s="1655"/>
      <c r="Y658" s="1655"/>
      <c r="Z658" s="1655"/>
      <c r="AA658" s="1655"/>
      <c r="AB658" s="1655"/>
      <c r="AC658" s="1655"/>
      <c r="AD658" s="1655"/>
      <c r="AE658" s="1655"/>
      <c r="AF658" s="1655"/>
      <c r="AG658" s="1655"/>
      <c r="AH658" s="1655"/>
      <c r="AI658" s="1655"/>
      <c r="AJ658" s="1655"/>
      <c r="AK658" s="1655"/>
      <c r="AL658" s="1655"/>
      <c r="AM658" s="1655"/>
      <c r="AN658" s="1655"/>
      <c r="AO658" s="1655"/>
      <c r="AP658" s="1655"/>
      <c r="AQ658" s="1655"/>
      <c r="AR658" s="1655"/>
      <c r="AS658" s="1655"/>
      <c r="AT658" s="1655"/>
      <c r="AU658" s="1655"/>
      <c r="AV658" s="1655"/>
      <c r="AW658" s="1655"/>
      <c r="AX658" s="1655"/>
      <c r="AY658" s="1655"/>
      <c r="AZ658" s="1655"/>
      <c r="BA658" s="1655"/>
      <c r="BB658" s="1655"/>
      <c r="BC658" s="1655"/>
      <c r="BD658" s="1655"/>
      <c r="BE658" s="1655"/>
      <c r="BF658" s="1655"/>
      <c r="BG658" s="1655"/>
      <c r="BH658" s="1655"/>
      <c r="BI658" s="1655"/>
      <c r="BJ658" s="1655"/>
      <c r="BK658" s="1655"/>
      <c r="BL658" s="1655"/>
      <c r="BM658" s="1655"/>
      <c r="BN658" s="1655"/>
      <c r="BO658" s="1655"/>
      <c r="BP658" s="1655"/>
      <c r="BQ658" s="1655"/>
      <c r="BR658" s="1655"/>
      <c r="BS658" s="1655"/>
      <c r="BT658" s="1655"/>
      <c r="BU658" s="1655"/>
      <c r="BV658" s="1655"/>
      <c r="BW658" s="1655"/>
      <c r="BX658" s="1655"/>
      <c r="BY658" s="1655"/>
      <c r="BZ658" s="1655"/>
      <c r="CA658" s="1655"/>
      <c r="CB658" s="1655"/>
      <c r="CC658" s="1655"/>
      <c r="CD658" s="1655"/>
      <c r="CE658" s="1655"/>
      <c r="CF658" s="1655"/>
      <c r="CG658" s="1655"/>
      <c r="CH658" s="1655"/>
      <c r="CI658" s="1655"/>
      <c r="CJ658" s="1655"/>
      <c r="CK658" s="1655"/>
      <c r="CL658" s="1655"/>
      <c r="CM658" s="1655"/>
      <c r="CN658" s="1655"/>
      <c r="CO658" s="1655"/>
      <c r="CP658" s="1655"/>
      <c r="CQ658" s="1655"/>
      <c r="CR658" s="1655"/>
      <c r="CS658" s="1655"/>
      <c r="CT658" s="1655"/>
      <c r="CU658" s="1655"/>
      <c r="CV658" s="1655"/>
      <c r="CW658" s="1655"/>
      <c r="CX658" s="1655"/>
      <c r="CY658" s="1655"/>
      <c r="CZ658" s="1655"/>
      <c r="DA658" s="1655"/>
      <c r="DB658" s="1655"/>
      <c r="DC658" s="1655"/>
      <c r="DD658" s="1655"/>
      <c r="DE658" s="1655"/>
      <c r="DF658" s="1655"/>
      <c r="DG658" s="1655"/>
      <c r="DH658" s="1655"/>
      <c r="DI658" s="1655"/>
      <c r="DJ658" s="1655"/>
      <c r="DK658" s="1655"/>
      <c r="DL658" s="1655"/>
      <c r="DM658" s="1655"/>
      <c r="DN658" s="1655"/>
      <c r="DO658" s="1655"/>
      <c r="DP658" s="1655"/>
      <c r="DQ658" s="1655"/>
      <c r="DR658" s="1655"/>
      <c r="DS658" s="1655"/>
      <c r="DT658" s="1655"/>
      <c r="DU658" s="1655"/>
      <c r="DV658" s="1655"/>
      <c r="DW658" s="1655"/>
      <c r="DX658" s="1655"/>
      <c r="DY658" s="1655"/>
      <c r="DZ658" s="1655"/>
      <c r="EA658" s="1655"/>
      <c r="EB658" s="1655"/>
      <c r="EC658" s="1655"/>
      <c r="ED658" s="1655"/>
      <c r="EE658" s="1655"/>
      <c r="EF658" s="1655"/>
      <c r="EG658" s="1655"/>
      <c r="EH658" s="1655"/>
      <c r="EI658" s="1655"/>
      <c r="EJ658" s="1655"/>
      <c r="EK658" s="1655"/>
      <c r="EL658" s="1655"/>
      <c r="EM658" s="1655"/>
      <c r="EN658" s="1655"/>
      <c r="EO658" s="1655"/>
      <c r="EP658" s="1655"/>
      <c r="EQ658" s="1655"/>
      <c r="ER658" s="1655"/>
      <c r="ES658" s="1655"/>
      <c r="ET658" s="1655"/>
      <c r="EU658" s="1655"/>
      <c r="EV658" s="1655"/>
      <c r="EW658" s="1655"/>
      <c r="EX658" s="1655"/>
      <c r="EY658" s="1655"/>
      <c r="EZ658" s="1655"/>
      <c r="FA658" s="1655"/>
      <c r="FB658" s="1655"/>
      <c r="FC658" s="1655"/>
      <c r="FD658" s="1655"/>
      <c r="FE658" s="1655"/>
      <c r="FF658" s="1655"/>
      <c r="FG658" s="1655"/>
      <c r="FH658" s="1655"/>
      <c r="FI658" s="1655"/>
    </row>
    <row r="659" spans="1:165">
      <c r="A659" s="1655"/>
      <c r="B659" s="1655"/>
      <c r="C659" s="1655"/>
      <c r="D659" s="1655"/>
      <c r="E659" s="1655"/>
      <c r="F659" s="1655"/>
      <c r="G659" s="1655"/>
      <c r="H659" s="1655"/>
      <c r="I659" s="1655"/>
      <c r="J659" s="1655"/>
      <c r="K659" s="1655"/>
      <c r="L659" s="1655"/>
      <c r="M659" s="1655"/>
      <c r="N659" s="1655"/>
      <c r="O659" s="1655"/>
      <c r="P659" s="1655"/>
      <c r="Q659" s="1655"/>
      <c r="R659" s="1655"/>
      <c r="S659" s="1655"/>
      <c r="T659" s="1655"/>
      <c r="U659" s="1655"/>
      <c r="V659" s="1655"/>
      <c r="W659" s="1655"/>
      <c r="X659" s="1655"/>
      <c r="Y659" s="1655"/>
      <c r="Z659" s="1655"/>
      <c r="AA659" s="1655"/>
      <c r="AB659" s="1655"/>
      <c r="AC659" s="1655"/>
      <c r="AD659" s="1655"/>
      <c r="AE659" s="1655"/>
      <c r="AF659" s="1655"/>
      <c r="AG659" s="1655"/>
      <c r="AH659" s="1655"/>
      <c r="AI659" s="1655"/>
      <c r="AJ659" s="1655"/>
      <c r="AK659" s="1655"/>
      <c r="AL659" s="1655"/>
      <c r="AM659" s="1655"/>
      <c r="AN659" s="1655"/>
      <c r="AO659" s="1655"/>
      <c r="AP659" s="1655"/>
      <c r="AQ659" s="1655"/>
      <c r="AR659" s="1655"/>
      <c r="AS659" s="1655"/>
      <c r="AT659" s="1655"/>
      <c r="AU659" s="1655"/>
      <c r="AV659" s="1655"/>
      <c r="AW659" s="1655"/>
      <c r="AX659" s="1655"/>
      <c r="AY659" s="1655"/>
      <c r="AZ659" s="1655"/>
      <c r="BA659" s="1655"/>
      <c r="BB659" s="1655"/>
      <c r="BC659" s="1655"/>
      <c r="BD659" s="1655"/>
      <c r="BE659" s="1655"/>
      <c r="BF659" s="1655"/>
      <c r="BG659" s="1655"/>
      <c r="BH659" s="1655"/>
      <c r="BI659" s="1655"/>
      <c r="BJ659" s="1655"/>
      <c r="BK659" s="1655"/>
      <c r="BL659" s="1655"/>
      <c r="BM659" s="1655"/>
      <c r="BN659" s="1655"/>
      <c r="BO659" s="1655"/>
      <c r="BP659" s="1655"/>
      <c r="BQ659" s="1655"/>
      <c r="BR659" s="1655"/>
      <c r="BS659" s="1655"/>
      <c r="BT659" s="1655"/>
      <c r="BU659" s="1655"/>
      <c r="BV659" s="1655"/>
      <c r="BW659" s="1655"/>
      <c r="BX659" s="1655"/>
      <c r="BY659" s="1655"/>
      <c r="BZ659" s="1655"/>
      <c r="CA659" s="1655"/>
      <c r="CB659" s="1655"/>
      <c r="CC659" s="1655"/>
      <c r="CD659" s="1655"/>
      <c r="CE659" s="1655"/>
      <c r="CF659" s="1655"/>
      <c r="CG659" s="1655"/>
      <c r="CH659" s="1655"/>
      <c r="CI659" s="1655"/>
      <c r="CJ659" s="1655"/>
      <c r="CK659" s="1655"/>
      <c r="CL659" s="1655"/>
      <c r="CM659" s="1655"/>
      <c r="CN659" s="1655"/>
      <c r="CO659" s="1655"/>
      <c r="CP659" s="1655"/>
      <c r="CQ659" s="1655"/>
      <c r="CR659" s="1655"/>
      <c r="CS659" s="1655"/>
      <c r="CT659" s="1655"/>
      <c r="CU659" s="1655"/>
      <c r="CV659" s="1655"/>
      <c r="CW659" s="1655"/>
      <c r="CX659" s="1655"/>
      <c r="CY659" s="1655"/>
      <c r="CZ659" s="1655"/>
      <c r="DA659" s="1655"/>
      <c r="DB659" s="1655"/>
      <c r="DC659" s="1655"/>
      <c r="DD659" s="1655"/>
      <c r="DE659" s="1655"/>
      <c r="DF659" s="1655"/>
      <c r="DG659" s="1655"/>
      <c r="DH659" s="1655"/>
      <c r="DI659" s="1655"/>
      <c r="DJ659" s="1655"/>
      <c r="DK659" s="1655"/>
      <c r="DL659" s="1655"/>
      <c r="DM659" s="1655"/>
      <c r="DN659" s="1655"/>
      <c r="DO659" s="1655"/>
      <c r="DP659" s="1655"/>
      <c r="DQ659" s="1655"/>
      <c r="DR659" s="1655"/>
      <c r="DS659" s="1655"/>
      <c r="DT659" s="1655"/>
      <c r="DU659" s="1655"/>
      <c r="DV659" s="1655"/>
      <c r="DW659" s="1655"/>
      <c r="DX659" s="1655"/>
      <c r="DY659" s="1655"/>
      <c r="DZ659" s="1655"/>
      <c r="EA659" s="1655"/>
      <c r="EB659" s="1655"/>
      <c r="EC659" s="1655"/>
      <c r="ED659" s="1655"/>
      <c r="EE659" s="1655"/>
      <c r="EF659" s="1655"/>
      <c r="EG659" s="1655"/>
      <c r="EH659" s="1655"/>
      <c r="EI659" s="1655"/>
      <c r="EJ659" s="1655"/>
      <c r="EK659" s="1655"/>
      <c r="EL659" s="1655"/>
      <c r="EM659" s="1655"/>
      <c r="EN659" s="1655"/>
      <c r="EO659" s="1655"/>
      <c r="EP659" s="1655"/>
      <c r="EQ659" s="1655"/>
      <c r="ER659" s="1655"/>
      <c r="ES659" s="1655"/>
      <c r="ET659" s="1655"/>
      <c r="EU659" s="1655"/>
      <c r="EV659" s="1655"/>
      <c r="EW659" s="1655"/>
      <c r="EX659" s="1655"/>
      <c r="EY659" s="1655"/>
      <c r="EZ659" s="1655"/>
      <c r="FA659" s="1655"/>
      <c r="FB659" s="1655"/>
      <c r="FC659" s="1655"/>
      <c r="FD659" s="1655"/>
      <c r="FE659" s="1655"/>
      <c r="FF659" s="1655"/>
      <c r="FG659" s="1655"/>
      <c r="FH659" s="1655"/>
      <c r="FI659" s="1655"/>
    </row>
    <row r="660" spans="1:165">
      <c r="A660" s="1655"/>
      <c r="B660" s="1655"/>
      <c r="C660" s="1655"/>
      <c r="D660" s="1655"/>
      <c r="E660" s="1655"/>
      <c r="F660" s="1655"/>
      <c r="G660" s="1655"/>
      <c r="H660" s="1655"/>
      <c r="I660" s="1655"/>
      <c r="J660" s="1655"/>
      <c r="K660" s="1655"/>
      <c r="L660" s="1655"/>
      <c r="M660" s="1655"/>
      <c r="N660" s="1655"/>
      <c r="O660" s="1655"/>
      <c r="P660" s="1655"/>
      <c r="Q660" s="1655"/>
      <c r="R660" s="1655"/>
      <c r="S660" s="1655"/>
      <c r="T660" s="1655"/>
      <c r="U660" s="1655"/>
      <c r="V660" s="1655"/>
      <c r="W660" s="1655"/>
      <c r="X660" s="1655"/>
      <c r="Y660" s="1655"/>
      <c r="Z660" s="1655"/>
      <c r="AA660" s="1655"/>
      <c r="AB660" s="1655"/>
      <c r="AC660" s="1655"/>
      <c r="AD660" s="1655"/>
      <c r="AE660" s="1655"/>
      <c r="AF660" s="1655"/>
      <c r="AG660" s="1655"/>
      <c r="AH660" s="1655"/>
      <c r="AI660" s="1655"/>
      <c r="AJ660" s="1655"/>
      <c r="AK660" s="1655"/>
      <c r="AL660" s="1655"/>
      <c r="AM660" s="1655"/>
      <c r="AN660" s="1655"/>
      <c r="AO660" s="1655"/>
      <c r="AP660" s="1655"/>
      <c r="AQ660" s="1655"/>
      <c r="AR660" s="1655"/>
      <c r="AS660" s="1655"/>
      <c r="AT660" s="1655"/>
      <c r="AU660" s="1655"/>
      <c r="AV660" s="1655"/>
      <c r="AW660" s="1655"/>
      <c r="AX660" s="1655"/>
      <c r="AY660" s="1655"/>
      <c r="AZ660" s="1655"/>
      <c r="BA660" s="1655"/>
      <c r="BB660" s="1655"/>
      <c r="BC660" s="1655"/>
      <c r="BD660" s="1655"/>
      <c r="BE660" s="1655"/>
      <c r="BF660" s="1655"/>
      <c r="BG660" s="1655"/>
      <c r="BH660" s="1655"/>
      <c r="BI660" s="1655"/>
      <c r="BJ660" s="1655"/>
      <c r="BK660" s="1655"/>
      <c r="BL660" s="1655"/>
      <c r="BM660" s="1655"/>
      <c r="BN660" s="1655"/>
      <c r="BO660" s="1655"/>
      <c r="BP660" s="1655"/>
      <c r="BQ660" s="1655"/>
      <c r="BR660" s="1655"/>
      <c r="BS660" s="1655"/>
      <c r="BT660" s="1655"/>
      <c r="BU660" s="1655"/>
      <c r="BV660" s="1655"/>
      <c r="BW660" s="1655"/>
      <c r="BX660" s="1655"/>
      <c r="BY660" s="1655"/>
      <c r="BZ660" s="1655"/>
      <c r="CA660" s="1655"/>
      <c r="CB660" s="1655"/>
      <c r="CC660" s="1655"/>
      <c r="CD660" s="1655"/>
      <c r="CE660" s="1655"/>
      <c r="CF660" s="1655"/>
      <c r="CG660" s="1655"/>
      <c r="CH660" s="1655"/>
      <c r="CI660" s="1655"/>
      <c r="CJ660" s="1655"/>
      <c r="CK660" s="1655"/>
      <c r="CL660" s="1655"/>
      <c r="CM660" s="1655"/>
      <c r="CN660" s="1655"/>
      <c r="CO660" s="1655"/>
      <c r="CP660" s="1655"/>
      <c r="CQ660" s="1655"/>
      <c r="CR660" s="1655"/>
      <c r="CS660" s="1655"/>
      <c r="CT660" s="1655"/>
      <c r="CU660" s="1655"/>
      <c r="CV660" s="1655"/>
      <c r="CW660" s="1655"/>
      <c r="CX660" s="1655"/>
      <c r="CY660" s="1655"/>
      <c r="CZ660" s="1655"/>
      <c r="DA660" s="1655"/>
      <c r="DB660" s="1655"/>
      <c r="DC660" s="1655"/>
      <c r="DD660" s="1655"/>
      <c r="DE660" s="1655"/>
      <c r="DF660" s="1655"/>
      <c r="DG660" s="1655"/>
      <c r="DH660" s="1655"/>
      <c r="DI660" s="1655"/>
      <c r="DJ660" s="1655"/>
      <c r="DK660" s="1655"/>
      <c r="DL660" s="1655"/>
      <c r="DM660" s="1655"/>
      <c r="DN660" s="1655"/>
      <c r="DO660" s="1655"/>
      <c r="DP660" s="1655"/>
      <c r="DQ660" s="1655"/>
      <c r="DR660" s="1655"/>
      <c r="DS660" s="1655"/>
      <c r="DT660" s="1655"/>
      <c r="DU660" s="1655"/>
      <c r="DV660" s="1655"/>
      <c r="DW660" s="1655"/>
      <c r="DX660" s="1655"/>
      <c r="DY660" s="1655"/>
      <c r="DZ660" s="1655"/>
      <c r="EA660" s="1655"/>
      <c r="EB660" s="1655"/>
      <c r="EC660" s="1655"/>
      <c r="ED660" s="1655"/>
      <c r="EE660" s="1655"/>
      <c r="EF660" s="1655"/>
      <c r="EG660" s="1655"/>
      <c r="EH660" s="1655"/>
      <c r="EI660" s="1655"/>
      <c r="EJ660" s="1655"/>
      <c r="EK660" s="1655"/>
      <c r="EL660" s="1655"/>
      <c r="EM660" s="1655"/>
      <c r="EN660" s="1655"/>
      <c r="EO660" s="1655"/>
      <c r="EP660" s="1655"/>
      <c r="EQ660" s="1655"/>
      <c r="ER660" s="1655"/>
      <c r="ES660" s="1655"/>
      <c r="ET660" s="1655"/>
      <c r="EU660" s="1655"/>
      <c r="EV660" s="1655"/>
      <c r="EW660" s="1655"/>
      <c r="EX660" s="1655"/>
      <c r="EY660" s="1655"/>
      <c r="EZ660" s="1655"/>
      <c r="FA660" s="1655"/>
      <c r="FB660" s="1655"/>
      <c r="FC660" s="1655"/>
      <c r="FD660" s="1655"/>
      <c r="FE660" s="1655"/>
      <c r="FF660" s="1655"/>
      <c r="FG660" s="1655"/>
      <c r="FH660" s="1655"/>
      <c r="FI660" s="1655"/>
    </row>
    <row r="661" spans="1:165">
      <c r="A661" s="1655"/>
      <c r="B661" s="1655"/>
      <c r="C661" s="1655"/>
      <c r="D661" s="1655"/>
      <c r="E661" s="1655"/>
      <c r="F661" s="1655"/>
      <c r="G661" s="1655"/>
      <c r="H661" s="1655"/>
      <c r="I661" s="1655"/>
      <c r="J661" s="1655"/>
      <c r="K661" s="1655"/>
      <c r="L661" s="1655"/>
      <c r="M661" s="1655"/>
      <c r="N661" s="1655"/>
      <c r="O661" s="1655"/>
      <c r="P661" s="1655"/>
      <c r="Q661" s="1655"/>
      <c r="R661" s="1655"/>
      <c r="S661" s="1655"/>
      <c r="T661" s="1655"/>
      <c r="U661" s="1655"/>
      <c r="V661" s="1655"/>
      <c r="W661" s="1655"/>
      <c r="X661" s="1655"/>
      <c r="Y661" s="1655"/>
      <c r="Z661" s="1655"/>
      <c r="AA661" s="1655"/>
      <c r="AB661" s="1655"/>
      <c r="AC661" s="1655"/>
      <c r="AD661" s="1655"/>
      <c r="AE661" s="1655"/>
      <c r="AF661" s="1655"/>
      <c r="AG661" s="1655"/>
      <c r="AH661" s="1655"/>
      <c r="AI661" s="1655"/>
      <c r="AJ661" s="1655"/>
      <c r="AK661" s="1655"/>
      <c r="AL661" s="1655"/>
      <c r="AM661" s="1655"/>
      <c r="AN661" s="1655"/>
      <c r="AO661" s="1655"/>
      <c r="AP661" s="1655"/>
      <c r="AQ661" s="1655"/>
      <c r="AR661" s="1655"/>
      <c r="AS661" s="1655"/>
      <c r="AT661" s="1655"/>
      <c r="AU661" s="1655"/>
      <c r="AV661" s="1655"/>
      <c r="AW661" s="1655"/>
      <c r="AX661" s="1655"/>
      <c r="AY661" s="1655"/>
      <c r="AZ661" s="1655"/>
      <c r="BA661" s="1655"/>
      <c r="BB661" s="1655"/>
      <c r="BC661" s="1655"/>
      <c r="BD661" s="1655"/>
      <c r="BE661" s="1655"/>
      <c r="BF661" s="1655"/>
      <c r="BG661" s="1655"/>
      <c r="BH661" s="1655"/>
      <c r="BI661" s="1655"/>
      <c r="BJ661" s="1655"/>
      <c r="BK661" s="1655"/>
      <c r="BL661" s="1655"/>
      <c r="BM661" s="1655"/>
      <c r="BN661" s="1655"/>
      <c r="BO661" s="1655"/>
      <c r="BP661" s="1655"/>
      <c r="BQ661" s="1655"/>
      <c r="BR661" s="1655"/>
      <c r="BS661" s="1655"/>
      <c r="BT661" s="1655"/>
      <c r="BU661" s="1655"/>
      <c r="BV661" s="1655"/>
      <c r="BW661" s="1655"/>
      <c r="BX661" s="1655"/>
      <c r="BY661" s="1655"/>
      <c r="BZ661" s="1655"/>
      <c r="CA661" s="1655"/>
      <c r="CB661" s="1655"/>
      <c r="CC661" s="1655"/>
      <c r="CD661" s="1655"/>
      <c r="CE661" s="1655"/>
      <c r="CF661" s="1655"/>
      <c r="CG661" s="1655"/>
      <c r="CH661" s="1655"/>
      <c r="CI661" s="1655"/>
      <c r="CJ661" s="1655"/>
      <c r="CK661" s="1655"/>
      <c r="CL661" s="1655"/>
      <c r="CM661" s="1655"/>
      <c r="CN661" s="1655"/>
      <c r="CO661" s="1655"/>
      <c r="CP661" s="1655"/>
      <c r="CQ661" s="1655"/>
      <c r="CR661" s="1655"/>
      <c r="CS661" s="1655"/>
      <c r="CT661" s="1655"/>
      <c r="CU661" s="1655"/>
      <c r="CV661" s="1655"/>
      <c r="CW661" s="1655"/>
      <c r="CX661" s="1655"/>
      <c r="CY661" s="1655"/>
      <c r="CZ661" s="1655"/>
      <c r="DA661" s="1655"/>
      <c r="DB661" s="1655"/>
      <c r="DC661" s="1655"/>
      <c r="DD661" s="1655"/>
      <c r="DE661" s="1655"/>
      <c r="DF661" s="1655"/>
      <c r="DG661" s="1655"/>
      <c r="DH661" s="1655"/>
      <c r="DI661" s="1655"/>
      <c r="DJ661" s="1655"/>
      <c r="DK661" s="1655"/>
      <c r="DL661" s="1655"/>
      <c r="DM661" s="1655"/>
      <c r="DN661" s="1655"/>
      <c r="DO661" s="1655"/>
      <c r="DP661" s="1655"/>
      <c r="DQ661" s="1655"/>
      <c r="DR661" s="1655"/>
      <c r="DS661" s="1655"/>
      <c r="DT661" s="1655"/>
      <c r="DU661" s="1655"/>
      <c r="DV661" s="1655"/>
      <c r="DW661" s="1655"/>
      <c r="DX661" s="1655"/>
      <c r="DY661" s="1655"/>
      <c r="DZ661" s="1655"/>
      <c r="EA661" s="1655"/>
      <c r="EB661" s="1655"/>
      <c r="EC661" s="1655"/>
      <c r="ED661" s="1655"/>
      <c r="EE661" s="1655"/>
      <c r="EF661" s="1655"/>
      <c r="EG661" s="1655"/>
      <c r="EH661" s="1655"/>
      <c r="EI661" s="1655"/>
      <c r="EJ661" s="1655"/>
      <c r="EK661" s="1655"/>
      <c r="EL661" s="1655"/>
      <c r="EM661" s="1655"/>
      <c r="EN661" s="1655"/>
      <c r="EO661" s="1655"/>
      <c r="EP661" s="1655"/>
      <c r="EQ661" s="1655"/>
      <c r="ER661" s="1655"/>
      <c r="ES661" s="1655"/>
      <c r="ET661" s="1655"/>
      <c r="EU661" s="1655"/>
      <c r="EV661" s="1655"/>
      <c r="EW661" s="1655"/>
      <c r="EX661" s="1655"/>
      <c r="EY661" s="1655"/>
      <c r="EZ661" s="1655"/>
      <c r="FA661" s="1655"/>
      <c r="FB661" s="1655"/>
      <c r="FC661" s="1655"/>
      <c r="FD661" s="1655"/>
      <c r="FE661" s="1655"/>
      <c r="FF661" s="1655"/>
      <c r="FG661" s="1655"/>
      <c r="FH661" s="1655"/>
      <c r="FI661" s="1655"/>
    </row>
    <row r="662" spans="1:165">
      <c r="A662" s="1655"/>
      <c r="B662" s="1655"/>
      <c r="C662" s="1655"/>
      <c r="D662" s="1655"/>
      <c r="E662" s="1655"/>
      <c r="F662" s="1655"/>
      <c r="G662" s="1655"/>
      <c r="H662" s="1655"/>
      <c r="I662" s="1655"/>
      <c r="J662" s="1655"/>
      <c r="K662" s="1655"/>
      <c r="L662" s="1655"/>
      <c r="M662" s="1655"/>
      <c r="N662" s="1655"/>
      <c r="O662" s="1655"/>
      <c r="P662" s="1655"/>
      <c r="Q662" s="1655"/>
      <c r="R662" s="1655"/>
      <c r="S662" s="1655"/>
      <c r="T662" s="1655"/>
      <c r="U662" s="1655"/>
      <c r="V662" s="1655"/>
      <c r="W662" s="1655"/>
      <c r="X662" s="1655"/>
      <c r="Y662" s="1655"/>
      <c r="Z662" s="1655"/>
      <c r="AA662" s="1655"/>
      <c r="AB662" s="1655"/>
      <c r="AC662" s="1655"/>
      <c r="AD662" s="1655"/>
      <c r="AE662" s="1655"/>
      <c r="AF662" s="1655"/>
      <c r="AG662" s="1655"/>
      <c r="AH662" s="1655"/>
      <c r="AI662" s="1655"/>
      <c r="AJ662" s="1655"/>
      <c r="AK662" s="1655"/>
      <c r="AL662" s="1655"/>
      <c r="AM662" s="1655"/>
      <c r="AN662" s="1655"/>
      <c r="AO662" s="1655"/>
      <c r="AP662" s="1655"/>
      <c r="AQ662" s="1655"/>
      <c r="AR662" s="1655"/>
      <c r="AS662" s="1655"/>
      <c r="AT662" s="1655"/>
      <c r="AU662" s="1655"/>
      <c r="AV662" s="1655"/>
      <c r="AW662" s="1655"/>
      <c r="AX662" s="1655"/>
      <c r="AY662" s="1655"/>
      <c r="AZ662" s="1655"/>
      <c r="BA662" s="1655"/>
      <c r="BB662" s="1655"/>
      <c r="BC662" s="1655"/>
      <c r="BD662" s="1655"/>
      <c r="BE662" s="1655"/>
      <c r="BF662" s="1655"/>
      <c r="BG662" s="1655"/>
      <c r="BH662" s="1655"/>
      <c r="BI662" s="1655"/>
      <c r="BJ662" s="1655"/>
      <c r="BK662" s="1655"/>
      <c r="BL662" s="1655"/>
      <c r="BM662" s="1655"/>
      <c r="BN662" s="1655"/>
      <c r="BO662" s="1655"/>
      <c r="BP662" s="1655"/>
      <c r="BQ662" s="1655"/>
      <c r="BR662" s="1655"/>
      <c r="BS662" s="1655"/>
      <c r="BT662" s="1655"/>
      <c r="BU662" s="1655"/>
      <c r="BV662" s="1655"/>
      <c r="BW662" s="1655"/>
      <c r="BX662" s="1655"/>
      <c r="BY662" s="1655"/>
      <c r="BZ662" s="1655"/>
      <c r="CA662" s="1655"/>
      <c r="CB662" s="1655"/>
      <c r="CC662" s="1655"/>
      <c r="CD662" s="1655"/>
      <c r="CE662" s="1655"/>
      <c r="CF662" s="1655"/>
      <c r="CG662" s="1655"/>
      <c r="CH662" s="1655"/>
      <c r="CI662" s="1655"/>
      <c r="CJ662" s="1655"/>
      <c r="CK662" s="1655"/>
      <c r="CL662" s="1655"/>
      <c r="CM662" s="1655"/>
      <c r="CN662" s="1655"/>
      <c r="CO662" s="1655"/>
      <c r="CP662" s="1655"/>
      <c r="CQ662" s="1655"/>
      <c r="CR662" s="1655"/>
      <c r="CS662" s="1655"/>
      <c r="CT662" s="1655"/>
      <c r="CU662" s="1655"/>
      <c r="CV662" s="1655"/>
      <c r="CW662" s="1655"/>
      <c r="CX662" s="1655"/>
      <c r="CY662" s="1655"/>
      <c r="CZ662" s="1655"/>
      <c r="DA662" s="1655"/>
      <c r="DB662" s="1655"/>
      <c r="DC662" s="1655"/>
      <c r="DD662" s="1655"/>
      <c r="DE662" s="1655"/>
      <c r="DF662" s="1655"/>
      <c r="DG662" s="1655"/>
      <c r="DH662" s="1655"/>
      <c r="DI662" s="1655"/>
      <c r="DJ662" s="1655"/>
      <c r="DK662" s="1655"/>
      <c r="DL662" s="1655"/>
      <c r="DM662" s="1655"/>
      <c r="DN662" s="1655"/>
      <c r="DO662" s="1655"/>
      <c r="DP662" s="1655"/>
      <c r="DQ662" s="1655"/>
      <c r="DR662" s="1655"/>
      <c r="DS662" s="1655"/>
      <c r="DT662" s="1655"/>
      <c r="DU662" s="1655"/>
      <c r="DV662" s="1655"/>
      <c r="DW662" s="1655"/>
      <c r="DX662" s="1655"/>
      <c r="DY662" s="1655"/>
      <c r="DZ662" s="1655"/>
      <c r="EA662" s="1655"/>
      <c r="EB662" s="1655"/>
      <c r="EC662" s="1655"/>
      <c r="ED662" s="1655"/>
      <c r="EE662" s="1655"/>
      <c r="EF662" s="1655"/>
      <c r="EG662" s="1655"/>
      <c r="EH662" s="1655"/>
      <c r="EI662" s="1655"/>
      <c r="EJ662" s="1655"/>
      <c r="EK662" s="1655"/>
      <c r="EL662" s="1655"/>
      <c r="EM662" s="1655"/>
      <c r="EN662" s="1655"/>
      <c r="EO662" s="1655"/>
      <c r="EP662" s="1655"/>
      <c r="EQ662" s="1655"/>
      <c r="ER662" s="1655"/>
      <c r="ES662" s="1655"/>
      <c r="ET662" s="1655"/>
      <c r="EU662" s="1655"/>
      <c r="EV662" s="1655"/>
      <c r="EW662" s="1655"/>
      <c r="EX662" s="1655"/>
      <c r="EY662" s="1655"/>
      <c r="EZ662" s="1655"/>
      <c r="FA662" s="1655"/>
      <c r="FB662" s="1655"/>
      <c r="FC662" s="1655"/>
      <c r="FD662" s="1655"/>
      <c r="FE662" s="1655"/>
      <c r="FF662" s="1655"/>
      <c r="FG662" s="1655"/>
      <c r="FH662" s="1655"/>
      <c r="FI662" s="1655"/>
    </row>
    <row r="663" spans="1:165">
      <c r="A663" s="1655"/>
      <c r="B663" s="1655"/>
      <c r="C663" s="1655"/>
      <c r="D663" s="1655"/>
      <c r="E663" s="1655"/>
      <c r="F663" s="1655"/>
      <c r="G663" s="1655"/>
      <c r="H663" s="1655"/>
      <c r="I663" s="1655"/>
      <c r="J663" s="1655"/>
      <c r="K663" s="1655"/>
      <c r="L663" s="1655"/>
      <c r="M663" s="1655"/>
      <c r="N663" s="1655"/>
      <c r="O663" s="1655"/>
      <c r="P663" s="1655"/>
      <c r="Q663" s="1655"/>
      <c r="R663" s="1655"/>
      <c r="S663" s="1655"/>
      <c r="T663" s="1655"/>
      <c r="U663" s="1655"/>
      <c r="V663" s="1655"/>
      <c r="W663" s="1655"/>
      <c r="X663" s="1655"/>
      <c r="Y663" s="1655"/>
      <c r="Z663" s="1655"/>
      <c r="AA663" s="1655"/>
      <c r="AB663" s="1655"/>
      <c r="AC663" s="1655"/>
      <c r="AD663" s="1655"/>
      <c r="AE663" s="1655"/>
      <c r="AF663" s="1655"/>
      <c r="AG663" s="1655"/>
      <c r="AH663" s="1655"/>
      <c r="AI663" s="1655"/>
      <c r="AJ663" s="1655"/>
      <c r="AK663" s="1655"/>
      <c r="AL663" s="1655"/>
      <c r="AM663" s="1655"/>
      <c r="AN663" s="1655"/>
      <c r="AO663" s="1655"/>
      <c r="AP663" s="1655"/>
      <c r="AQ663" s="1655"/>
      <c r="AR663" s="1655"/>
      <c r="AS663" s="1655"/>
      <c r="AT663" s="1655"/>
      <c r="AU663" s="1655"/>
      <c r="AV663" s="1655"/>
      <c r="AW663" s="1655"/>
      <c r="AX663" s="1655"/>
      <c r="AY663" s="1655"/>
      <c r="AZ663" s="1655"/>
      <c r="BA663" s="1655"/>
      <c r="BB663" s="1655"/>
      <c r="BC663" s="1655"/>
      <c r="BD663" s="1655"/>
      <c r="BE663" s="1655"/>
      <c r="BF663" s="1655"/>
      <c r="BG663" s="1655"/>
      <c r="BH663" s="1655"/>
      <c r="BI663" s="1655"/>
      <c r="BJ663" s="1655"/>
      <c r="BK663" s="1655"/>
      <c r="BL663" s="1655"/>
      <c r="BM663" s="1655"/>
      <c r="BN663" s="1655"/>
      <c r="BO663" s="1655"/>
      <c r="BP663" s="1655"/>
      <c r="BQ663" s="1655"/>
      <c r="BR663" s="1655"/>
      <c r="BS663" s="1655"/>
      <c r="BT663" s="1655"/>
      <c r="BU663" s="1655"/>
      <c r="BV663" s="1655"/>
      <c r="BW663" s="1655"/>
      <c r="BX663" s="1655"/>
      <c r="BY663" s="1655"/>
      <c r="BZ663" s="1655"/>
      <c r="CA663" s="1655"/>
      <c r="CB663" s="1655"/>
      <c r="CC663" s="1655"/>
      <c r="CD663" s="1655"/>
      <c r="CE663" s="1655"/>
      <c r="CF663" s="1655"/>
      <c r="CG663" s="1655"/>
      <c r="CH663" s="1655"/>
      <c r="CI663" s="1655"/>
      <c r="CJ663" s="1655"/>
      <c r="CK663" s="1655"/>
      <c r="CL663" s="1655"/>
      <c r="CM663" s="1655"/>
      <c r="CN663" s="1655"/>
      <c r="CO663" s="1655"/>
      <c r="CP663" s="1655"/>
      <c r="CQ663" s="1655"/>
      <c r="CR663" s="1655"/>
      <c r="CS663" s="1655"/>
      <c r="CT663" s="1655"/>
      <c r="CU663" s="1655"/>
      <c r="CV663" s="1655"/>
      <c r="CW663" s="1655"/>
      <c r="CX663" s="1655"/>
      <c r="CY663" s="1655"/>
      <c r="CZ663" s="1655"/>
      <c r="DA663" s="1655"/>
      <c r="DB663" s="1655"/>
      <c r="DC663" s="1655"/>
      <c r="DD663" s="1655"/>
      <c r="DE663" s="1655"/>
      <c r="DF663" s="1655"/>
      <c r="DG663" s="1655"/>
      <c r="DH663" s="1655"/>
      <c r="DI663" s="1655"/>
      <c r="DJ663" s="1655"/>
      <c r="DK663" s="1655"/>
      <c r="DL663" s="1655"/>
      <c r="DM663" s="1655"/>
      <c r="DN663" s="1655"/>
      <c r="DO663" s="1655"/>
      <c r="DP663" s="1655"/>
      <c r="DQ663" s="1655"/>
      <c r="DR663" s="1655"/>
      <c r="DS663" s="1655"/>
      <c r="DT663" s="1655"/>
      <c r="DU663" s="1655"/>
      <c r="DV663" s="1655"/>
      <c r="DW663" s="1655"/>
      <c r="DX663" s="1655"/>
      <c r="DY663" s="1655"/>
      <c r="DZ663" s="1655"/>
      <c r="EA663" s="1655"/>
      <c r="EB663" s="1655"/>
      <c r="EC663" s="1655"/>
      <c r="ED663" s="1655"/>
      <c r="EE663" s="1655"/>
      <c r="EF663" s="1655"/>
      <c r="EG663" s="1655"/>
      <c r="EH663" s="1655"/>
      <c r="EI663" s="1655"/>
      <c r="EJ663" s="1655"/>
      <c r="EK663" s="1655"/>
      <c r="EL663" s="1655"/>
      <c r="EM663" s="1655"/>
      <c r="EN663" s="1655"/>
      <c r="EO663" s="1655"/>
      <c r="EP663" s="1655"/>
      <c r="EQ663" s="1655"/>
      <c r="ER663" s="1655"/>
      <c r="ES663" s="1655"/>
      <c r="ET663" s="1655"/>
      <c r="EU663" s="1655"/>
      <c r="EV663" s="1655"/>
      <c r="EW663" s="1655"/>
      <c r="EX663" s="1655"/>
      <c r="EY663" s="1655"/>
      <c r="EZ663" s="1655"/>
      <c r="FA663" s="1655"/>
      <c r="FB663" s="1655"/>
      <c r="FC663" s="1655"/>
      <c r="FD663" s="1655"/>
      <c r="FE663" s="1655"/>
      <c r="FF663" s="1655"/>
      <c r="FG663" s="1655"/>
      <c r="FH663" s="1655"/>
      <c r="FI663" s="1655"/>
    </row>
    <row r="664" spans="1:165">
      <c r="A664" s="1655"/>
      <c r="B664" s="1655"/>
      <c r="C664" s="1655"/>
      <c r="D664" s="1655"/>
      <c r="E664" s="1655"/>
      <c r="F664" s="1655"/>
      <c r="G664" s="1655"/>
      <c r="H664" s="1655"/>
      <c r="I664" s="1655"/>
      <c r="J664" s="1655"/>
      <c r="K664" s="1655"/>
      <c r="L664" s="1655"/>
      <c r="M664" s="1655"/>
      <c r="N664" s="1655"/>
      <c r="O664" s="1655"/>
      <c r="P664" s="1655"/>
      <c r="Q664" s="1655"/>
      <c r="R664" s="1655"/>
      <c r="S664" s="1655"/>
      <c r="T664" s="1655"/>
      <c r="U664" s="1655"/>
      <c r="V664" s="1655"/>
      <c r="W664" s="1655"/>
      <c r="X664" s="1655"/>
      <c r="Y664" s="1655"/>
      <c r="Z664" s="1655"/>
      <c r="AA664" s="1655"/>
      <c r="AB664" s="1655"/>
      <c r="AC664" s="1655"/>
      <c r="AD664" s="1655"/>
      <c r="AE664" s="1655"/>
      <c r="AF664" s="1655"/>
      <c r="AG664" s="1655"/>
      <c r="AH664" s="1655"/>
      <c r="AI664" s="1655"/>
      <c r="AJ664" s="1655"/>
      <c r="AK664" s="1655"/>
      <c r="AL664" s="1655"/>
      <c r="AM664" s="1655"/>
      <c r="AN664" s="1655"/>
      <c r="AO664" s="1655"/>
      <c r="AP664" s="1655"/>
      <c r="AQ664" s="1655"/>
      <c r="AR664" s="1655"/>
      <c r="AS664" s="1655"/>
      <c r="AT664" s="1655"/>
      <c r="AU664" s="1655"/>
      <c r="AV664" s="1655"/>
      <c r="AW664" s="1655"/>
      <c r="AX664" s="1655"/>
      <c r="AY664" s="1655"/>
      <c r="AZ664" s="1655"/>
      <c r="BA664" s="1655"/>
      <c r="BB664" s="1655"/>
      <c r="BC664" s="1655"/>
      <c r="BD664" s="1655"/>
      <c r="BE664" s="1655"/>
      <c r="BF664" s="1655"/>
      <c r="BG664" s="1655"/>
      <c r="BH664" s="1655"/>
      <c r="BI664" s="1655"/>
      <c r="BJ664" s="1655"/>
      <c r="BK664" s="1655"/>
      <c r="BL664" s="1655"/>
      <c r="BM664" s="1655"/>
      <c r="BN664" s="1655"/>
      <c r="BO664" s="1655"/>
      <c r="BP664" s="1655"/>
      <c r="BQ664" s="1655"/>
      <c r="BR664" s="1655"/>
      <c r="BS664" s="1655"/>
      <c r="BT664" s="1655"/>
      <c r="BU664" s="1655"/>
      <c r="BV664" s="1655"/>
      <c r="BW664" s="1655"/>
      <c r="BX664" s="1655"/>
      <c r="BY664" s="1655"/>
      <c r="BZ664" s="1655"/>
      <c r="CA664" s="1655"/>
      <c r="CB664" s="1655"/>
      <c r="CC664" s="1655"/>
      <c r="CD664" s="1655"/>
      <c r="CE664" s="1655"/>
      <c r="CF664" s="1655"/>
      <c r="CG664" s="1655"/>
      <c r="CH664" s="1655"/>
      <c r="CI664" s="1655"/>
      <c r="CJ664" s="1655"/>
      <c r="CK664" s="1655"/>
      <c r="CL664" s="1655"/>
      <c r="CM664" s="1655"/>
      <c r="CN664" s="1655"/>
      <c r="CO664" s="1655"/>
      <c r="CP664" s="1655"/>
      <c r="CQ664" s="1655"/>
      <c r="CR664" s="1655"/>
      <c r="CS664" s="1655"/>
      <c r="CT664" s="1655"/>
      <c r="CU664" s="1655"/>
      <c r="CV664" s="1655"/>
      <c r="CW664" s="1655"/>
      <c r="CX664" s="1655"/>
      <c r="CY664" s="1655"/>
      <c r="CZ664" s="1655"/>
      <c r="DA664" s="1655"/>
      <c r="DB664" s="1655"/>
      <c r="DC664" s="1655"/>
      <c r="DD664" s="1655"/>
      <c r="DE664" s="1655"/>
      <c r="DF664" s="1655"/>
      <c r="DG664" s="1655"/>
      <c r="DH664" s="1655"/>
      <c r="DI664" s="1655"/>
      <c r="DJ664" s="1655"/>
      <c r="DK664" s="1655"/>
      <c r="DL664" s="1655"/>
      <c r="DM664" s="1655"/>
      <c r="DN664" s="1655"/>
      <c r="DO664" s="1655"/>
      <c r="DP664" s="1655"/>
      <c r="DQ664" s="1655"/>
      <c r="DR664" s="1655"/>
      <c r="DS664" s="1655"/>
      <c r="DT664" s="1655"/>
      <c r="DU664" s="1655"/>
      <c r="DV664" s="1655"/>
      <c r="DW664" s="1655"/>
      <c r="DX664" s="1655"/>
      <c r="DY664" s="1655"/>
      <c r="DZ664" s="1655"/>
      <c r="EA664" s="1655"/>
      <c r="EB664" s="1655"/>
      <c r="EC664" s="1655"/>
      <c r="ED664" s="1655"/>
      <c r="EE664" s="1655"/>
      <c r="EF664" s="1655"/>
      <c r="EG664" s="1655"/>
      <c r="EH664" s="1655"/>
      <c r="EI664" s="1655"/>
      <c r="EJ664" s="1655"/>
      <c r="EK664" s="1655"/>
      <c r="EL664" s="1655"/>
      <c r="EM664" s="1655"/>
      <c r="EN664" s="1655"/>
      <c r="EO664" s="1655"/>
      <c r="EP664" s="1655"/>
      <c r="EQ664" s="1655"/>
      <c r="ER664" s="1655"/>
      <c r="ES664" s="1655"/>
      <c r="ET664" s="1655"/>
      <c r="EU664" s="1655"/>
      <c r="EV664" s="1655"/>
      <c r="EW664" s="1655"/>
      <c r="EX664" s="1655"/>
      <c r="EY664" s="1655"/>
      <c r="EZ664" s="1655"/>
      <c r="FA664" s="1655"/>
      <c r="FB664" s="1655"/>
      <c r="FC664" s="1655"/>
      <c r="FD664" s="1655"/>
      <c r="FE664" s="1655"/>
      <c r="FF664" s="1655"/>
      <c r="FG664" s="1655"/>
      <c r="FH664" s="1655"/>
      <c r="FI664" s="1655"/>
    </row>
    <row r="665" spans="1:165">
      <c r="A665" s="1655"/>
      <c r="B665" s="1655"/>
      <c r="C665" s="1655"/>
      <c r="D665" s="1655"/>
      <c r="E665" s="1655"/>
      <c r="F665" s="1655"/>
      <c r="G665" s="1655"/>
      <c r="H665" s="1655"/>
      <c r="I665" s="1655"/>
      <c r="J665" s="1655"/>
      <c r="K665" s="1655"/>
      <c r="L665" s="1655"/>
      <c r="M665" s="1655"/>
      <c r="N665" s="1655"/>
      <c r="O665" s="1655"/>
      <c r="P665" s="1655"/>
      <c r="Q665" s="1655"/>
      <c r="R665" s="1655"/>
      <c r="S665" s="1655"/>
      <c r="T665" s="1655"/>
      <c r="U665" s="1655"/>
      <c r="V665" s="1655"/>
      <c r="W665" s="1655"/>
      <c r="X665" s="1655"/>
      <c r="Y665" s="1655"/>
      <c r="Z665" s="1655"/>
      <c r="AA665" s="1655"/>
      <c r="AB665" s="1655"/>
      <c r="AC665" s="1655"/>
      <c r="AD665" s="1655"/>
      <c r="AE665" s="1655"/>
      <c r="AF665" s="1655"/>
      <c r="AG665" s="1655"/>
      <c r="AH665" s="1655"/>
      <c r="AI665" s="1655"/>
      <c r="AJ665" s="1655"/>
      <c r="AK665" s="1655"/>
      <c r="AL665" s="1655"/>
      <c r="AM665" s="1655"/>
      <c r="AN665" s="1655"/>
      <c r="AO665" s="1655"/>
      <c r="AP665" s="1655"/>
      <c r="AQ665" s="1655"/>
      <c r="AR665" s="1655"/>
      <c r="AS665" s="1655"/>
      <c r="AT665" s="1655"/>
      <c r="AU665" s="1655"/>
      <c r="AV665" s="1655"/>
      <c r="AW665" s="1655"/>
      <c r="AX665" s="1655"/>
      <c r="AY665" s="1655"/>
      <c r="AZ665" s="1655"/>
      <c r="BA665" s="1655"/>
      <c r="BB665" s="1655"/>
      <c r="BC665" s="1655"/>
      <c r="BD665" s="1655"/>
      <c r="BE665" s="1655"/>
      <c r="BF665" s="1655"/>
      <c r="BG665" s="1655"/>
      <c r="BH665" s="1655"/>
      <c r="BI665" s="1655"/>
      <c r="BJ665" s="1655"/>
      <c r="BK665" s="1655"/>
      <c r="BL665" s="1655"/>
      <c r="BM665" s="1655"/>
      <c r="BN665" s="1655"/>
      <c r="BO665" s="1655"/>
      <c r="BP665" s="1655"/>
      <c r="BQ665" s="1655"/>
      <c r="BR665" s="1655"/>
      <c r="BS665" s="1655"/>
      <c r="BT665" s="1655"/>
      <c r="BU665" s="1655"/>
      <c r="BV665" s="1655"/>
      <c r="BW665" s="1655"/>
      <c r="BX665" s="1655"/>
      <c r="BY665" s="1655"/>
      <c r="BZ665" s="1655"/>
      <c r="CA665" s="1655"/>
      <c r="CB665" s="1655"/>
      <c r="CC665" s="1655"/>
      <c r="CD665" s="1655"/>
      <c r="CE665" s="1655"/>
      <c r="CF665" s="1655"/>
      <c r="CG665" s="1655"/>
      <c r="CH665" s="1655"/>
      <c r="CI665" s="1655"/>
      <c r="CJ665" s="1655"/>
      <c r="CK665" s="1655"/>
      <c r="CL665" s="1655"/>
      <c r="CM665" s="1655"/>
      <c r="CN665" s="1655"/>
      <c r="CO665" s="1655"/>
      <c r="CP665" s="1655"/>
      <c r="CQ665" s="1655"/>
      <c r="CR665" s="1655"/>
      <c r="CS665" s="1655"/>
      <c r="CT665" s="1655"/>
      <c r="CU665" s="1655"/>
      <c r="CV665" s="1655"/>
      <c r="CW665" s="1655"/>
      <c r="CX665" s="1655"/>
      <c r="CY665" s="1655"/>
      <c r="CZ665" s="1655"/>
      <c r="DA665" s="1655"/>
      <c r="DB665" s="1655"/>
      <c r="DC665" s="1655"/>
      <c r="DD665" s="1655"/>
      <c r="DE665" s="1655"/>
      <c r="DF665" s="1655"/>
      <c r="DG665" s="1655"/>
      <c r="DH665" s="1655"/>
      <c r="DI665" s="1655"/>
      <c r="DJ665" s="1655"/>
      <c r="DK665" s="1655"/>
      <c r="DL665" s="1655"/>
      <c r="DM665" s="1655"/>
      <c r="DN665" s="1655"/>
      <c r="DO665" s="1655"/>
      <c r="DP665" s="1655"/>
      <c r="DQ665" s="1655"/>
      <c r="DR665" s="1655"/>
      <c r="DS665" s="1655"/>
      <c r="DT665" s="1655"/>
      <c r="DU665" s="1655"/>
      <c r="DV665" s="1655"/>
      <c r="DW665" s="1655"/>
      <c r="DX665" s="1655"/>
      <c r="DY665" s="1655"/>
      <c r="DZ665" s="1655"/>
      <c r="EA665" s="1655"/>
      <c r="EB665" s="1655"/>
      <c r="EC665" s="1655"/>
      <c r="ED665" s="1655"/>
      <c r="EE665" s="1655"/>
      <c r="EF665" s="1655"/>
      <c r="EG665" s="1655"/>
      <c r="EH665" s="1655"/>
      <c r="EI665" s="1655"/>
      <c r="EJ665" s="1655"/>
      <c r="EK665" s="1655"/>
      <c r="EL665" s="1655"/>
      <c r="EM665" s="1655"/>
      <c r="EN665" s="1655"/>
      <c r="EO665" s="1655"/>
      <c r="EP665" s="1655"/>
      <c r="EQ665" s="1655"/>
      <c r="ER665" s="1655"/>
      <c r="ES665" s="1655"/>
      <c r="ET665" s="1655"/>
      <c r="EU665" s="1655"/>
      <c r="EV665" s="1655"/>
      <c r="EW665" s="1655"/>
      <c r="EX665" s="1655"/>
      <c r="EY665" s="1655"/>
      <c r="EZ665" s="1655"/>
      <c r="FA665" s="1655"/>
      <c r="FB665" s="1655"/>
      <c r="FC665" s="1655"/>
      <c r="FD665" s="1655"/>
      <c r="FE665" s="1655"/>
      <c r="FF665" s="1655"/>
      <c r="FG665" s="1655"/>
      <c r="FH665" s="1655"/>
      <c r="FI665" s="1655"/>
    </row>
    <row r="666" spans="1:165">
      <c r="A666" s="1655"/>
      <c r="B666" s="1655"/>
      <c r="C666" s="1655"/>
      <c r="D666" s="1655"/>
      <c r="E666" s="1655"/>
      <c r="F666" s="1655"/>
      <c r="G666" s="1655"/>
      <c r="H666" s="1655"/>
      <c r="I666" s="1655"/>
      <c r="J666" s="1655"/>
      <c r="K666" s="1655"/>
      <c r="L666" s="1655"/>
      <c r="M666" s="1655"/>
      <c r="N666" s="1655"/>
      <c r="O666" s="1655"/>
      <c r="P666" s="1655"/>
      <c r="Q666" s="1655"/>
      <c r="R666" s="1655"/>
      <c r="S666" s="1655"/>
      <c r="T666" s="1655"/>
      <c r="U666" s="1655"/>
      <c r="V666" s="1655"/>
      <c r="W666" s="1655"/>
      <c r="X666" s="1655"/>
      <c r="Y666" s="1655"/>
      <c r="Z666" s="1655"/>
      <c r="AA666" s="1655"/>
      <c r="AB666" s="1655"/>
      <c r="AC666" s="1655"/>
      <c r="AD666" s="1655"/>
      <c r="AE666" s="1655"/>
      <c r="AF666" s="1655"/>
      <c r="AG666" s="1655"/>
      <c r="AH666" s="1655"/>
      <c r="AI666" s="1655"/>
      <c r="AJ666" s="1655"/>
      <c r="AK666" s="1655"/>
      <c r="AL666" s="1655"/>
      <c r="AM666" s="1655"/>
      <c r="AN666" s="1655"/>
      <c r="AO666" s="1655"/>
      <c r="AP666" s="1655"/>
      <c r="AQ666" s="1655"/>
      <c r="AR666" s="1655"/>
      <c r="AS666" s="1655"/>
      <c r="AT666" s="1655"/>
      <c r="AU666" s="1655"/>
      <c r="AV666" s="1655"/>
      <c r="AW666" s="1655"/>
      <c r="AX666" s="1655"/>
      <c r="AY666" s="1655"/>
      <c r="AZ666" s="1655"/>
      <c r="BA666" s="1655"/>
      <c r="BB666" s="1655"/>
      <c r="BC666" s="1655"/>
      <c r="BD666" s="1655"/>
      <c r="BE666" s="1655"/>
      <c r="BF666" s="1655"/>
      <c r="BG666" s="1655"/>
      <c r="BH666" s="1655"/>
      <c r="BI666" s="1655"/>
      <c r="BJ666" s="1655"/>
      <c r="BK666" s="1655"/>
      <c r="BL666" s="1655"/>
      <c r="BM666" s="1655"/>
      <c r="BN666" s="1655"/>
      <c r="BO666" s="1655"/>
      <c r="BP666" s="1655"/>
      <c r="BQ666" s="1655"/>
      <c r="BR666" s="1655"/>
      <c r="BS666" s="1655"/>
      <c r="BT666" s="1655"/>
      <c r="BU666" s="1655"/>
      <c r="BV666" s="1655"/>
      <c r="BW666" s="1655"/>
      <c r="BX666" s="1655"/>
      <c r="BY666" s="1655"/>
      <c r="BZ666" s="1655"/>
      <c r="CA666" s="1655"/>
      <c r="CB666" s="1655"/>
      <c r="CC666" s="1655"/>
      <c r="CD666" s="1655"/>
      <c r="CE666" s="1655"/>
      <c r="CF666" s="1655"/>
      <c r="CG666" s="1655"/>
      <c r="CH666" s="1655"/>
      <c r="CI666" s="1655"/>
      <c r="CJ666" s="1655"/>
      <c r="CK666" s="1655"/>
      <c r="CL666" s="1655"/>
      <c r="CM666" s="1655"/>
      <c r="CN666" s="1655"/>
      <c r="CO666" s="1655"/>
      <c r="CP666" s="1655"/>
      <c r="CQ666" s="1655"/>
      <c r="CR666" s="1655"/>
      <c r="CS666" s="1655"/>
      <c r="CT666" s="1655"/>
      <c r="CU666" s="1655"/>
      <c r="CV666" s="1655"/>
      <c r="CW666" s="1655"/>
      <c r="CX666" s="1655"/>
      <c r="CY666" s="1655"/>
      <c r="CZ666" s="1655"/>
      <c r="DA666" s="1655"/>
      <c r="DB666" s="1655"/>
      <c r="DC666" s="1655"/>
      <c r="DD666" s="1655"/>
      <c r="DE666" s="1655"/>
      <c r="DF666" s="1655"/>
      <c r="DG666" s="1655"/>
      <c r="DH666" s="1655"/>
      <c r="DI666" s="1655"/>
      <c r="DJ666" s="1655"/>
      <c r="DK666" s="1655"/>
      <c r="DL666" s="1655"/>
      <c r="DM666" s="1655"/>
      <c r="DN666" s="1655"/>
      <c r="DO666" s="1655"/>
      <c r="DP666" s="1655"/>
      <c r="DQ666" s="1655"/>
      <c r="DR666" s="1655"/>
      <c r="DS666" s="1655"/>
      <c r="DT666" s="1655"/>
      <c r="DU666" s="1655"/>
      <c r="DV666" s="1655"/>
      <c r="DW666" s="1655"/>
      <c r="DX666" s="1655"/>
      <c r="DY666" s="1655"/>
      <c r="DZ666" s="1655"/>
      <c r="EA666" s="1655"/>
      <c r="EB666" s="1655"/>
      <c r="EC666" s="1655"/>
      <c r="ED666" s="1655"/>
      <c r="EE666" s="1655"/>
      <c r="EF666" s="1655"/>
      <c r="EG666" s="1655"/>
      <c r="EH666" s="1655"/>
      <c r="EI666" s="1655"/>
      <c r="EJ666" s="1655"/>
      <c r="EK666" s="1655"/>
      <c r="EL666" s="1655"/>
      <c r="EM666" s="1655"/>
      <c r="EN666" s="1655"/>
      <c r="EO666" s="1655"/>
      <c r="EP666" s="1655"/>
      <c r="EQ666" s="1655"/>
      <c r="ER666" s="1655"/>
      <c r="ES666" s="1655"/>
      <c r="ET666" s="1655"/>
      <c r="EU666" s="1655"/>
      <c r="EV666" s="1655"/>
      <c r="EW666" s="1655"/>
      <c r="EX666" s="1655"/>
      <c r="EY666" s="1655"/>
      <c r="EZ666" s="1655"/>
      <c r="FA666" s="1655"/>
      <c r="FB666" s="1655"/>
      <c r="FC666" s="1655"/>
      <c r="FD666" s="1655"/>
      <c r="FE666" s="1655"/>
      <c r="FF666" s="1655"/>
      <c r="FG666" s="1655"/>
      <c r="FH666" s="1655"/>
      <c r="FI666" s="1655"/>
    </row>
    <row r="667" spans="1:165">
      <c r="A667" s="1655"/>
      <c r="B667" s="1655"/>
      <c r="C667" s="1655"/>
      <c r="D667" s="1655"/>
      <c r="E667" s="1655"/>
      <c r="F667" s="1655"/>
      <c r="G667" s="1655"/>
      <c r="H667" s="1655"/>
      <c r="I667" s="1655"/>
      <c r="J667" s="1655"/>
      <c r="K667" s="1655"/>
      <c r="L667" s="1655"/>
      <c r="M667" s="1655"/>
      <c r="N667" s="1655"/>
      <c r="O667" s="1655"/>
      <c r="P667" s="1655"/>
      <c r="Q667" s="1655"/>
      <c r="R667" s="1655"/>
      <c r="S667" s="1655"/>
      <c r="T667" s="1655"/>
      <c r="U667" s="1655"/>
      <c r="V667" s="1655"/>
      <c r="W667" s="1655"/>
      <c r="X667" s="1655"/>
      <c r="Y667" s="1655"/>
      <c r="Z667" s="1655"/>
      <c r="AA667" s="1655"/>
      <c r="AB667" s="1655"/>
      <c r="AC667" s="1655"/>
      <c r="AD667" s="1655"/>
      <c r="AE667" s="1655"/>
      <c r="AF667" s="1655"/>
      <c r="AG667" s="1655"/>
      <c r="AH667" s="1655"/>
      <c r="AI667" s="1655"/>
      <c r="AJ667" s="1655"/>
      <c r="AK667" s="1655"/>
      <c r="AL667" s="1655"/>
      <c r="AM667" s="1655"/>
      <c r="AN667" s="1655"/>
      <c r="AO667" s="1655"/>
      <c r="AP667" s="1655"/>
      <c r="AQ667" s="1655"/>
      <c r="AR667" s="1655"/>
      <c r="AS667" s="1655"/>
      <c r="AT667" s="1655"/>
      <c r="AU667" s="1655"/>
      <c r="AV667" s="1655"/>
      <c r="AW667" s="1655"/>
      <c r="AX667" s="1655"/>
      <c r="AY667" s="1655"/>
      <c r="AZ667" s="1655"/>
      <c r="BA667" s="1655"/>
      <c r="BB667" s="1655"/>
      <c r="BC667" s="1655"/>
      <c r="BD667" s="1655"/>
      <c r="BE667" s="1655"/>
      <c r="BF667" s="1655"/>
      <c r="BG667" s="1655"/>
      <c r="BH667" s="1655"/>
      <c r="BI667" s="1655"/>
      <c r="BJ667" s="1655"/>
      <c r="BK667" s="1655"/>
      <c r="BL667" s="1655"/>
      <c r="BM667" s="1655"/>
      <c r="BN667" s="1655"/>
      <c r="BO667" s="1655"/>
      <c r="BP667" s="1655"/>
      <c r="BQ667" s="1655"/>
      <c r="BR667" s="1655"/>
      <c r="BS667" s="1655"/>
      <c r="BT667" s="1655"/>
      <c r="BU667" s="1655"/>
      <c r="BV667" s="1655"/>
      <c r="BW667" s="1655"/>
      <c r="BX667" s="1655"/>
      <c r="BY667" s="1655"/>
      <c r="BZ667" s="1655"/>
      <c r="CA667" s="1655"/>
      <c r="CB667" s="1655"/>
      <c r="CC667" s="1655"/>
      <c r="CD667" s="1655"/>
      <c r="CE667" s="1655"/>
      <c r="CF667" s="1655"/>
      <c r="CG667" s="1655"/>
      <c r="CH667" s="1655"/>
      <c r="CI667" s="1655"/>
      <c r="CJ667" s="1655"/>
      <c r="CK667" s="1655"/>
      <c r="CL667" s="1655"/>
      <c r="CM667" s="1655"/>
      <c r="CN667" s="1655"/>
      <c r="CO667" s="1655"/>
      <c r="CP667" s="1655"/>
      <c r="CQ667" s="1655"/>
      <c r="CR667" s="1655"/>
      <c r="CS667" s="1655"/>
      <c r="CT667" s="1655"/>
      <c r="CU667" s="1655"/>
      <c r="CV667" s="1655"/>
      <c r="CW667" s="1655"/>
      <c r="CX667" s="1655"/>
      <c r="CY667" s="1655"/>
      <c r="CZ667" s="1655"/>
      <c r="DA667" s="1655"/>
      <c r="DB667" s="1655"/>
      <c r="DC667" s="1655"/>
      <c r="DD667" s="1655"/>
      <c r="DE667" s="1655"/>
      <c r="DF667" s="1655"/>
      <c r="DG667" s="1655"/>
      <c r="DH667" s="1655"/>
      <c r="DI667" s="1655"/>
      <c r="DJ667" s="1655"/>
      <c r="DK667" s="1655"/>
      <c r="DL667" s="1655"/>
      <c r="DM667" s="1655"/>
      <c r="DN667" s="1655"/>
      <c r="DO667" s="1655"/>
      <c r="DP667" s="1655"/>
      <c r="DQ667" s="1655"/>
      <c r="DR667" s="1655"/>
      <c r="DS667" s="1655"/>
      <c r="DT667" s="1655"/>
      <c r="DU667" s="1655"/>
      <c r="DV667" s="1655"/>
      <c r="DW667" s="1655"/>
      <c r="DX667" s="1655"/>
      <c r="DY667" s="1655"/>
      <c r="DZ667" s="1655"/>
      <c r="EA667" s="1655"/>
      <c r="EB667" s="1655"/>
      <c r="EC667" s="1655"/>
      <c r="ED667" s="1655"/>
      <c r="EE667" s="1655"/>
      <c r="EF667" s="1655"/>
      <c r="EG667" s="1655"/>
      <c r="EH667" s="1655"/>
      <c r="EI667" s="1655"/>
      <c r="EJ667" s="1655"/>
      <c r="EK667" s="1655"/>
      <c r="EL667" s="1655"/>
      <c r="EM667" s="1655"/>
      <c r="EN667" s="1655"/>
      <c r="EO667" s="1655"/>
      <c r="EP667" s="1655"/>
      <c r="EQ667" s="1655"/>
      <c r="ER667" s="1655"/>
      <c r="ES667" s="1655"/>
      <c r="ET667" s="1655"/>
      <c r="EU667" s="1655"/>
      <c r="EV667" s="1655"/>
      <c r="EW667" s="1655"/>
      <c r="EX667" s="1655"/>
      <c r="EY667" s="1655"/>
      <c r="EZ667" s="1655"/>
      <c r="FA667" s="1655"/>
      <c r="FB667" s="1655"/>
      <c r="FC667" s="1655"/>
      <c r="FD667" s="1655"/>
      <c r="FE667" s="1655"/>
      <c r="FF667" s="1655"/>
      <c r="FG667" s="1655"/>
      <c r="FH667" s="1655"/>
      <c r="FI667" s="1655"/>
    </row>
    <row r="668" spans="1:165">
      <c r="A668" s="1655"/>
      <c r="B668" s="1655"/>
      <c r="C668" s="1655"/>
      <c r="D668" s="1655"/>
      <c r="E668" s="1655"/>
      <c r="F668" s="1655"/>
      <c r="G668" s="1655"/>
      <c r="H668" s="1655"/>
      <c r="I668" s="1655"/>
      <c r="J668" s="1655"/>
      <c r="K668" s="1655"/>
      <c r="L668" s="1655"/>
      <c r="M668" s="1655"/>
      <c r="N668" s="1655"/>
      <c r="O668" s="1655"/>
      <c r="P668" s="1655"/>
      <c r="Q668" s="1655"/>
      <c r="R668" s="1655"/>
      <c r="S668" s="1655"/>
      <c r="T668" s="1655"/>
      <c r="U668" s="1655"/>
      <c r="V668" s="1655"/>
      <c r="W668" s="1655"/>
      <c r="X668" s="1655"/>
      <c r="Y668" s="1655"/>
      <c r="Z668" s="1655"/>
      <c r="AA668" s="1655"/>
      <c r="AB668" s="1655"/>
      <c r="AC668" s="1655"/>
      <c r="AD668" s="1655"/>
      <c r="AE668" s="1655"/>
      <c r="AF668" s="1655"/>
      <c r="AG668" s="1655"/>
      <c r="AH668" s="1655"/>
      <c r="AI668" s="1655"/>
      <c r="AJ668" s="1655"/>
      <c r="AK668" s="1655"/>
      <c r="AL668" s="1655"/>
      <c r="AM668" s="1655"/>
      <c r="AN668" s="1655"/>
      <c r="AO668" s="1655"/>
      <c r="AP668" s="1655"/>
      <c r="AQ668" s="1655"/>
      <c r="AR668" s="1655"/>
      <c r="AS668" s="1655"/>
      <c r="AT668" s="1655"/>
      <c r="AU668" s="1655"/>
      <c r="AV668" s="1655"/>
      <c r="AW668" s="1655"/>
      <c r="AX668" s="1655"/>
      <c r="AY668" s="1655"/>
      <c r="AZ668" s="1655"/>
      <c r="BA668" s="1655"/>
      <c r="BB668" s="1655"/>
      <c r="BC668" s="1655"/>
      <c r="BD668" s="1655"/>
      <c r="BE668" s="1655"/>
      <c r="BF668" s="1655"/>
      <c r="BG668" s="1655"/>
      <c r="BH668" s="1655"/>
      <c r="BI668" s="1655"/>
      <c r="BJ668" s="1655"/>
      <c r="BK668" s="1655"/>
      <c r="BL668" s="1655"/>
      <c r="BM668" s="1655"/>
      <c r="BN668" s="1655"/>
      <c r="BO668" s="1655"/>
      <c r="BP668" s="1655"/>
      <c r="BQ668" s="1655"/>
      <c r="BR668" s="1655"/>
      <c r="BS668" s="1655"/>
      <c r="BT668" s="1655"/>
      <c r="BU668" s="1655"/>
      <c r="BV668" s="1655"/>
      <c r="BW668" s="1655"/>
      <c r="BX668" s="1655"/>
      <c r="BY668" s="1655"/>
      <c r="BZ668" s="1655"/>
      <c r="CA668" s="1655"/>
      <c r="CB668" s="1655"/>
      <c r="CC668" s="1655"/>
      <c r="CD668" s="1655"/>
      <c r="CE668" s="1655"/>
      <c r="CF668" s="1655"/>
      <c r="CG668" s="1655"/>
      <c r="CH668" s="1655"/>
      <c r="CI668" s="1655"/>
      <c r="CJ668" s="1655"/>
      <c r="CK668" s="1655"/>
      <c r="CL668" s="1655"/>
      <c r="CM668" s="1655"/>
      <c r="CN668" s="1655"/>
      <c r="CO668" s="1655"/>
      <c r="CP668" s="1655"/>
      <c r="CQ668" s="1655"/>
      <c r="CR668" s="1655"/>
      <c r="CS668" s="1655"/>
      <c r="CT668" s="1655"/>
      <c r="CU668" s="1655"/>
      <c r="CV668" s="1655"/>
      <c r="CW668" s="1655"/>
      <c r="CX668" s="1655"/>
      <c r="CY668" s="1655"/>
      <c r="CZ668" s="1655"/>
      <c r="DA668" s="1655"/>
      <c r="DB668" s="1655"/>
      <c r="DC668" s="1655"/>
      <c r="DD668" s="1655"/>
      <c r="DE668" s="1655"/>
      <c r="DF668" s="1655"/>
      <c r="DG668" s="1655"/>
      <c r="DH668" s="1655"/>
      <c r="DI668" s="1655"/>
      <c r="DJ668" s="1655"/>
      <c r="DK668" s="1655"/>
      <c r="DL668" s="1655"/>
      <c r="DM668" s="1655"/>
      <c r="DN668" s="1655"/>
      <c r="DO668" s="1655"/>
      <c r="DP668" s="1655"/>
      <c r="DQ668" s="1655"/>
      <c r="DR668" s="1655"/>
      <c r="DS668" s="1655"/>
      <c r="DT668" s="1655"/>
      <c r="DU668" s="1655"/>
      <c r="DV668" s="1655"/>
      <c r="DW668" s="1655"/>
      <c r="DX668" s="1655"/>
      <c r="DY668" s="1655"/>
      <c r="DZ668" s="1655"/>
      <c r="EA668" s="1655"/>
      <c r="EB668" s="1655"/>
      <c r="EC668" s="1655"/>
      <c r="ED668" s="1655"/>
      <c r="EE668" s="1655"/>
      <c r="EF668" s="1655"/>
      <c r="EG668" s="1655"/>
      <c r="EH668" s="1655"/>
      <c r="EI668" s="1655"/>
      <c r="EJ668" s="1655"/>
      <c r="EK668" s="1655"/>
      <c r="EL668" s="1655"/>
      <c r="EM668" s="1655"/>
      <c r="EN668" s="1655"/>
      <c r="EO668" s="1655"/>
      <c r="EP668" s="1655"/>
      <c r="EQ668" s="1655"/>
      <c r="ER668" s="1655"/>
      <c r="ES668" s="1655"/>
      <c r="ET668" s="1655"/>
      <c r="EU668" s="1655"/>
      <c r="EV668" s="1655"/>
      <c r="EW668" s="1655"/>
      <c r="EX668" s="1655"/>
      <c r="EY668" s="1655"/>
      <c r="EZ668" s="1655"/>
      <c r="FA668" s="1655"/>
      <c r="FB668" s="1655"/>
      <c r="FC668" s="1655"/>
      <c r="FD668" s="1655"/>
      <c r="FE668" s="1655"/>
      <c r="FF668" s="1655"/>
      <c r="FG668" s="1655"/>
      <c r="FH668" s="1655"/>
      <c r="FI668" s="1655"/>
    </row>
    <row r="669" spans="1:165">
      <c r="A669" s="1655"/>
      <c r="B669" s="1655"/>
      <c r="C669" s="1655"/>
      <c r="D669" s="1655"/>
      <c r="E669" s="1655"/>
      <c r="F669" s="1655"/>
      <c r="G669" s="1655"/>
      <c r="H669" s="1655"/>
      <c r="I669" s="1655"/>
      <c r="J669" s="1655"/>
      <c r="K669" s="1655"/>
      <c r="L669" s="1655"/>
      <c r="M669" s="1655"/>
      <c r="N669" s="1655"/>
      <c r="O669" s="1655"/>
      <c r="P669" s="1655"/>
      <c r="Q669" s="1655"/>
      <c r="R669" s="1655"/>
      <c r="S669" s="1655"/>
      <c r="T669" s="1655"/>
      <c r="U669" s="1655"/>
      <c r="V669" s="1655"/>
      <c r="W669" s="1655"/>
      <c r="X669" s="1655"/>
      <c r="Y669" s="1655"/>
      <c r="Z669" s="1655"/>
      <c r="AA669" s="1655"/>
      <c r="AB669" s="1655"/>
      <c r="AC669" s="1655"/>
      <c r="AD669" s="1655"/>
      <c r="AE669" s="1655"/>
      <c r="AF669" s="1655"/>
      <c r="AG669" s="1655"/>
      <c r="AH669" s="1655"/>
      <c r="AI669" s="1655"/>
      <c r="AJ669" s="1655"/>
      <c r="AK669" s="1655"/>
      <c r="AL669" s="1655"/>
      <c r="AM669" s="1655"/>
      <c r="AN669" s="1655"/>
      <c r="AO669" s="1655"/>
      <c r="AP669" s="1655"/>
      <c r="AQ669" s="1655"/>
      <c r="AR669" s="1655"/>
      <c r="AS669" s="1655"/>
      <c r="AT669" s="1655"/>
      <c r="AU669" s="1655"/>
      <c r="AV669" s="1655"/>
      <c r="AW669" s="1655"/>
      <c r="AX669" s="1655"/>
      <c r="AY669" s="1655"/>
      <c r="AZ669" s="1655"/>
      <c r="BA669" s="1655"/>
      <c r="BB669" s="1655"/>
      <c r="BC669" s="1655"/>
      <c r="BD669" s="1655"/>
      <c r="BE669" s="1655"/>
      <c r="BF669" s="1655"/>
      <c r="BG669" s="1655"/>
      <c r="BH669" s="1655"/>
      <c r="BI669" s="1655"/>
      <c r="BJ669" s="1655"/>
      <c r="BK669" s="1655"/>
      <c r="BL669" s="1655"/>
      <c r="BM669" s="1655"/>
      <c r="BN669" s="1655"/>
      <c r="BO669" s="1655"/>
      <c r="BP669" s="1655"/>
      <c r="BQ669" s="1655"/>
      <c r="BR669" s="1655"/>
      <c r="BS669" s="1655"/>
      <c r="BT669" s="1655"/>
      <c r="BU669" s="1655"/>
      <c r="BV669" s="1655"/>
      <c r="BW669" s="1655"/>
      <c r="BX669" s="1655"/>
      <c r="BY669" s="1655"/>
      <c r="BZ669" s="1655"/>
      <c r="CA669" s="1655"/>
      <c r="CB669" s="1655"/>
      <c r="CC669" s="1655"/>
      <c r="CD669" s="1655"/>
      <c r="CE669" s="1655"/>
      <c r="CF669" s="1655"/>
      <c r="CG669" s="1655"/>
      <c r="CH669" s="1655"/>
      <c r="CI669" s="1655"/>
      <c r="CJ669" s="1655"/>
      <c r="CK669" s="1655"/>
      <c r="CL669" s="1655"/>
      <c r="CM669" s="1655"/>
      <c r="CN669" s="1655"/>
      <c r="CO669" s="1655"/>
      <c r="CP669" s="1655"/>
      <c r="CQ669" s="1655"/>
      <c r="CR669" s="1655"/>
      <c r="CS669" s="1655"/>
      <c r="CT669" s="1655"/>
      <c r="CU669" s="1655"/>
      <c r="CV669" s="1655"/>
      <c r="CW669" s="1655"/>
      <c r="CX669" s="1655"/>
      <c r="CY669" s="1655"/>
      <c r="CZ669" s="1655"/>
      <c r="DA669" s="1655"/>
      <c r="DB669" s="1655"/>
      <c r="DC669" s="1655"/>
      <c r="DD669" s="1655"/>
      <c r="DE669" s="1655"/>
      <c r="DF669" s="1655"/>
      <c r="DG669" s="1655"/>
      <c r="DH669" s="1655"/>
      <c r="DI669" s="1655"/>
      <c r="DJ669" s="1655"/>
      <c r="DK669" s="1655"/>
      <c r="DL669" s="1655"/>
      <c r="DM669" s="1655"/>
      <c r="DN669" s="1655"/>
      <c r="DO669" s="1655"/>
      <c r="DP669" s="1655"/>
      <c r="DQ669" s="1655"/>
      <c r="DR669" s="1655"/>
      <c r="DS669" s="1655"/>
      <c r="DT669" s="1655"/>
      <c r="DU669" s="1655"/>
      <c r="DV669" s="1655"/>
      <c r="DW669" s="1655"/>
      <c r="DX669" s="1655"/>
      <c r="DY669" s="1655"/>
      <c r="DZ669" s="1655"/>
      <c r="EA669" s="1655"/>
      <c r="EB669" s="1655"/>
      <c r="EC669" s="1655"/>
      <c r="ED669" s="1655"/>
      <c r="EE669" s="1655"/>
      <c r="EF669" s="1655"/>
      <c r="EG669" s="1655"/>
      <c r="EH669" s="1655"/>
      <c r="EI669" s="1655"/>
      <c r="EJ669" s="1655"/>
      <c r="EK669" s="1655"/>
      <c r="EL669" s="1655"/>
      <c r="EM669" s="1655"/>
      <c r="EN669" s="1655"/>
      <c r="EO669" s="1655"/>
      <c r="EP669" s="1655"/>
      <c r="EQ669" s="1655"/>
      <c r="ER669" s="1655"/>
      <c r="ES669" s="1655"/>
      <c r="ET669" s="1655"/>
      <c r="EU669" s="1655"/>
      <c r="EV669" s="1655"/>
      <c r="EW669" s="1655"/>
      <c r="EX669" s="1655"/>
      <c r="EY669" s="1655"/>
      <c r="EZ669" s="1655"/>
      <c r="FA669" s="1655"/>
      <c r="FB669" s="1655"/>
      <c r="FC669" s="1655"/>
      <c r="FD669" s="1655"/>
      <c r="FE669" s="1655"/>
      <c r="FF669" s="1655"/>
      <c r="FG669" s="1655"/>
      <c r="FH669" s="1655"/>
      <c r="FI669" s="1655"/>
    </row>
    <row r="670" spans="1:165">
      <c r="A670" s="1655"/>
      <c r="B670" s="1655"/>
      <c r="C670" s="1655"/>
      <c r="D670" s="1655"/>
      <c r="E670" s="1655"/>
      <c r="F670" s="1655"/>
      <c r="G670" s="1655"/>
      <c r="H670" s="1655"/>
      <c r="I670" s="1655"/>
      <c r="J670" s="1655"/>
      <c r="K670" s="1655"/>
      <c r="L670" s="1655"/>
      <c r="M670" s="1655"/>
      <c r="N670" s="1655"/>
      <c r="O670" s="1655"/>
      <c r="P670" s="1655"/>
      <c r="Q670" s="1655"/>
      <c r="R670" s="1655"/>
      <c r="S670" s="1655"/>
      <c r="T670" s="1655"/>
      <c r="U670" s="1655"/>
      <c r="V670" s="1655"/>
      <c r="W670" s="1655"/>
      <c r="X670" s="1655"/>
      <c r="Y670" s="1655"/>
      <c r="Z670" s="1655"/>
      <c r="AA670" s="1655"/>
      <c r="AB670" s="1655"/>
      <c r="AC670" s="1655"/>
      <c r="AD670" s="1655"/>
      <c r="AE670" s="1655"/>
      <c r="AF670" s="1655"/>
      <c r="AG670" s="1655"/>
      <c r="AH670" s="1655"/>
      <c r="AI670" s="1655"/>
      <c r="AJ670" s="1655"/>
      <c r="AK670" s="1655"/>
      <c r="AL670" s="1655"/>
      <c r="AM670" s="1655"/>
      <c r="AN670" s="1655"/>
      <c r="AO670" s="1655"/>
      <c r="AP670" s="1655"/>
      <c r="AQ670" s="1655"/>
      <c r="AR670" s="1655"/>
      <c r="AS670" s="1655"/>
      <c r="AT670" s="1655"/>
      <c r="AU670" s="1655"/>
      <c r="AV670" s="1655"/>
      <c r="AW670" s="1655"/>
      <c r="AX670" s="1655"/>
      <c r="AY670" s="1655"/>
      <c r="AZ670" s="1655"/>
      <c r="BA670" s="1655"/>
      <c r="BB670" s="1655"/>
      <c r="BC670" s="1655"/>
      <c r="BD670" s="1655"/>
      <c r="BE670" s="1655"/>
      <c r="BF670" s="1655"/>
      <c r="BG670" s="1655"/>
      <c r="BH670" s="1655"/>
      <c r="BI670" s="1655"/>
      <c r="BJ670" s="1655"/>
      <c r="BK670" s="1655"/>
      <c r="BL670" s="1655"/>
      <c r="BM670" s="1655"/>
      <c r="BN670" s="1655"/>
      <c r="BO670" s="1655"/>
      <c r="BP670" s="1655"/>
      <c r="BQ670" s="1655"/>
      <c r="BR670" s="1655"/>
      <c r="BS670" s="1655"/>
      <c r="BT670" s="1655"/>
      <c r="BU670" s="1655"/>
      <c r="BV670" s="1655"/>
      <c r="BW670" s="1655"/>
      <c r="BX670" s="1655"/>
      <c r="BY670" s="1655"/>
      <c r="BZ670" s="1655"/>
      <c r="CA670" s="1655"/>
      <c r="CB670" s="1655"/>
      <c r="CC670" s="1655"/>
      <c r="CD670" s="1655"/>
      <c r="CE670" s="1655"/>
      <c r="CF670" s="1655"/>
      <c r="CG670" s="1655"/>
      <c r="CH670" s="1655"/>
      <c r="CI670" s="1655"/>
      <c r="CJ670" s="1655"/>
      <c r="CK670" s="1655"/>
      <c r="CL670" s="1655"/>
      <c r="CM670" s="1655"/>
      <c r="CN670" s="1655"/>
      <c r="CO670" s="1655"/>
      <c r="CP670" s="1655"/>
      <c r="CQ670" s="1655"/>
      <c r="CR670" s="1655"/>
      <c r="CS670" s="1655"/>
      <c r="CT670" s="1655"/>
      <c r="CU670" s="1655"/>
      <c r="CV670" s="1655"/>
      <c r="CW670" s="1655"/>
      <c r="CX670" s="1655"/>
      <c r="CY670" s="1655"/>
      <c r="CZ670" s="1655"/>
      <c r="DA670" s="1655"/>
      <c r="DB670" s="1655"/>
      <c r="DC670" s="1655"/>
      <c r="DD670" s="1655"/>
      <c r="DE670" s="1655"/>
      <c r="DF670" s="1655"/>
      <c r="DG670" s="1655"/>
      <c r="DH670" s="1655"/>
      <c r="DI670" s="1655"/>
      <c r="DJ670" s="1655"/>
      <c r="DK670" s="1655"/>
      <c r="DL670" s="1655"/>
      <c r="DM670" s="1655"/>
      <c r="DN670" s="1655"/>
      <c r="DO670" s="1655"/>
      <c r="DP670" s="1655"/>
      <c r="DQ670" s="1655"/>
      <c r="DR670" s="1655"/>
      <c r="DS670" s="1655"/>
      <c r="DT670" s="1655"/>
      <c r="DU670" s="1655"/>
      <c r="DV670" s="1655"/>
      <c r="DW670" s="1655"/>
      <c r="DX670" s="1655"/>
      <c r="DY670" s="1655"/>
      <c r="DZ670" s="1655"/>
      <c r="EA670" s="1655"/>
      <c r="EB670" s="1655"/>
      <c r="EC670" s="1655"/>
      <c r="ED670" s="1655"/>
      <c r="EE670" s="1655"/>
      <c r="EF670" s="1655"/>
      <c r="EG670" s="1655"/>
      <c r="EH670" s="1655"/>
      <c r="EI670" s="1655"/>
      <c r="EJ670" s="1655"/>
      <c r="EK670" s="1655"/>
      <c r="EL670" s="1655"/>
      <c r="EM670" s="1655"/>
      <c r="EN670" s="1655"/>
      <c r="EO670" s="1655"/>
      <c r="EP670" s="1655"/>
      <c r="EQ670" s="1655"/>
      <c r="ER670" s="1655"/>
      <c r="ES670" s="1655"/>
      <c r="ET670" s="1655"/>
      <c r="EU670" s="1655"/>
      <c r="EV670" s="1655"/>
      <c r="EW670" s="1655"/>
      <c r="EX670" s="1655"/>
      <c r="EY670" s="1655"/>
      <c r="EZ670" s="1655"/>
      <c r="FA670" s="1655"/>
      <c r="FB670" s="1655"/>
      <c r="FC670" s="1655"/>
      <c r="FD670" s="1655"/>
      <c r="FE670" s="1655"/>
      <c r="FF670" s="1655"/>
      <c r="FG670" s="1655"/>
      <c r="FH670" s="1655"/>
      <c r="FI670" s="1655"/>
    </row>
    <row r="671" spans="1:165">
      <c r="A671" s="1655"/>
      <c r="B671" s="1655"/>
      <c r="C671" s="1655"/>
      <c r="D671" s="1655"/>
      <c r="E671" s="1655"/>
      <c r="F671" s="1655"/>
      <c r="G671" s="1655"/>
      <c r="H671" s="1655"/>
      <c r="I671" s="1655"/>
      <c r="J671" s="1655"/>
      <c r="K671" s="1655"/>
      <c r="L671" s="1655"/>
      <c r="M671" s="1655"/>
      <c r="N671" s="1655"/>
      <c r="O671" s="1655"/>
      <c r="P671" s="1655"/>
      <c r="Q671" s="1655"/>
      <c r="R671" s="1655"/>
      <c r="S671" s="1655"/>
      <c r="T671" s="1655"/>
      <c r="U671" s="1655"/>
      <c r="V671" s="1655"/>
      <c r="W671" s="1655"/>
      <c r="X671" s="1655"/>
      <c r="Y671" s="1655"/>
      <c r="Z671" s="1655"/>
      <c r="AA671" s="1655"/>
      <c r="AB671" s="1655"/>
      <c r="AC671" s="1655"/>
      <c r="AD671" s="1655"/>
      <c r="AE671" s="1655"/>
      <c r="AF671" s="1655"/>
      <c r="AG671" s="1655"/>
      <c r="AH671" s="1655"/>
      <c r="AI671" s="1655"/>
      <c r="AJ671" s="1655"/>
      <c r="AK671" s="1655"/>
      <c r="AL671" s="1655"/>
      <c r="AM671" s="1655"/>
      <c r="AN671" s="1655"/>
      <c r="AO671" s="1655"/>
      <c r="AP671" s="1655"/>
      <c r="AQ671" s="1655"/>
      <c r="AR671" s="1655"/>
      <c r="AS671" s="1655"/>
      <c r="AT671" s="1655"/>
      <c r="AU671" s="1655"/>
      <c r="AV671" s="1655"/>
      <c r="AW671" s="1655"/>
      <c r="AX671" s="1655"/>
      <c r="AY671" s="1655"/>
      <c r="AZ671" s="1655"/>
      <c r="BA671" s="1655"/>
      <c r="BB671" s="1655"/>
      <c r="BC671" s="1655"/>
      <c r="BD671" s="1655"/>
      <c r="BE671" s="1655"/>
      <c r="BF671" s="1655"/>
      <c r="BG671" s="1655"/>
      <c r="BH671" s="1655"/>
      <c r="BI671" s="1655"/>
      <c r="BJ671" s="1655"/>
      <c r="BK671" s="1655"/>
      <c r="BL671" s="1655"/>
      <c r="BM671" s="1655"/>
      <c r="BN671" s="1655"/>
      <c r="BO671" s="1655"/>
      <c r="BP671" s="1655"/>
      <c r="BQ671" s="1655"/>
      <c r="BR671" s="1655"/>
      <c r="BS671" s="1655"/>
      <c r="BT671" s="1655"/>
      <c r="BU671" s="1655"/>
      <c r="BV671" s="1655"/>
      <c r="BW671" s="1655"/>
      <c r="BX671" s="1655"/>
      <c r="BY671" s="1655"/>
      <c r="BZ671" s="1655"/>
      <c r="CA671" s="1655"/>
      <c r="CB671" s="1655"/>
      <c r="CC671" s="1655"/>
      <c r="CD671" s="1655"/>
      <c r="CE671" s="1655"/>
      <c r="CF671" s="1655"/>
      <c r="CG671" s="1655"/>
      <c r="CH671" s="1655"/>
      <c r="CI671" s="1655"/>
      <c r="CJ671" s="1655"/>
      <c r="CK671" s="1655"/>
      <c r="CL671" s="1655"/>
      <c r="CM671" s="1655"/>
      <c r="CN671" s="1655"/>
      <c r="CO671" s="1655"/>
      <c r="CP671" s="1655"/>
      <c r="CQ671" s="1655"/>
      <c r="CR671" s="1655"/>
      <c r="CS671" s="1655"/>
      <c r="CT671" s="1655"/>
      <c r="CU671" s="1655"/>
      <c r="CV671" s="1655"/>
      <c r="CW671" s="1655"/>
      <c r="CX671" s="1655"/>
      <c r="CY671" s="1655"/>
      <c r="CZ671" s="1655"/>
      <c r="DA671" s="1655"/>
      <c r="DB671" s="1655"/>
      <c r="DC671" s="1655"/>
      <c r="DD671" s="1655"/>
      <c r="DE671" s="1655"/>
      <c r="DF671" s="1655"/>
      <c r="DG671" s="1655"/>
      <c r="DH671" s="1655"/>
      <c r="DI671" s="1655"/>
      <c r="DJ671" s="1655"/>
      <c r="DK671" s="1655"/>
      <c r="DL671" s="1655"/>
      <c r="DM671" s="1655"/>
      <c r="DN671" s="1655"/>
      <c r="DO671" s="1655"/>
      <c r="DP671" s="1655"/>
      <c r="DQ671" s="1655"/>
      <c r="DR671" s="1655"/>
      <c r="DS671" s="1655"/>
      <c r="DT671" s="1655"/>
      <c r="DU671" s="1655"/>
      <c r="DV671" s="1655"/>
      <c r="DW671" s="1655"/>
      <c r="DX671" s="1655"/>
      <c r="DY671" s="1655"/>
      <c r="DZ671" s="1655"/>
      <c r="EA671" s="1655"/>
      <c r="EB671" s="1655"/>
      <c r="EC671" s="1655"/>
      <c r="ED671" s="1655"/>
      <c r="EE671" s="1655"/>
      <c r="EF671" s="1655"/>
      <c r="EG671" s="1655"/>
      <c r="EH671" s="1655"/>
      <c r="EI671" s="1655"/>
      <c r="EJ671" s="1655"/>
      <c r="EK671" s="1655"/>
      <c r="EL671" s="1655"/>
      <c r="EM671" s="1655"/>
      <c r="EN671" s="1655"/>
      <c r="EO671" s="1655"/>
      <c r="EP671" s="1655"/>
      <c r="EQ671" s="1655"/>
      <c r="ER671" s="1655"/>
      <c r="ES671" s="1655"/>
      <c r="ET671" s="1655"/>
      <c r="EU671" s="1655"/>
      <c r="EV671" s="1655"/>
      <c r="EW671" s="1655"/>
      <c r="EX671" s="1655"/>
      <c r="EY671" s="1655"/>
      <c r="EZ671" s="1655"/>
      <c r="FA671" s="1655"/>
      <c r="FB671" s="1655"/>
      <c r="FC671" s="1655"/>
      <c r="FD671" s="1655"/>
      <c r="FE671" s="1655"/>
      <c r="FF671" s="1655"/>
      <c r="FG671" s="1655"/>
      <c r="FH671" s="1655"/>
      <c r="FI671" s="1655"/>
    </row>
    <row r="672" spans="1:165">
      <c r="A672" s="1655"/>
      <c r="B672" s="1655"/>
      <c r="C672" s="1655"/>
      <c r="D672" s="1655"/>
      <c r="E672" s="1655"/>
      <c r="F672" s="1655"/>
      <c r="G672" s="1655"/>
      <c r="H672" s="1655"/>
      <c r="I672" s="1655"/>
      <c r="J672" s="1655"/>
      <c r="K672" s="1655"/>
      <c r="L672" s="1655"/>
      <c r="M672" s="1655"/>
      <c r="N672" s="1655"/>
      <c r="O672" s="1655"/>
      <c r="P672" s="1655"/>
      <c r="Q672" s="1655"/>
      <c r="R672" s="1655"/>
      <c r="S672" s="1655"/>
      <c r="T672" s="1655"/>
      <c r="U672" s="1655"/>
      <c r="V672" s="1655"/>
      <c r="W672" s="1655"/>
      <c r="X672" s="1655"/>
      <c r="Y672" s="1655"/>
      <c r="Z672" s="1655"/>
      <c r="AA672" s="1655"/>
      <c r="AB672" s="1655"/>
      <c r="AC672" s="1655"/>
      <c r="AD672" s="1655"/>
      <c r="AE672" s="1655"/>
      <c r="AF672" s="1655"/>
      <c r="AG672" s="1655"/>
      <c r="AH672" s="1655"/>
      <c r="AI672" s="1655"/>
      <c r="AJ672" s="1655"/>
      <c r="AK672" s="1655"/>
      <c r="AL672" s="1655"/>
      <c r="AM672" s="1655"/>
      <c r="AN672" s="1655"/>
      <c r="AO672" s="1655"/>
      <c r="AP672" s="1655"/>
      <c r="AQ672" s="1655"/>
      <c r="AR672" s="1655"/>
      <c r="AS672" s="1655"/>
      <c r="AT672" s="1655"/>
      <c r="AU672" s="1655"/>
      <c r="AV672" s="1655"/>
      <c r="AW672" s="1655"/>
      <c r="AX672" s="1655"/>
      <c r="AY672" s="1655"/>
      <c r="AZ672" s="1655"/>
      <c r="BA672" s="1655"/>
      <c r="BB672" s="1655"/>
      <c r="BC672" s="1655"/>
      <c r="BD672" s="1655"/>
      <c r="BE672" s="1655"/>
      <c r="BF672" s="1655"/>
      <c r="BG672" s="1655"/>
      <c r="BH672" s="1655"/>
      <c r="BI672" s="1655"/>
      <c r="BJ672" s="1655"/>
      <c r="BK672" s="1655"/>
      <c r="BL672" s="1655"/>
      <c r="BM672" s="1655"/>
      <c r="BN672" s="1655"/>
      <c r="BO672" s="1655"/>
      <c r="BP672" s="1655"/>
      <c r="BQ672" s="1655"/>
      <c r="BR672" s="1655"/>
      <c r="BS672" s="1655"/>
      <c r="BT672" s="1655"/>
      <c r="BU672" s="1655"/>
      <c r="BV672" s="1655"/>
      <c r="BW672" s="1655"/>
      <c r="BX672" s="1655"/>
      <c r="BY672" s="1655"/>
      <c r="BZ672" s="1655"/>
      <c r="CA672" s="1655"/>
      <c r="CB672" s="1655"/>
      <c r="CC672" s="1655"/>
      <c r="CD672" s="1655"/>
      <c r="CE672" s="1655"/>
      <c r="CF672" s="1655"/>
      <c r="CG672" s="1655"/>
      <c r="CH672" s="1655"/>
      <c r="CI672" s="1655"/>
      <c r="CJ672" s="1655"/>
      <c r="CK672" s="1655"/>
      <c r="CL672" s="1655"/>
      <c r="CM672" s="1655"/>
      <c r="CN672" s="1655"/>
      <c r="CO672" s="1655"/>
      <c r="CP672" s="1655"/>
      <c r="CQ672" s="1655"/>
      <c r="CR672" s="1655"/>
      <c r="CS672" s="1655"/>
      <c r="CT672" s="1655"/>
      <c r="CU672" s="1655"/>
      <c r="CV672" s="1655"/>
      <c r="CW672" s="1655"/>
      <c r="CX672" s="1655"/>
      <c r="CY672" s="1655"/>
      <c r="CZ672" s="1655"/>
      <c r="DA672" s="1655"/>
      <c r="DB672" s="1655"/>
      <c r="DC672" s="1655"/>
      <c r="DD672" s="1655"/>
      <c r="DE672" s="1655"/>
      <c r="DF672" s="1655"/>
      <c r="DG672" s="1655"/>
      <c r="DH672" s="1655"/>
      <c r="DI672" s="1655"/>
      <c r="DJ672" s="1655"/>
      <c r="DK672" s="1655"/>
      <c r="DL672" s="1655"/>
      <c r="DM672" s="1655"/>
      <c r="DN672" s="1655"/>
      <c r="DO672" s="1655"/>
      <c r="DP672" s="1655"/>
      <c r="DQ672" s="1655"/>
      <c r="DR672" s="1655"/>
      <c r="DS672" s="1655"/>
      <c r="DT672" s="1655"/>
      <c r="DU672" s="1655"/>
      <c r="DV672" s="1655"/>
      <c r="DW672" s="1655"/>
      <c r="DX672" s="1655"/>
      <c r="DY672" s="1655"/>
      <c r="DZ672" s="1655"/>
      <c r="EA672" s="1655"/>
      <c r="EB672" s="1655"/>
      <c r="EC672" s="1655"/>
      <c r="ED672" s="1655"/>
      <c r="EE672" s="1655"/>
      <c r="EF672" s="1655"/>
      <c r="EG672" s="1655"/>
      <c r="EH672" s="1655"/>
      <c r="EI672" s="1655"/>
      <c r="EJ672" s="1655"/>
      <c r="EK672" s="1655"/>
      <c r="EL672" s="1655"/>
      <c r="EM672" s="1655"/>
      <c r="EN672" s="1655"/>
      <c r="EO672" s="1655"/>
      <c r="EP672" s="1655"/>
      <c r="EQ672" s="1655"/>
      <c r="ER672" s="1655"/>
      <c r="ES672" s="1655"/>
      <c r="ET672" s="1655"/>
      <c r="EU672" s="1655"/>
      <c r="EV672" s="1655"/>
      <c r="EW672" s="1655"/>
      <c r="EX672" s="1655"/>
      <c r="EY672" s="1655"/>
      <c r="EZ672" s="1655"/>
      <c r="FA672" s="1655"/>
      <c r="FB672" s="1655"/>
      <c r="FC672" s="1655"/>
      <c r="FD672" s="1655"/>
      <c r="FE672" s="1655"/>
      <c r="FF672" s="1655"/>
      <c r="FG672" s="1655"/>
      <c r="FH672" s="1655"/>
      <c r="FI672" s="1655"/>
    </row>
    <row r="673" spans="1:165">
      <c r="A673" s="1655"/>
      <c r="B673" s="1655"/>
      <c r="C673" s="1655"/>
      <c r="D673" s="1655"/>
      <c r="E673" s="1655"/>
      <c r="F673" s="1655"/>
      <c r="G673" s="1655"/>
      <c r="H673" s="1655"/>
      <c r="I673" s="1655"/>
      <c r="J673" s="1655"/>
      <c r="K673" s="1655"/>
      <c r="L673" s="1655"/>
      <c r="M673" s="1655"/>
      <c r="N673" s="1655"/>
      <c r="O673" s="1655"/>
      <c r="P673" s="1655"/>
      <c r="Q673" s="1655"/>
      <c r="R673" s="1655"/>
      <c r="S673" s="1655"/>
      <c r="T673" s="1655"/>
      <c r="U673" s="1655"/>
      <c r="V673" s="1655"/>
      <c r="W673" s="1655"/>
      <c r="X673" s="1655"/>
      <c r="Y673" s="1655"/>
      <c r="Z673" s="1655"/>
      <c r="AA673" s="1655"/>
      <c r="AB673" s="1655"/>
      <c r="AC673" s="1655"/>
      <c r="AD673" s="1655"/>
      <c r="AE673" s="1655"/>
      <c r="AF673" s="1655"/>
      <c r="AG673" s="1655"/>
      <c r="AH673" s="1655"/>
      <c r="AI673" s="1655"/>
      <c r="AJ673" s="1655"/>
      <c r="AK673" s="1655"/>
      <c r="AL673" s="1655"/>
      <c r="AM673" s="1655"/>
      <c r="AN673" s="1655"/>
      <c r="AO673" s="1655"/>
      <c r="AP673" s="1655"/>
      <c r="AQ673" s="1655"/>
      <c r="AR673" s="1655"/>
      <c r="AS673" s="1655"/>
      <c r="AT673" s="1655"/>
      <c r="AU673" s="1655"/>
      <c r="AV673" s="1655"/>
      <c r="AW673" s="1655"/>
      <c r="AX673" s="1655"/>
      <c r="AY673" s="1655"/>
      <c r="AZ673" s="1655"/>
      <c r="BA673" s="1655"/>
      <c r="BB673" s="1655"/>
      <c r="BC673" s="1655"/>
      <c r="BD673" s="1655"/>
      <c r="BE673" s="1655"/>
      <c r="BF673" s="1655"/>
      <c r="BG673" s="1655"/>
      <c r="BH673" s="1655"/>
      <c r="BI673" s="1655"/>
      <c r="BJ673" s="1655"/>
      <c r="BK673" s="1655"/>
      <c r="BL673" s="1655"/>
      <c r="BM673" s="1655"/>
      <c r="BN673" s="1655"/>
      <c r="BO673" s="1655"/>
      <c r="BP673" s="1655"/>
      <c r="BQ673" s="1655"/>
      <c r="BR673" s="1655"/>
      <c r="BS673" s="1655"/>
      <c r="BT673" s="1655"/>
      <c r="BU673" s="1655"/>
      <c r="BV673" s="1655"/>
      <c r="BW673" s="1655"/>
      <c r="BX673" s="1655"/>
      <c r="BY673" s="1655"/>
      <c r="BZ673" s="1655"/>
      <c r="CA673" s="1655"/>
      <c r="CB673" s="1655"/>
      <c r="CC673" s="1655"/>
      <c r="CD673" s="1655"/>
      <c r="CE673" s="1655"/>
      <c r="CF673" s="1655"/>
      <c r="CG673" s="1655"/>
      <c r="CH673" s="1655"/>
      <c r="CI673" s="1655"/>
      <c r="CJ673" s="1655"/>
      <c r="CK673" s="1655"/>
      <c r="CL673" s="1655"/>
      <c r="CM673" s="1655"/>
      <c r="CN673" s="1655"/>
      <c r="CO673" s="1655"/>
      <c r="CP673" s="1655"/>
      <c r="CQ673" s="1655"/>
      <c r="CR673" s="1655"/>
      <c r="CS673" s="1655"/>
      <c r="CT673" s="1655"/>
      <c r="CU673" s="1655"/>
      <c r="CV673" s="1655"/>
      <c r="CW673" s="1655"/>
      <c r="CX673" s="1655"/>
      <c r="CY673" s="1655"/>
      <c r="CZ673" s="1655"/>
      <c r="DA673" s="1655"/>
      <c r="DB673" s="1655"/>
      <c r="DC673" s="1655"/>
      <c r="DD673" s="1655"/>
      <c r="DE673" s="1655"/>
      <c r="DF673" s="1655"/>
      <c r="DG673" s="1655"/>
      <c r="DH673" s="1655"/>
      <c r="DI673" s="1655"/>
      <c r="DJ673" s="1655"/>
      <c r="DK673" s="1655"/>
      <c r="DL673" s="1655"/>
      <c r="DM673" s="1655"/>
      <c r="DN673" s="1655"/>
      <c r="DO673" s="1655"/>
      <c r="DP673" s="1655"/>
      <c r="DQ673" s="1655"/>
      <c r="DR673" s="1655"/>
      <c r="DS673" s="1655"/>
      <c r="DT673" s="1655"/>
      <c r="DU673" s="1655"/>
      <c r="DV673" s="1655"/>
      <c r="DW673" s="1655"/>
      <c r="DX673" s="1655"/>
      <c r="DY673" s="1655"/>
      <c r="DZ673" s="1655"/>
      <c r="EA673" s="1655"/>
      <c r="EB673" s="1655"/>
      <c r="EC673" s="1655"/>
      <c r="ED673" s="1655"/>
      <c r="EE673" s="1655"/>
      <c r="EF673" s="1655"/>
      <c r="EG673" s="1655"/>
      <c r="EH673" s="1655"/>
      <c r="EI673" s="1655"/>
      <c r="EJ673" s="1655"/>
      <c r="EK673" s="1655"/>
      <c r="EL673" s="1655"/>
      <c r="EM673" s="1655"/>
      <c r="EN673" s="1655"/>
      <c r="EO673" s="1655"/>
      <c r="EP673" s="1655"/>
      <c r="EQ673" s="1655"/>
      <c r="ER673" s="1655"/>
      <c r="ES673" s="1655"/>
      <c r="ET673" s="1655"/>
      <c r="EU673" s="1655"/>
      <c r="EV673" s="1655"/>
      <c r="EW673" s="1655"/>
      <c r="EX673" s="1655"/>
      <c r="EY673" s="1655"/>
      <c r="EZ673" s="1655"/>
      <c r="FA673" s="1655"/>
      <c r="FB673" s="1655"/>
      <c r="FC673" s="1655"/>
      <c r="FD673" s="1655"/>
      <c r="FE673" s="1655"/>
      <c r="FF673" s="1655"/>
      <c r="FG673" s="1655"/>
      <c r="FH673" s="1655"/>
      <c r="FI673" s="1655"/>
    </row>
    <row r="674" spans="1:165">
      <c r="A674" s="1655"/>
      <c r="B674" s="1655"/>
      <c r="C674" s="1655"/>
      <c r="D674" s="1655"/>
      <c r="E674" s="1655"/>
      <c r="F674" s="1655"/>
      <c r="G674" s="1655"/>
      <c r="H674" s="1655"/>
      <c r="I674" s="1655"/>
      <c r="J674" s="1655"/>
      <c r="K674" s="1655"/>
      <c r="L674" s="1655"/>
      <c r="M674" s="1655"/>
      <c r="N674" s="1655"/>
      <c r="O674" s="1655"/>
      <c r="P674" s="1655"/>
      <c r="Q674" s="1655"/>
      <c r="R674" s="1655"/>
      <c r="S674" s="1655"/>
      <c r="T674" s="1655"/>
      <c r="U674" s="1655"/>
      <c r="V674" s="1655"/>
      <c r="W674" s="1655"/>
      <c r="X674" s="1655"/>
      <c r="Y674" s="1655"/>
      <c r="Z674" s="1655"/>
      <c r="AA674" s="1655"/>
      <c r="AB674" s="1655"/>
      <c r="AC674" s="1655"/>
      <c r="AD674" s="1655"/>
      <c r="AE674" s="1655"/>
      <c r="AF674" s="1655"/>
      <c r="AG674" s="1655"/>
      <c r="AH674" s="1655"/>
      <c r="AI674" s="1655"/>
      <c r="AJ674" s="1655"/>
      <c r="AK674" s="1655"/>
      <c r="AL674" s="1655"/>
      <c r="AM674" s="1655"/>
      <c r="AN674" s="1655"/>
      <c r="AO674" s="1655"/>
      <c r="AP674" s="1655"/>
      <c r="AQ674" s="1655"/>
      <c r="AR674" s="1655"/>
      <c r="AS674" s="1655"/>
      <c r="AT674" s="1655"/>
      <c r="AU674" s="1655"/>
      <c r="AV674" s="1655"/>
      <c r="AW674" s="1655"/>
      <c r="AX674" s="1655"/>
      <c r="AY674" s="1655"/>
      <c r="AZ674" s="1655"/>
      <c r="BA674" s="1655"/>
      <c r="BB674" s="1655"/>
      <c r="BC674" s="1655"/>
      <c r="BD674" s="1655"/>
      <c r="BE674" s="1655"/>
      <c r="BF674" s="1655"/>
      <c r="BG674" s="1655"/>
      <c r="BH674" s="1655"/>
      <c r="BI674" s="1655"/>
      <c r="BJ674" s="1655"/>
      <c r="BK674" s="1655"/>
      <c r="BL674" s="1655"/>
      <c r="BM674" s="1655"/>
      <c r="BN674" s="1655"/>
      <c r="BO674" s="1655"/>
      <c r="BP674" s="1655"/>
      <c r="BQ674" s="1655"/>
      <c r="BR674" s="1655"/>
      <c r="BS674" s="1655"/>
      <c r="BT674" s="1655"/>
      <c r="BU674" s="1655"/>
      <c r="BV674" s="1655"/>
      <c r="BW674" s="1655"/>
      <c r="BX674" s="1655"/>
      <c r="BY674" s="1655"/>
      <c r="BZ674" s="1655"/>
      <c r="CA674" s="1655"/>
      <c r="CB674" s="1655"/>
      <c r="CC674" s="1655"/>
      <c r="CD674" s="1655"/>
      <c r="CE674" s="1655"/>
      <c r="CF674" s="1655"/>
      <c r="CG674" s="1655"/>
      <c r="CH674" s="1655"/>
      <c r="CI674" s="1655"/>
      <c r="CJ674" s="1655"/>
      <c r="CK674" s="1655"/>
      <c r="CL674" s="1655"/>
      <c r="CM674" s="1655"/>
      <c r="CN674" s="1655"/>
      <c r="CO674" s="1655"/>
      <c r="CP674" s="1655"/>
      <c r="CQ674" s="1655"/>
      <c r="CR674" s="1655"/>
      <c r="CS674" s="1655"/>
      <c r="CT674" s="1655"/>
      <c r="CU674" s="1655"/>
      <c r="CV674" s="1655"/>
      <c r="CW674" s="1655"/>
      <c r="CX674" s="1655"/>
      <c r="CY674" s="1655"/>
      <c r="CZ674" s="1655"/>
      <c r="DA674" s="1655"/>
      <c r="DB674" s="1655"/>
      <c r="DC674" s="1655"/>
      <c r="DD674" s="1655"/>
      <c r="DE674" s="1655"/>
      <c r="DF674" s="1655"/>
      <c r="DG674" s="1655"/>
      <c r="DH674" s="1655"/>
      <c r="DI674" s="1655"/>
      <c r="DJ674" s="1655"/>
      <c r="DK674" s="1655"/>
      <c r="DL674" s="1655"/>
      <c r="DM674" s="1655"/>
      <c r="DN674" s="1655"/>
      <c r="DO674" s="1655"/>
      <c r="DP674" s="1655"/>
      <c r="DQ674" s="1655"/>
      <c r="DR674" s="1655"/>
      <c r="DS674" s="1655"/>
      <c r="DT674" s="1655"/>
      <c r="DU674" s="1655"/>
      <c r="DV674" s="1655"/>
      <c r="DW674" s="1655"/>
      <c r="DX674" s="1655"/>
      <c r="DY674" s="1655"/>
      <c r="DZ674" s="1655"/>
      <c r="EA674" s="1655"/>
      <c r="EB674" s="1655"/>
      <c r="EC674" s="1655"/>
      <c r="ED674" s="1655"/>
      <c r="EE674" s="1655"/>
      <c r="EF674" s="1655"/>
      <c r="EG674" s="1655"/>
      <c r="EH674" s="1655"/>
      <c r="EI674" s="1655"/>
      <c r="EJ674" s="1655"/>
      <c r="EK674" s="1655"/>
      <c r="EL674" s="1655"/>
      <c r="EM674" s="1655"/>
      <c r="EN674" s="1655"/>
      <c r="EO674" s="1655"/>
      <c r="EP674" s="1655"/>
      <c r="EQ674" s="1655"/>
      <c r="ER674" s="1655"/>
      <c r="ES674" s="1655"/>
      <c r="ET674" s="1655"/>
      <c r="EU674" s="1655"/>
      <c r="EV674" s="1655"/>
      <c r="EW674" s="1655"/>
      <c r="EX674" s="1655"/>
      <c r="EY674" s="1655"/>
      <c r="EZ674" s="1655"/>
      <c r="FA674" s="1655"/>
      <c r="FB674" s="1655"/>
      <c r="FC674" s="1655"/>
      <c r="FD674" s="1655"/>
      <c r="FE674" s="1655"/>
      <c r="FF674" s="1655"/>
      <c r="FG674" s="1655"/>
      <c r="FH674" s="1655"/>
      <c r="FI674" s="1655"/>
    </row>
    <row r="675" spans="1:165">
      <c r="A675" s="1655"/>
      <c r="B675" s="1655"/>
      <c r="C675" s="1655"/>
      <c r="D675" s="1655"/>
      <c r="E675" s="1655"/>
      <c r="F675" s="1655"/>
      <c r="G675" s="1655"/>
      <c r="H675" s="1655"/>
      <c r="I675" s="1655"/>
      <c r="J675" s="1655"/>
      <c r="K675" s="1655"/>
      <c r="L675" s="1655"/>
      <c r="M675" s="1655"/>
      <c r="N675" s="1655"/>
      <c r="O675" s="1655"/>
      <c r="P675" s="1655"/>
      <c r="Q675" s="1655"/>
      <c r="R675" s="1655"/>
      <c r="S675" s="1655"/>
      <c r="T675" s="1655"/>
      <c r="U675" s="1655"/>
      <c r="V675" s="1655"/>
      <c r="W675" s="1655"/>
      <c r="X675" s="1655"/>
      <c r="Y675" s="1655"/>
      <c r="Z675" s="1655"/>
      <c r="AA675" s="1655"/>
      <c r="AB675" s="1655"/>
      <c r="AC675" s="1655"/>
      <c r="AD675" s="1655"/>
      <c r="AE675" s="1655"/>
      <c r="AF675" s="1655"/>
      <c r="AG675" s="1655"/>
      <c r="AH675" s="1655"/>
      <c r="AI675" s="1655"/>
      <c r="AJ675" s="1655"/>
      <c r="AK675" s="1655"/>
      <c r="AL675" s="1655"/>
      <c r="AM675" s="1655"/>
      <c r="AN675" s="1655"/>
      <c r="AO675" s="1655"/>
      <c r="AP675" s="1655"/>
      <c r="AQ675" s="1655"/>
      <c r="AR675" s="1655"/>
      <c r="AS675" s="1655"/>
      <c r="AT675" s="1655"/>
      <c r="AU675" s="1655"/>
      <c r="AV675" s="1655"/>
      <c r="AW675" s="1655"/>
      <c r="AX675" s="1655"/>
      <c r="AY675" s="1655"/>
      <c r="AZ675" s="1655"/>
      <c r="BA675" s="1655"/>
      <c r="BB675" s="1655"/>
      <c r="BC675" s="1655"/>
      <c r="BD675" s="1655"/>
      <c r="BE675" s="1655"/>
      <c r="BF675" s="1655"/>
      <c r="BG675" s="1655"/>
      <c r="BH675" s="1655"/>
      <c r="BI675" s="1655"/>
      <c r="BJ675" s="1655"/>
      <c r="BK675" s="1655"/>
      <c r="BL675" s="1655"/>
      <c r="BM675" s="1655"/>
      <c r="BN675" s="1655"/>
      <c r="BO675" s="1655"/>
      <c r="BP675" s="1655"/>
      <c r="BQ675" s="1655"/>
      <c r="BR675" s="1655"/>
      <c r="BS675" s="1655"/>
      <c r="BT675" s="1655"/>
      <c r="BU675" s="1655"/>
      <c r="BV675" s="1655"/>
      <c r="BW675" s="1655"/>
      <c r="BX675" s="1655"/>
      <c r="BY675" s="1655"/>
      <c r="BZ675" s="1655"/>
      <c r="CA675" s="1655"/>
      <c r="CB675" s="1655"/>
      <c r="CC675" s="1655"/>
      <c r="CD675" s="1655"/>
      <c r="CE675" s="1655"/>
      <c r="CF675" s="1655"/>
      <c r="CG675" s="1655"/>
      <c r="CH675" s="1655"/>
      <c r="CI675" s="1655"/>
      <c r="CJ675" s="1655"/>
      <c r="CK675" s="1655"/>
      <c r="CL675" s="1655"/>
      <c r="CM675" s="1655"/>
      <c r="CN675" s="1655"/>
      <c r="CO675" s="1655"/>
      <c r="CP675" s="1655"/>
      <c r="CQ675" s="1655"/>
      <c r="CR675" s="1655"/>
      <c r="CS675" s="1655"/>
      <c r="CT675" s="1655"/>
      <c r="CU675" s="1655"/>
      <c r="CV675" s="1655"/>
      <c r="CW675" s="1655"/>
      <c r="CX675" s="1655"/>
      <c r="CY675" s="1655"/>
      <c r="CZ675" s="1655"/>
      <c r="DA675" s="1655"/>
      <c r="DB675" s="1655"/>
      <c r="DC675" s="1655"/>
      <c r="DD675" s="1655"/>
      <c r="DE675" s="1655"/>
      <c r="DF675" s="1655"/>
      <c r="DG675" s="1655"/>
      <c r="DH675" s="1655"/>
      <c r="DI675" s="1655"/>
      <c r="DJ675" s="1655"/>
      <c r="DK675" s="1655"/>
      <c r="DL675" s="1655"/>
      <c r="DM675" s="1655"/>
      <c r="DN675" s="1655"/>
      <c r="DO675" s="1655"/>
      <c r="DP675" s="1655"/>
      <c r="DQ675" s="1655"/>
      <c r="DR675" s="1655"/>
      <c r="DS675" s="1655"/>
      <c r="DT675" s="1655"/>
      <c r="DU675" s="1655"/>
      <c r="DV675" s="1655"/>
      <c r="DW675" s="1655"/>
      <c r="DX675" s="1655"/>
      <c r="DY675" s="1655"/>
      <c r="DZ675" s="1655"/>
      <c r="EA675" s="1655"/>
      <c r="EB675" s="1655"/>
      <c r="EC675" s="1655"/>
      <c r="ED675" s="1655"/>
      <c r="EE675" s="1655"/>
      <c r="EF675" s="1655"/>
      <c r="EG675" s="1655"/>
      <c r="EH675" s="1655"/>
      <c r="EI675" s="1655"/>
      <c r="EJ675" s="1655"/>
      <c r="EK675" s="1655"/>
      <c r="EL675" s="1655"/>
      <c r="EM675" s="1655"/>
      <c r="EN675" s="1655"/>
      <c r="EO675" s="1655"/>
      <c r="EP675" s="1655"/>
      <c r="EQ675" s="1655"/>
      <c r="ER675" s="1655"/>
      <c r="ES675" s="1655"/>
      <c r="ET675" s="1655"/>
      <c r="EU675" s="1655"/>
      <c r="EV675" s="1655"/>
      <c r="EW675" s="1655"/>
      <c r="EX675" s="1655"/>
      <c r="EY675" s="1655"/>
      <c r="EZ675" s="1655"/>
      <c r="FA675" s="1655"/>
      <c r="FB675" s="1655"/>
      <c r="FC675" s="1655"/>
      <c r="FD675" s="1655"/>
      <c r="FE675" s="1655"/>
      <c r="FF675" s="1655"/>
      <c r="FG675" s="1655"/>
      <c r="FH675" s="1655"/>
      <c r="FI675" s="1655"/>
    </row>
    <row r="676" spans="1:165">
      <c r="A676" s="1655"/>
      <c r="B676" s="1655"/>
      <c r="C676" s="1655"/>
      <c r="D676" s="1655"/>
      <c r="E676" s="1655"/>
      <c r="F676" s="1655"/>
      <c r="G676" s="1655"/>
      <c r="H676" s="1655"/>
      <c r="I676" s="1655"/>
      <c r="J676" s="1655"/>
      <c r="K676" s="1655"/>
      <c r="L676" s="1655"/>
      <c r="M676" s="1655"/>
      <c r="N676" s="1655"/>
      <c r="O676" s="1655"/>
      <c r="P676" s="1655"/>
      <c r="Q676" s="1655"/>
      <c r="R676" s="1655"/>
      <c r="S676" s="1655"/>
      <c r="T676" s="1655"/>
      <c r="U676" s="1655"/>
      <c r="V676" s="1655"/>
      <c r="W676" s="1655"/>
      <c r="X676" s="1655"/>
      <c r="Y676" s="1655"/>
      <c r="Z676" s="1655"/>
      <c r="AA676" s="1655"/>
      <c r="AB676" s="1655"/>
      <c r="AC676" s="1655"/>
      <c r="AD676" s="1655"/>
      <c r="AE676" s="1655"/>
      <c r="AF676" s="1655"/>
      <c r="AG676" s="1655"/>
      <c r="AH676" s="1655"/>
      <c r="AI676" s="1655"/>
      <c r="AJ676" s="1655"/>
      <c r="AK676" s="1655"/>
      <c r="AL676" s="1655"/>
      <c r="AM676" s="1655"/>
      <c r="AN676" s="1655"/>
      <c r="AO676" s="1655"/>
      <c r="AP676" s="1655"/>
      <c r="AQ676" s="1655"/>
      <c r="AR676" s="1655"/>
      <c r="AS676" s="1655"/>
      <c r="AT676" s="1655"/>
      <c r="AU676" s="1655"/>
      <c r="AV676" s="1655"/>
      <c r="AW676" s="1655"/>
      <c r="AX676" s="1655"/>
      <c r="AY676" s="1655"/>
      <c r="AZ676" s="1655"/>
      <c r="BA676" s="1655"/>
      <c r="BB676" s="1655"/>
      <c r="BC676" s="1655"/>
      <c r="BD676" s="1655"/>
      <c r="BE676" s="1655"/>
      <c r="BF676" s="1655"/>
      <c r="BG676" s="1655"/>
      <c r="BH676" s="1655"/>
      <c r="BI676" s="1655"/>
      <c r="BJ676" s="1655"/>
      <c r="BK676" s="1655"/>
      <c r="BL676" s="1655"/>
      <c r="BM676" s="1655"/>
      <c r="BN676" s="1655"/>
      <c r="BO676" s="1655"/>
      <c r="BP676" s="1655"/>
      <c r="BQ676" s="1655"/>
      <c r="BR676" s="1655"/>
      <c r="BS676" s="1655"/>
      <c r="BT676" s="1655"/>
      <c r="BU676" s="1655"/>
      <c r="BV676" s="1655"/>
      <c r="BW676" s="1655"/>
      <c r="BX676" s="1655"/>
      <c r="BY676" s="1655"/>
      <c r="BZ676" s="1655"/>
      <c r="CA676" s="1655"/>
      <c r="CB676" s="1655"/>
      <c r="CC676" s="1655"/>
      <c r="CD676" s="1655"/>
      <c r="CE676" s="1655"/>
      <c r="CF676" s="1655"/>
      <c r="CG676" s="1655"/>
      <c r="CH676" s="1655"/>
      <c r="CI676" s="1655"/>
      <c r="CJ676" s="1655"/>
      <c r="CK676" s="1655"/>
      <c r="CL676" s="1655"/>
      <c r="CM676" s="1655"/>
      <c r="CN676" s="1655"/>
      <c r="CO676" s="1655"/>
      <c r="CP676" s="1655"/>
      <c r="CQ676" s="1655"/>
      <c r="CR676" s="1655"/>
      <c r="CS676" s="1655"/>
      <c r="CT676" s="1655"/>
      <c r="CU676" s="1655"/>
      <c r="CV676" s="1655"/>
      <c r="CW676" s="1655"/>
      <c r="CX676" s="1655"/>
      <c r="CY676" s="1655"/>
      <c r="CZ676" s="1655"/>
      <c r="DA676" s="1655"/>
      <c r="DB676" s="1655"/>
      <c r="DC676" s="1655"/>
      <c r="DD676" s="1655"/>
      <c r="DE676" s="1655"/>
      <c r="DF676" s="1655"/>
      <c r="DG676" s="1655"/>
      <c r="DH676" s="1655"/>
      <c r="DI676" s="1655"/>
      <c r="DJ676" s="1655"/>
      <c r="DK676" s="1655"/>
      <c r="DL676" s="1655"/>
      <c r="DM676" s="1655"/>
      <c r="DN676" s="1655"/>
      <c r="DO676" s="1655"/>
      <c r="DP676" s="1655"/>
      <c r="DQ676" s="1655"/>
      <c r="DR676" s="1655"/>
      <c r="DS676" s="1655"/>
      <c r="DT676" s="1655"/>
      <c r="DU676" s="1655"/>
      <c r="DV676" s="1655"/>
      <c r="DW676" s="1655"/>
      <c r="DX676" s="1655"/>
      <c r="DY676" s="1655"/>
      <c r="DZ676" s="1655"/>
      <c r="EA676" s="1655"/>
      <c r="EB676" s="1655"/>
      <c r="EC676" s="1655"/>
      <c r="ED676" s="1655"/>
      <c r="EE676" s="1655"/>
      <c r="EF676" s="1655"/>
      <c r="EG676" s="1655"/>
      <c r="EH676" s="1655"/>
      <c r="EI676" s="1655"/>
      <c r="EJ676" s="1655"/>
      <c r="EK676" s="1655"/>
      <c r="EL676" s="1655"/>
      <c r="EM676" s="1655"/>
      <c r="EN676" s="1655"/>
      <c r="EO676" s="1655"/>
      <c r="EP676" s="1655"/>
      <c r="EQ676" s="1655"/>
      <c r="ER676" s="1655"/>
      <c r="ES676" s="1655"/>
      <c r="ET676" s="1655"/>
      <c r="EU676" s="1655"/>
      <c r="EV676" s="1655"/>
      <c r="EW676" s="1655"/>
      <c r="EX676" s="1655"/>
      <c r="EY676" s="1655"/>
      <c r="EZ676" s="1655"/>
      <c r="FA676" s="1655"/>
      <c r="FB676" s="1655"/>
      <c r="FC676" s="1655"/>
      <c r="FD676" s="1655"/>
      <c r="FE676" s="1655"/>
      <c r="FF676" s="1655"/>
      <c r="FG676" s="1655"/>
      <c r="FH676" s="1655"/>
      <c r="FI676" s="1655"/>
    </row>
    <row r="677" spans="1:165">
      <c r="A677" s="1655"/>
      <c r="B677" s="1655"/>
      <c r="C677" s="1655"/>
      <c r="D677" s="1655"/>
      <c r="E677" s="1655"/>
      <c r="F677" s="1655"/>
      <c r="G677" s="1655"/>
      <c r="H677" s="1655"/>
      <c r="I677" s="1655"/>
      <c r="J677" s="1655"/>
      <c r="K677" s="1655"/>
      <c r="L677" s="1655"/>
      <c r="M677" s="1655"/>
      <c r="N677" s="1655"/>
      <c r="O677" s="1655"/>
      <c r="P677" s="1655"/>
      <c r="Q677" s="1655"/>
      <c r="R677" s="1655"/>
      <c r="S677" s="1655"/>
      <c r="T677" s="1655"/>
      <c r="U677" s="1655"/>
      <c r="V677" s="1655"/>
      <c r="W677" s="1655"/>
      <c r="X677" s="1655"/>
      <c r="Y677" s="1655"/>
      <c r="Z677" s="1655"/>
      <c r="AA677" s="1655"/>
      <c r="AB677" s="1655"/>
      <c r="AC677" s="1655"/>
      <c r="AD677" s="1655"/>
      <c r="AE677" s="1655"/>
      <c r="AF677" s="1655"/>
      <c r="AG677" s="1655"/>
      <c r="AH677" s="1655"/>
      <c r="AI677" s="1655"/>
      <c r="AJ677" s="1655"/>
      <c r="AK677" s="1655"/>
      <c r="AL677" s="1655"/>
      <c r="AM677" s="1655"/>
      <c r="AN677" s="1655"/>
      <c r="AO677" s="1655"/>
      <c r="AP677" s="1655"/>
      <c r="AQ677" s="1655"/>
      <c r="AR677" s="1655"/>
      <c r="AS677" s="1655"/>
      <c r="AT677" s="1655"/>
      <c r="AU677" s="1655"/>
      <c r="AV677" s="1655"/>
      <c r="AW677" s="1655"/>
      <c r="AX677" s="1655"/>
      <c r="AY677" s="1655"/>
      <c r="AZ677" s="1655"/>
      <c r="BA677" s="1655"/>
      <c r="BB677" s="1655"/>
      <c r="BC677" s="1655"/>
      <c r="BD677" s="1655"/>
      <c r="BE677" s="1655"/>
      <c r="BF677" s="1655"/>
      <c r="BG677" s="1655"/>
      <c r="BH677" s="1655"/>
      <c r="BI677" s="1655"/>
      <c r="BJ677" s="1655"/>
      <c r="BK677" s="1655"/>
      <c r="BL677" s="1655"/>
      <c r="BM677" s="1655"/>
      <c r="BN677" s="1655"/>
      <c r="BO677" s="1655"/>
      <c r="BP677" s="1655"/>
      <c r="BQ677" s="1655"/>
      <c r="BR677" s="1655"/>
      <c r="BS677" s="1655"/>
      <c r="BT677" s="1655"/>
      <c r="BU677" s="1655"/>
      <c r="BV677" s="1655"/>
      <c r="BW677" s="1655"/>
      <c r="BX677" s="1655"/>
      <c r="BY677" s="1655"/>
      <c r="BZ677" s="1655"/>
      <c r="CA677" s="1655"/>
      <c r="CB677" s="1655"/>
      <c r="CC677" s="1655"/>
      <c r="CD677" s="1655"/>
      <c r="CE677" s="1655"/>
      <c r="CF677" s="1655"/>
      <c r="CG677" s="1655"/>
      <c r="CH677" s="1655"/>
      <c r="CI677" s="1655"/>
      <c r="CJ677" s="1655"/>
      <c r="CK677" s="1655"/>
      <c r="CL677" s="1655"/>
      <c r="CM677" s="1655"/>
      <c r="CN677" s="1655"/>
      <c r="CO677" s="1655"/>
      <c r="CP677" s="1655"/>
      <c r="CQ677" s="1655"/>
      <c r="CR677" s="1655"/>
      <c r="CS677" s="1655"/>
      <c r="CT677" s="1655"/>
      <c r="CU677" s="1655"/>
      <c r="CV677" s="1655"/>
      <c r="CW677" s="1655"/>
      <c r="CX677" s="1655"/>
      <c r="CY677" s="1655"/>
      <c r="CZ677" s="1655"/>
      <c r="DA677" s="1655"/>
      <c r="DB677" s="1655"/>
      <c r="DC677" s="1655"/>
      <c r="DD677" s="1655"/>
      <c r="DE677" s="1655"/>
      <c r="DF677" s="1655"/>
      <c r="DG677" s="1655"/>
      <c r="DH677" s="1655"/>
      <c r="DI677" s="1655"/>
      <c r="DJ677" s="1655"/>
      <c r="DK677" s="1655"/>
      <c r="DL677" s="1655"/>
      <c r="DM677" s="1655"/>
      <c r="DN677" s="1655"/>
      <c r="DO677" s="1655"/>
      <c r="DP677" s="1655"/>
      <c r="DQ677" s="1655"/>
      <c r="DR677" s="1655"/>
      <c r="DS677" s="1655"/>
      <c r="DT677" s="1655"/>
      <c r="DU677" s="1655"/>
      <c r="DV677" s="1655"/>
      <c r="DW677" s="1655"/>
      <c r="DX677" s="1655"/>
      <c r="DY677" s="1655"/>
      <c r="DZ677" s="1655"/>
      <c r="EA677" s="1655"/>
      <c r="EB677" s="1655"/>
      <c r="EC677" s="1655"/>
      <c r="ED677" s="1655"/>
      <c r="EE677" s="1655"/>
      <c r="EF677" s="1655"/>
      <c r="EG677" s="1655"/>
      <c r="EH677" s="1655"/>
      <c r="EI677" s="1655"/>
      <c r="EJ677" s="1655"/>
      <c r="EK677" s="1655"/>
      <c r="EL677" s="1655"/>
      <c r="EM677" s="1655"/>
      <c r="EN677" s="1655"/>
      <c r="EO677" s="1655"/>
      <c r="EP677" s="1655"/>
      <c r="EQ677" s="1655"/>
      <c r="ER677" s="1655"/>
      <c r="ES677" s="1655"/>
      <c r="ET677" s="1655"/>
      <c r="EU677" s="1655"/>
      <c r="EV677" s="1655"/>
      <c r="EW677" s="1655"/>
      <c r="EX677" s="1655"/>
      <c r="EY677" s="1655"/>
      <c r="EZ677" s="1655"/>
      <c r="FA677" s="1655"/>
      <c r="FB677" s="1655"/>
      <c r="FC677" s="1655"/>
      <c r="FD677" s="1655"/>
      <c r="FE677" s="1655"/>
      <c r="FF677" s="1655"/>
      <c r="FG677" s="1655"/>
      <c r="FH677" s="1655"/>
      <c r="FI677" s="1655"/>
    </row>
    <row r="678" spans="1:165">
      <c r="A678" s="1655"/>
      <c r="B678" s="1655"/>
      <c r="C678" s="1655"/>
      <c r="D678" s="1655"/>
      <c r="E678" s="1655"/>
      <c r="F678" s="1655"/>
      <c r="G678" s="1655"/>
      <c r="H678" s="1655"/>
      <c r="I678" s="1655"/>
      <c r="J678" s="1655"/>
      <c r="K678" s="1655"/>
      <c r="L678" s="1655"/>
      <c r="M678" s="1655"/>
      <c r="N678" s="1655"/>
      <c r="O678" s="1655"/>
      <c r="P678" s="1655"/>
      <c r="Q678" s="1655"/>
      <c r="R678" s="1655"/>
      <c r="S678" s="1655"/>
      <c r="T678" s="1655"/>
      <c r="U678" s="1655"/>
      <c r="V678" s="1655"/>
      <c r="W678" s="1655"/>
      <c r="X678" s="1655"/>
      <c r="Y678" s="1655"/>
      <c r="Z678" s="1655"/>
      <c r="AA678" s="1655"/>
      <c r="AB678" s="1655"/>
      <c r="AC678" s="1655"/>
      <c r="AD678" s="1655"/>
      <c r="AE678" s="1655"/>
      <c r="AF678" s="1655"/>
      <c r="AG678" s="1655"/>
      <c r="AH678" s="1655"/>
      <c r="AI678" s="1655"/>
      <c r="AJ678" s="1655"/>
      <c r="AK678" s="1655"/>
      <c r="AL678" s="1655"/>
      <c r="AM678" s="1655"/>
      <c r="AN678" s="1655"/>
      <c r="AO678" s="1655"/>
      <c r="AP678" s="1655"/>
      <c r="AQ678" s="1655"/>
      <c r="AR678" s="1655"/>
      <c r="AS678" s="1655"/>
      <c r="AT678" s="1655"/>
      <c r="AU678" s="1655"/>
      <c r="AV678" s="1655"/>
      <c r="AW678" s="1655"/>
      <c r="AX678" s="1655"/>
      <c r="AY678" s="1655"/>
      <c r="AZ678" s="1655"/>
      <c r="BA678" s="1655"/>
      <c r="BB678" s="1655"/>
      <c r="BC678" s="1655"/>
      <c r="BD678" s="1655"/>
      <c r="BE678" s="1655"/>
      <c r="BF678" s="1655"/>
      <c r="BG678" s="1655"/>
      <c r="BH678" s="1655"/>
      <c r="BI678" s="1655"/>
      <c r="BJ678" s="1655"/>
      <c r="BK678" s="1655"/>
      <c r="BL678" s="1655"/>
      <c r="BM678" s="1655"/>
      <c r="BN678" s="1655"/>
      <c r="BO678" s="1655"/>
      <c r="BP678" s="1655"/>
      <c r="BQ678" s="1655"/>
      <c r="BR678" s="1655"/>
      <c r="BS678" s="1655"/>
      <c r="BT678" s="1655"/>
      <c r="BU678" s="1655"/>
      <c r="BV678" s="1655"/>
      <c r="BW678" s="1655"/>
      <c r="BX678" s="1655"/>
      <c r="BY678" s="1655"/>
      <c r="BZ678" s="1655"/>
      <c r="CA678" s="1655"/>
      <c r="CB678" s="1655"/>
      <c r="CC678" s="1655"/>
      <c r="CD678" s="1655"/>
      <c r="CE678" s="1655"/>
      <c r="CF678" s="1655"/>
      <c r="CG678" s="1655"/>
      <c r="CH678" s="1655"/>
      <c r="CI678" s="1655"/>
      <c r="CJ678" s="1655"/>
      <c r="CK678" s="1655"/>
      <c r="CL678" s="1655"/>
      <c r="CM678" s="1655"/>
      <c r="CN678" s="1655"/>
      <c r="CO678" s="1655"/>
      <c r="CP678" s="1655"/>
      <c r="CQ678" s="1655"/>
      <c r="CR678" s="1655"/>
      <c r="CS678" s="1655"/>
      <c r="CT678" s="1655"/>
      <c r="CU678" s="1655"/>
      <c r="CV678" s="1655"/>
      <c r="CW678" s="1655"/>
      <c r="CX678" s="1655"/>
      <c r="CY678" s="1655"/>
      <c r="CZ678" s="1655"/>
      <c r="DA678" s="1655"/>
      <c r="DB678" s="1655"/>
      <c r="DC678" s="1655"/>
      <c r="DD678" s="1655"/>
      <c r="DE678" s="1655"/>
      <c r="DF678" s="1655"/>
      <c r="DG678" s="1655"/>
      <c r="DH678" s="1655"/>
      <c r="DI678" s="1655"/>
      <c r="DJ678" s="1655"/>
      <c r="DK678" s="1655"/>
      <c r="DL678" s="1655"/>
      <c r="DM678" s="1655"/>
      <c r="DN678" s="1655"/>
      <c r="DO678" s="1655"/>
      <c r="DP678" s="1655"/>
      <c r="DQ678" s="1655"/>
      <c r="DR678" s="1655"/>
      <c r="DS678" s="1655"/>
      <c r="DT678" s="1655"/>
      <c r="DU678" s="1655"/>
      <c r="DV678" s="1655"/>
      <c r="DW678" s="1655"/>
      <c r="DX678" s="1655"/>
      <c r="DY678" s="1655"/>
      <c r="DZ678" s="1655"/>
      <c r="EA678" s="1655"/>
      <c r="EB678" s="1655"/>
      <c r="EC678" s="1655"/>
      <c r="ED678" s="1655"/>
      <c r="EE678" s="1655"/>
      <c r="EF678" s="1655"/>
      <c r="EG678" s="1655"/>
      <c r="EH678" s="1655"/>
      <c r="EI678" s="1655"/>
      <c r="EJ678" s="1655"/>
      <c r="EK678" s="1655"/>
      <c r="EL678" s="1655"/>
      <c r="EM678" s="1655"/>
      <c r="EN678" s="1655"/>
      <c r="EO678" s="1655"/>
      <c r="EP678" s="1655"/>
      <c r="EQ678" s="1655"/>
      <c r="ER678" s="1655"/>
      <c r="ES678" s="1655"/>
      <c r="ET678" s="1655"/>
      <c r="EU678" s="1655"/>
      <c r="EV678" s="1655"/>
      <c r="EW678" s="1655"/>
      <c r="EX678" s="1655"/>
      <c r="EY678" s="1655"/>
      <c r="EZ678" s="1655"/>
      <c r="FA678" s="1655"/>
      <c r="FB678" s="1655"/>
      <c r="FC678" s="1655"/>
      <c r="FD678" s="1655"/>
      <c r="FE678" s="1655"/>
      <c r="FF678" s="1655"/>
      <c r="FG678" s="1655"/>
      <c r="FH678" s="1655"/>
      <c r="FI678" s="1655"/>
    </row>
    <row r="679" spans="1:165">
      <c r="A679" s="1655"/>
      <c r="B679" s="1655"/>
      <c r="C679" s="1655"/>
      <c r="D679" s="1655"/>
      <c r="E679" s="1655"/>
      <c r="F679" s="1655"/>
      <c r="G679" s="1655"/>
      <c r="H679" s="1655"/>
      <c r="I679" s="1655"/>
      <c r="J679" s="1655"/>
      <c r="K679" s="1655"/>
      <c r="L679" s="1655"/>
      <c r="M679" s="1655"/>
      <c r="N679" s="1655"/>
      <c r="O679" s="1655"/>
      <c r="P679" s="1655"/>
      <c r="Q679" s="1655"/>
      <c r="R679" s="1655"/>
      <c r="S679" s="1655"/>
      <c r="T679" s="1655"/>
      <c r="U679" s="1655"/>
      <c r="V679" s="1655"/>
      <c r="W679" s="1655"/>
      <c r="X679" s="1655"/>
      <c r="Y679" s="1655"/>
      <c r="Z679" s="1655"/>
      <c r="AA679" s="1655"/>
      <c r="AB679" s="1655"/>
      <c r="AC679" s="1655"/>
      <c r="AD679" s="1655"/>
      <c r="AE679" s="1655"/>
      <c r="AF679" s="1655"/>
      <c r="AG679" s="1655"/>
      <c r="AH679" s="1655"/>
      <c r="AI679" s="1655"/>
      <c r="AJ679" s="1655"/>
      <c r="AK679" s="1655"/>
      <c r="AL679" s="1655"/>
      <c r="AM679" s="1655"/>
      <c r="AN679" s="1655"/>
      <c r="AO679" s="1655"/>
      <c r="AP679" s="1655"/>
      <c r="AQ679" s="1655"/>
      <c r="AR679" s="1655"/>
      <c r="AS679" s="1655"/>
      <c r="AT679" s="1655"/>
      <c r="AU679" s="1655"/>
      <c r="AV679" s="1655"/>
      <c r="AW679" s="1655"/>
      <c r="AX679" s="1655"/>
      <c r="AY679" s="1655"/>
      <c r="AZ679" s="1655"/>
      <c r="BA679" s="1655"/>
      <c r="BB679" s="1655"/>
      <c r="BC679" s="1655"/>
      <c r="BD679" s="1655"/>
      <c r="BE679" s="1655"/>
      <c r="BF679" s="1655"/>
      <c r="BG679" s="1655"/>
      <c r="BH679" s="1655"/>
      <c r="BI679" s="1655"/>
      <c r="BJ679" s="1655"/>
      <c r="BK679" s="1655"/>
      <c r="BL679" s="1655"/>
      <c r="BM679" s="1655"/>
      <c r="BN679" s="1655"/>
      <c r="BO679" s="1655"/>
      <c r="BP679" s="1655"/>
      <c r="BQ679" s="1655"/>
      <c r="BR679" s="1655"/>
      <c r="BS679" s="1655"/>
      <c r="BT679" s="1655"/>
      <c r="BU679" s="1655"/>
      <c r="BV679" s="1655"/>
      <c r="BW679" s="1655"/>
      <c r="BX679" s="1655"/>
      <c r="BY679" s="1655"/>
      <c r="BZ679" s="1655"/>
      <c r="CA679" s="1655"/>
      <c r="CB679" s="1655"/>
      <c r="CC679" s="1655"/>
      <c r="CD679" s="1655"/>
      <c r="CE679" s="1655"/>
      <c r="CF679" s="1655"/>
      <c r="CG679" s="1655"/>
      <c r="CH679" s="1655"/>
      <c r="CI679" s="1655"/>
      <c r="CJ679" s="1655"/>
      <c r="CK679" s="1655"/>
      <c r="CL679" s="1655"/>
      <c r="CM679" s="1655"/>
      <c r="CN679" s="1655"/>
      <c r="CO679" s="1655"/>
      <c r="CP679" s="1655"/>
      <c r="CQ679" s="1655"/>
      <c r="CR679" s="1655"/>
      <c r="CS679" s="1655"/>
      <c r="CT679" s="1655"/>
      <c r="CU679" s="1655"/>
      <c r="CV679" s="1655"/>
      <c r="CW679" s="1655"/>
      <c r="CX679" s="1655"/>
      <c r="CY679" s="1655"/>
      <c r="CZ679" s="1655"/>
      <c r="DA679" s="1655"/>
      <c r="DB679" s="1655"/>
      <c r="DC679" s="1655"/>
      <c r="DD679" s="1655"/>
      <c r="DE679" s="1655"/>
      <c r="DF679" s="1655"/>
      <c r="DG679" s="1655"/>
      <c r="DH679" s="1655"/>
      <c r="DI679" s="1655"/>
      <c r="DJ679" s="1655"/>
      <c r="DK679" s="1655"/>
      <c r="DL679" s="1655"/>
      <c r="DM679" s="1655"/>
      <c r="DN679" s="1655"/>
      <c r="DO679" s="1655"/>
      <c r="DP679" s="1655"/>
      <c r="DQ679" s="1655"/>
      <c r="DR679" s="1655"/>
      <c r="DS679" s="1655"/>
      <c r="DT679" s="1655"/>
      <c r="DU679" s="1655"/>
      <c r="DV679" s="1655"/>
      <c r="DW679" s="1655"/>
      <c r="DX679" s="1655"/>
      <c r="DY679" s="1655"/>
      <c r="DZ679" s="1655"/>
      <c r="EA679" s="1655"/>
      <c r="EB679" s="1655"/>
      <c r="EC679" s="1655"/>
      <c r="ED679" s="1655"/>
      <c r="EE679" s="1655"/>
      <c r="EF679" s="1655"/>
      <c r="EG679" s="1655"/>
      <c r="EH679" s="1655"/>
      <c r="EI679" s="1655"/>
      <c r="EJ679" s="1655"/>
      <c r="EK679" s="1655"/>
      <c r="EL679" s="1655"/>
      <c r="EM679" s="1655"/>
      <c r="EN679" s="1655"/>
      <c r="EO679" s="1655"/>
      <c r="EP679" s="1655"/>
      <c r="EQ679" s="1655"/>
      <c r="ER679" s="1655"/>
      <c r="ES679" s="1655"/>
      <c r="ET679" s="1655"/>
      <c r="EU679" s="1655"/>
      <c r="EV679" s="1655"/>
      <c r="EW679" s="1655"/>
      <c r="EX679" s="1655"/>
      <c r="EY679" s="1655"/>
      <c r="EZ679" s="1655"/>
      <c r="FA679" s="1655"/>
      <c r="FB679" s="1655"/>
      <c r="FC679" s="1655"/>
      <c r="FD679" s="1655"/>
      <c r="FE679" s="1655"/>
      <c r="FF679" s="1655"/>
      <c r="FG679" s="1655"/>
      <c r="FH679" s="1655"/>
      <c r="FI679" s="1655"/>
    </row>
    <row r="680" spans="1:165">
      <c r="A680" s="1655"/>
      <c r="B680" s="1655"/>
      <c r="C680" s="1655"/>
      <c r="D680" s="1655"/>
      <c r="E680" s="1655"/>
      <c r="F680" s="1655"/>
      <c r="G680" s="1655"/>
      <c r="H680" s="1655"/>
      <c r="I680" s="1655"/>
      <c r="J680" s="1655"/>
      <c r="K680" s="1655"/>
      <c r="L680" s="1655"/>
      <c r="M680" s="1655"/>
      <c r="N680" s="1655"/>
      <c r="O680" s="1655"/>
      <c r="P680" s="1655"/>
      <c r="Q680" s="1655"/>
      <c r="R680" s="1655"/>
      <c r="S680" s="1655"/>
      <c r="T680" s="1655"/>
      <c r="U680" s="1655"/>
      <c r="V680" s="1655"/>
      <c r="W680" s="1655"/>
      <c r="X680" s="1655"/>
      <c r="Y680" s="1655"/>
      <c r="Z680" s="1655"/>
      <c r="AA680" s="1655"/>
      <c r="AB680" s="1655"/>
      <c r="AC680" s="1655"/>
      <c r="AD680" s="1655"/>
      <c r="AE680" s="1655"/>
      <c r="AF680" s="1655"/>
      <c r="AG680" s="1655"/>
      <c r="AH680" s="1655"/>
      <c r="AI680" s="1655"/>
      <c r="AJ680" s="1655"/>
      <c r="AK680" s="1655"/>
      <c r="AL680" s="1655"/>
      <c r="AM680" s="1655"/>
      <c r="AN680" s="1655"/>
      <c r="AO680" s="1655"/>
      <c r="AP680" s="1655"/>
      <c r="AQ680" s="1655"/>
      <c r="AR680" s="1655"/>
      <c r="AS680" s="1655"/>
      <c r="AT680" s="1655"/>
      <c r="AU680" s="1655"/>
      <c r="AV680" s="1655"/>
      <c r="AW680" s="1655"/>
      <c r="AX680" s="1655"/>
      <c r="AY680" s="1655"/>
      <c r="AZ680" s="1655"/>
      <c r="BA680" s="1655"/>
      <c r="BB680" s="1655"/>
      <c r="BC680" s="1655"/>
      <c r="BD680" s="1655"/>
      <c r="BE680" s="1655"/>
      <c r="BF680" s="1655"/>
      <c r="BG680" s="1655"/>
      <c r="BH680" s="1655"/>
      <c r="BI680" s="1655"/>
      <c r="BJ680" s="1655"/>
      <c r="BK680" s="1655"/>
      <c r="BL680" s="1655"/>
      <c r="BM680" s="1655"/>
      <c r="BN680" s="1655"/>
      <c r="BO680" s="1655"/>
      <c r="BP680" s="1655"/>
      <c r="BQ680" s="1655"/>
      <c r="BR680" s="1655"/>
      <c r="BS680" s="1655"/>
      <c r="BT680" s="1655"/>
      <c r="BU680" s="1655"/>
      <c r="BV680" s="1655"/>
      <c r="BW680" s="1655"/>
      <c r="BX680" s="1655"/>
      <c r="BY680" s="1655"/>
      <c r="BZ680" s="1655"/>
      <c r="CA680" s="1655"/>
      <c r="CB680" s="1655"/>
      <c r="CC680" s="1655"/>
      <c r="CD680" s="1655"/>
      <c r="CE680" s="1655"/>
      <c r="CF680" s="1655"/>
      <c r="CG680" s="1655"/>
      <c r="CH680" s="1655"/>
      <c r="CI680" s="1655"/>
      <c r="CJ680" s="1655"/>
      <c r="CK680" s="1655"/>
      <c r="CL680" s="1655"/>
      <c r="CM680" s="1655"/>
      <c r="CN680" s="1655"/>
      <c r="CO680" s="1655"/>
      <c r="CP680" s="1655"/>
      <c r="CQ680" s="1655"/>
      <c r="CR680" s="1655"/>
      <c r="CS680" s="1655"/>
      <c r="CT680" s="1655"/>
      <c r="CU680" s="1655"/>
      <c r="CV680" s="1655"/>
      <c r="CW680" s="1655"/>
      <c r="CX680" s="1655"/>
      <c r="CY680" s="1655"/>
      <c r="CZ680" s="1655"/>
      <c r="DA680" s="1655"/>
      <c r="DB680" s="1655"/>
      <c r="DC680" s="1655"/>
      <c r="DD680" s="1655"/>
      <c r="DE680" s="1655"/>
      <c r="DF680" s="1655"/>
      <c r="DG680" s="1655"/>
      <c r="DH680" s="1655"/>
      <c r="DI680" s="1655"/>
      <c r="DJ680" s="1655"/>
      <c r="DK680" s="1655"/>
      <c r="DL680" s="1655"/>
      <c r="DM680" s="1655"/>
      <c r="DN680" s="1655"/>
      <c r="DO680" s="1655"/>
      <c r="DP680" s="1655"/>
      <c r="DQ680" s="1655"/>
      <c r="DR680" s="1655"/>
      <c r="DS680" s="1655"/>
      <c r="DT680" s="1655"/>
      <c r="DU680" s="1655"/>
      <c r="DV680" s="1655"/>
      <c r="DW680" s="1655"/>
      <c r="DX680" s="1655"/>
      <c r="DY680" s="1655"/>
      <c r="DZ680" s="1655"/>
      <c r="EA680" s="1655"/>
      <c r="EB680" s="1655"/>
      <c r="EC680" s="1655"/>
      <c r="ED680" s="1655"/>
      <c r="EE680" s="1655"/>
      <c r="EF680" s="1655"/>
      <c r="EG680" s="1655"/>
      <c r="EH680" s="1655"/>
      <c r="EI680" s="1655"/>
      <c r="EJ680" s="1655"/>
      <c r="EK680" s="1655"/>
      <c r="EL680" s="1655"/>
      <c r="EM680" s="1655"/>
      <c r="EN680" s="1655"/>
      <c r="EO680" s="1655"/>
      <c r="EP680" s="1655"/>
      <c r="EQ680" s="1655"/>
      <c r="ER680" s="1655"/>
      <c r="ES680" s="1655"/>
      <c r="ET680" s="1655"/>
      <c r="EU680" s="1655"/>
      <c r="EV680" s="1655"/>
      <c r="EW680" s="1655"/>
      <c r="EX680" s="1655"/>
      <c r="EY680" s="1655"/>
      <c r="EZ680" s="1655"/>
      <c r="FA680" s="1655"/>
      <c r="FB680" s="1655"/>
      <c r="FC680" s="1655"/>
      <c r="FD680" s="1655"/>
      <c r="FE680" s="1655"/>
      <c r="FF680" s="1655"/>
      <c r="FG680" s="1655"/>
      <c r="FH680" s="1655"/>
      <c r="FI680" s="1655"/>
    </row>
    <row r="681" spans="1:165">
      <c r="A681" s="1655"/>
      <c r="B681" s="1655"/>
      <c r="C681" s="1655"/>
      <c r="D681" s="1655"/>
      <c r="E681" s="1655"/>
      <c r="F681" s="1655"/>
      <c r="G681" s="1655"/>
      <c r="H681" s="1655"/>
      <c r="I681" s="1655"/>
      <c r="J681" s="1655"/>
      <c r="K681" s="1655"/>
      <c r="L681" s="1655"/>
      <c r="M681" s="1655"/>
      <c r="N681" s="1655"/>
      <c r="O681" s="1655"/>
      <c r="P681" s="1655"/>
      <c r="Q681" s="1655"/>
      <c r="R681" s="1655"/>
      <c r="S681" s="1655"/>
      <c r="T681" s="1655"/>
      <c r="U681" s="1655"/>
      <c r="V681" s="1655"/>
      <c r="W681" s="1655"/>
      <c r="X681" s="1655"/>
      <c r="Y681" s="1655"/>
      <c r="Z681" s="1655"/>
      <c r="AA681" s="1655"/>
      <c r="AB681" s="1655"/>
      <c r="AC681" s="1655"/>
      <c r="AD681" s="1655"/>
      <c r="AE681" s="1655"/>
      <c r="AF681" s="1655"/>
      <c r="AG681" s="1655"/>
      <c r="AH681" s="1655"/>
      <c r="AI681" s="1655"/>
      <c r="AJ681" s="1655"/>
      <c r="AK681" s="1655"/>
      <c r="AL681" s="1655"/>
      <c r="AM681" s="1655"/>
      <c r="AN681" s="1655"/>
      <c r="AO681" s="1655"/>
      <c r="AP681" s="1655"/>
      <c r="AQ681" s="1655"/>
      <c r="AR681" s="1655"/>
      <c r="AS681" s="1655"/>
      <c r="AT681" s="1655"/>
      <c r="AU681" s="1655"/>
      <c r="AV681" s="1655"/>
      <c r="AW681" s="1655"/>
      <c r="AX681" s="1655"/>
      <c r="AY681" s="1655"/>
      <c r="AZ681" s="1655"/>
      <c r="BA681" s="1655"/>
      <c r="BB681" s="1655"/>
      <c r="BC681" s="1655"/>
      <c r="BD681" s="1655"/>
      <c r="BE681" s="1655"/>
      <c r="BF681" s="1655"/>
      <c r="BG681" s="1655"/>
      <c r="BH681" s="1655"/>
      <c r="BI681" s="1655"/>
      <c r="BJ681" s="1655"/>
      <c r="BK681" s="1655"/>
      <c r="BL681" s="1655"/>
      <c r="BM681" s="1655"/>
      <c r="BN681" s="1655"/>
      <c r="BO681" s="1655"/>
      <c r="BP681" s="1655"/>
      <c r="BQ681" s="1655"/>
      <c r="BR681" s="1655"/>
      <c r="BS681" s="1655"/>
      <c r="BT681" s="1655"/>
      <c r="BU681" s="1655"/>
      <c r="BV681" s="1655"/>
      <c r="BW681" s="1655"/>
      <c r="BX681" s="1655"/>
      <c r="BY681" s="1655"/>
      <c r="BZ681" s="1655"/>
      <c r="CA681" s="1655"/>
      <c r="CB681" s="1655"/>
      <c r="CC681" s="1655"/>
      <c r="CD681" s="1655"/>
      <c r="CE681" s="1655"/>
      <c r="CF681" s="1655"/>
      <c r="CG681" s="1655"/>
      <c r="CH681" s="1655"/>
      <c r="CI681" s="1655"/>
      <c r="CJ681" s="1655"/>
      <c r="CK681" s="1655"/>
      <c r="CL681" s="1655"/>
      <c r="CM681" s="1655"/>
      <c r="CN681" s="1655"/>
      <c r="CO681" s="1655"/>
      <c r="CP681" s="1655"/>
      <c r="CQ681" s="1655"/>
      <c r="CR681" s="1655"/>
      <c r="CS681" s="1655"/>
      <c r="CT681" s="1655"/>
      <c r="CU681" s="1655"/>
      <c r="CV681" s="1655"/>
      <c r="CW681" s="1655"/>
      <c r="CX681" s="1655"/>
      <c r="CY681" s="1655"/>
      <c r="CZ681" s="1655"/>
      <c r="DA681" s="1655"/>
      <c r="DB681" s="1655"/>
      <c r="DC681" s="1655"/>
      <c r="DD681" s="1655"/>
      <c r="DE681" s="1655"/>
      <c r="DF681" s="1655"/>
      <c r="DG681" s="1655"/>
      <c r="DH681" s="1655"/>
      <c r="DI681" s="1655"/>
      <c r="DJ681" s="1655"/>
      <c r="DK681" s="1655"/>
      <c r="DL681" s="1655"/>
      <c r="DM681" s="1655"/>
      <c r="DN681" s="1655"/>
      <c r="DO681" s="1655"/>
      <c r="DP681" s="1655"/>
      <c r="DQ681" s="1655"/>
      <c r="DR681" s="1655"/>
      <c r="DS681" s="1655"/>
      <c r="DT681" s="1655"/>
      <c r="DU681" s="1655"/>
      <c r="DV681" s="1655"/>
      <c r="DW681" s="1655"/>
      <c r="DX681" s="1655"/>
      <c r="DY681" s="1655"/>
      <c r="DZ681" s="1655"/>
      <c r="EA681" s="1655"/>
      <c r="EB681" s="1655"/>
      <c r="EC681" s="1655"/>
      <c r="ED681" s="1655"/>
      <c r="EE681" s="1655"/>
      <c r="EF681" s="1655"/>
      <c r="EG681" s="1655"/>
      <c r="EH681" s="1655"/>
      <c r="EI681" s="1655"/>
      <c r="EJ681" s="1655"/>
      <c r="EK681" s="1655"/>
      <c r="EL681" s="1655"/>
      <c r="EM681" s="1655"/>
      <c r="EN681" s="1655"/>
      <c r="EO681" s="1655"/>
      <c r="EP681" s="1655"/>
      <c r="EQ681" s="1655"/>
      <c r="ER681" s="1655"/>
      <c r="ES681" s="1655"/>
      <c r="ET681" s="1655"/>
      <c r="EU681" s="1655"/>
      <c r="EV681" s="1655"/>
      <c r="EW681" s="1655"/>
      <c r="EX681" s="1655"/>
      <c r="EY681" s="1655"/>
      <c r="EZ681" s="1655"/>
      <c r="FA681" s="1655"/>
      <c r="FB681" s="1655"/>
      <c r="FC681" s="1655"/>
      <c r="FD681" s="1655"/>
      <c r="FE681" s="1655"/>
      <c r="FF681" s="1655"/>
      <c r="FG681" s="1655"/>
      <c r="FH681" s="1655"/>
      <c r="FI681" s="1655"/>
    </row>
    <row r="682" spans="1:165">
      <c r="A682" s="1655"/>
      <c r="B682" s="1655"/>
      <c r="C682" s="1655"/>
      <c r="D682" s="1655"/>
      <c r="E682" s="1655"/>
      <c r="F682" s="1655"/>
      <c r="G682" s="1655"/>
      <c r="H682" s="1655"/>
      <c r="I682" s="1655"/>
      <c r="J682" s="1655"/>
      <c r="K682" s="1655"/>
      <c r="L682" s="1655"/>
      <c r="M682" s="1655"/>
      <c r="N682" s="1655"/>
      <c r="O682" s="1655"/>
      <c r="P682" s="1655"/>
      <c r="Q682" s="1655"/>
      <c r="R682" s="1655"/>
      <c r="S682" s="1655"/>
      <c r="T682" s="1655"/>
      <c r="U682" s="1655"/>
      <c r="V682" s="1655"/>
      <c r="W682" s="1655"/>
      <c r="X682" s="1655"/>
      <c r="Y682" s="1655"/>
      <c r="Z682" s="1655"/>
      <c r="AA682" s="1655"/>
      <c r="AB682" s="1655"/>
      <c r="AC682" s="1655"/>
      <c r="AD682" s="1655"/>
      <c r="AE682" s="1655"/>
      <c r="AF682" s="1655"/>
      <c r="AG682" s="1655"/>
      <c r="AH682" s="1655"/>
      <c r="AI682" s="1655"/>
      <c r="AJ682" s="1655"/>
      <c r="AK682" s="1655"/>
      <c r="AL682" s="1655"/>
      <c r="AM682" s="1655"/>
      <c r="AN682" s="1655"/>
      <c r="AO682" s="1655"/>
      <c r="AP682" s="1655"/>
      <c r="AQ682" s="1655"/>
      <c r="AR682" s="1655"/>
      <c r="AS682" s="1655"/>
      <c r="AT682" s="1655"/>
      <c r="AU682" s="1655"/>
      <c r="AV682" s="1655"/>
      <c r="AW682" s="1655"/>
      <c r="AX682" s="1655"/>
      <c r="AY682" s="1655"/>
      <c r="AZ682" s="1655"/>
      <c r="BA682" s="1655"/>
      <c r="BB682" s="1655"/>
      <c r="BC682" s="1655"/>
      <c r="BD682" s="1655"/>
      <c r="BE682" s="1655"/>
      <c r="BF682" s="1655"/>
      <c r="BG682" s="1655"/>
      <c r="BH682" s="1655"/>
      <c r="BI682" s="1655"/>
      <c r="BJ682" s="1655"/>
      <c r="BK682" s="1655"/>
      <c r="BL682" s="1655"/>
      <c r="BM682" s="1655"/>
      <c r="BN682" s="1655"/>
      <c r="BO682" s="1655"/>
      <c r="BP682" s="1655"/>
      <c r="BQ682" s="1655"/>
      <c r="BR682" s="1655"/>
      <c r="BS682" s="1655"/>
      <c r="BT682" s="1655"/>
      <c r="BU682" s="1655"/>
      <c r="BV682" s="1655"/>
      <c r="BW682" s="1655"/>
      <c r="BX682" s="1655"/>
      <c r="BY682" s="1655"/>
      <c r="BZ682" s="1655"/>
      <c r="CA682" s="1655"/>
      <c r="CB682" s="1655"/>
      <c r="CC682" s="1655"/>
      <c r="CD682" s="1655"/>
      <c r="CE682" s="1655"/>
      <c r="CF682" s="1655"/>
      <c r="CG682" s="1655"/>
      <c r="CH682" s="1655"/>
      <c r="CI682" s="1655"/>
      <c r="CJ682" s="1655"/>
      <c r="CK682" s="1655"/>
      <c r="CL682" s="1655"/>
      <c r="CM682" s="1655"/>
      <c r="CN682" s="1655"/>
      <c r="CO682" s="1655"/>
      <c r="CP682" s="1655"/>
      <c r="CQ682" s="1655"/>
      <c r="CR682" s="1655"/>
      <c r="CS682" s="1655"/>
      <c r="CT682" s="1655"/>
      <c r="CU682" s="1655"/>
      <c r="CV682" s="1655"/>
      <c r="CW682" s="1655"/>
      <c r="CX682" s="1655"/>
      <c r="CY682" s="1655"/>
      <c r="CZ682" s="1655"/>
      <c r="DA682" s="1655"/>
      <c r="DB682" s="1655"/>
      <c r="DC682" s="1655"/>
      <c r="DD682" s="1655"/>
      <c r="DE682" s="1655"/>
      <c r="DF682" s="1655"/>
      <c r="DG682" s="1655"/>
      <c r="DH682" s="1655"/>
      <c r="DI682" s="1655"/>
      <c r="DJ682" s="1655"/>
      <c r="DK682" s="1655"/>
      <c r="DL682" s="1655"/>
      <c r="DM682" s="1655"/>
      <c r="DN682" s="1655"/>
      <c r="DO682" s="1655"/>
      <c r="DP682" s="1655"/>
      <c r="DQ682" s="1655"/>
      <c r="DR682" s="1655"/>
      <c r="DS682" s="1655"/>
      <c r="DT682" s="1655"/>
      <c r="DU682" s="1655"/>
      <c r="DV682" s="1655"/>
      <c r="DW682" s="1655"/>
      <c r="DX682" s="1655"/>
      <c r="DY682" s="1655"/>
      <c r="DZ682" s="1655"/>
      <c r="EA682" s="1655"/>
      <c r="EB682" s="1655"/>
      <c r="EC682" s="1655"/>
      <c r="ED682" s="1655"/>
      <c r="EE682" s="1655"/>
      <c r="EF682" s="1655"/>
      <c r="EG682" s="1655"/>
      <c r="EH682" s="1655"/>
      <c r="EI682" s="1655"/>
      <c r="EJ682" s="1655"/>
      <c r="EK682" s="1655"/>
      <c r="EL682" s="1655"/>
      <c r="EM682" s="1655"/>
      <c r="EN682" s="1655"/>
      <c r="EO682" s="1655"/>
      <c r="EP682" s="1655"/>
      <c r="EQ682" s="1655"/>
      <c r="ER682" s="1655"/>
      <c r="ES682" s="1655"/>
      <c r="ET682" s="1655"/>
      <c r="EU682" s="1655"/>
      <c r="EV682" s="1655"/>
      <c r="EW682" s="1655"/>
      <c r="EX682" s="1655"/>
      <c r="EY682" s="1655"/>
      <c r="EZ682" s="1655"/>
      <c r="FA682" s="1655"/>
      <c r="FB682" s="1655"/>
      <c r="FC682" s="1655"/>
      <c r="FD682" s="1655"/>
      <c r="FE682" s="1655"/>
      <c r="FF682" s="1655"/>
      <c r="FG682" s="1655"/>
      <c r="FH682" s="1655"/>
      <c r="FI682" s="1655"/>
    </row>
    <row r="683" spans="1:165">
      <c r="A683" s="1655"/>
      <c r="B683" s="1655"/>
      <c r="C683" s="1655"/>
      <c r="D683" s="1655"/>
      <c r="E683" s="1655"/>
      <c r="F683" s="1655"/>
      <c r="G683" s="1655"/>
      <c r="H683" s="1655"/>
      <c r="I683" s="1655"/>
      <c r="J683" s="1655"/>
      <c r="K683" s="1655"/>
      <c r="L683" s="1655"/>
      <c r="M683" s="1655"/>
      <c r="N683" s="1655"/>
      <c r="O683" s="1655"/>
      <c r="P683" s="1655"/>
      <c r="Q683" s="1655"/>
      <c r="R683" s="1655"/>
      <c r="S683" s="1655"/>
      <c r="T683" s="1655"/>
      <c r="U683" s="1655"/>
      <c r="V683" s="1655"/>
      <c r="W683" s="1655"/>
      <c r="X683" s="1655"/>
      <c r="Y683" s="1655"/>
      <c r="Z683" s="1655"/>
      <c r="AA683" s="1655"/>
      <c r="AB683" s="1655"/>
      <c r="AC683" s="1655"/>
      <c r="AD683" s="1655"/>
      <c r="AE683" s="1655"/>
      <c r="AF683" s="1655"/>
      <c r="AG683" s="1655"/>
      <c r="AH683" s="1655"/>
      <c r="AI683" s="1655"/>
      <c r="AJ683" s="1655"/>
      <c r="AK683" s="1655"/>
      <c r="AL683" s="1655"/>
      <c r="AM683" s="1655"/>
      <c r="AN683" s="1655"/>
      <c r="AO683" s="1655"/>
      <c r="AP683" s="1655"/>
      <c r="AQ683" s="1655"/>
      <c r="AR683" s="1655"/>
      <c r="AS683" s="1655"/>
      <c r="AT683" s="1655"/>
      <c r="AU683" s="1655"/>
      <c r="AV683" s="1655"/>
      <c r="AW683" s="1655"/>
      <c r="AX683" s="1655"/>
      <c r="AY683" s="1655"/>
      <c r="AZ683" s="1655"/>
      <c r="BA683" s="1655"/>
      <c r="BB683" s="1655"/>
      <c r="BC683" s="1655"/>
      <c r="BD683" s="1655"/>
      <c r="BE683" s="1655"/>
      <c r="BF683" s="1655"/>
      <c r="BG683" s="1655"/>
      <c r="BH683" s="1655"/>
      <c r="BI683" s="1655"/>
      <c r="BJ683" s="1655"/>
      <c r="BK683" s="1655"/>
      <c r="BL683" s="1655"/>
      <c r="BM683" s="1655"/>
      <c r="BN683" s="1655"/>
      <c r="BO683" s="1655"/>
      <c r="BP683" s="1655"/>
      <c r="BQ683" s="1655"/>
      <c r="BR683" s="1655"/>
      <c r="BS683" s="1655"/>
      <c r="BT683" s="1655"/>
      <c r="BU683" s="1655"/>
      <c r="BV683" s="1655"/>
      <c r="BW683" s="1655"/>
      <c r="BX683" s="1655"/>
      <c r="BY683" s="1655"/>
      <c r="BZ683" s="1655"/>
      <c r="CA683" s="1655"/>
      <c r="CB683" s="1655"/>
      <c r="CC683" s="1655"/>
      <c r="CD683" s="1655"/>
      <c r="CE683" s="1655"/>
      <c r="CF683" s="1655"/>
      <c r="CG683" s="1655"/>
      <c r="CH683" s="1655"/>
      <c r="CI683" s="1655"/>
      <c r="CJ683" s="1655"/>
      <c r="CK683" s="1655"/>
      <c r="CL683" s="1655"/>
      <c r="CM683" s="1655"/>
      <c r="CN683" s="1655"/>
      <c r="CO683" s="1655"/>
      <c r="CP683" s="1655"/>
      <c r="CQ683" s="1655"/>
      <c r="CR683" s="1655"/>
      <c r="CS683" s="1655"/>
      <c r="CT683" s="1655"/>
      <c r="CU683" s="1655"/>
      <c r="CV683" s="1655"/>
      <c r="CW683" s="1655"/>
      <c r="CX683" s="1655"/>
      <c r="CY683" s="1655"/>
      <c r="CZ683" s="1655"/>
      <c r="DA683" s="1655"/>
      <c r="DB683" s="1655"/>
      <c r="DC683" s="1655"/>
      <c r="DD683" s="1655"/>
      <c r="DE683" s="1655"/>
      <c r="DF683" s="1655"/>
      <c r="DG683" s="1655"/>
      <c r="DH683" s="1655"/>
      <c r="DI683" s="1655"/>
      <c r="DJ683" s="1655"/>
      <c r="DK683" s="1655"/>
      <c r="DL683" s="1655"/>
      <c r="DM683" s="1655"/>
      <c r="DN683" s="1655"/>
      <c r="DO683" s="1655"/>
      <c r="DP683" s="1655"/>
      <c r="DQ683" s="1655"/>
      <c r="DR683" s="1655"/>
      <c r="DS683" s="1655"/>
      <c r="DT683" s="1655"/>
      <c r="DU683" s="1655"/>
      <c r="DV683" s="1655"/>
      <c r="DW683" s="1655"/>
      <c r="DX683" s="1655"/>
      <c r="DY683" s="1655"/>
      <c r="DZ683" s="1655"/>
      <c r="EA683" s="1655"/>
      <c r="EB683" s="1655"/>
      <c r="EC683" s="1655"/>
      <c r="ED683" s="1655"/>
      <c r="EE683" s="1655"/>
      <c r="EF683" s="1655"/>
      <c r="EG683" s="1655"/>
      <c r="EH683" s="1655"/>
      <c r="EI683" s="1655"/>
      <c r="EJ683" s="1655"/>
      <c r="EK683" s="1655"/>
      <c r="EL683" s="1655"/>
      <c r="EM683" s="1655"/>
      <c r="EN683" s="1655"/>
      <c r="EO683" s="1655"/>
      <c r="EP683" s="1655"/>
      <c r="EQ683" s="1655"/>
      <c r="ER683" s="1655"/>
      <c r="ES683" s="1655"/>
      <c r="ET683" s="1655"/>
      <c r="EU683" s="1655"/>
      <c r="EV683" s="1655"/>
      <c r="EW683" s="1655"/>
      <c r="EX683" s="1655"/>
      <c r="EY683" s="1655"/>
      <c r="EZ683" s="1655"/>
      <c r="FA683" s="1655"/>
      <c r="FB683" s="1655"/>
      <c r="FC683" s="1655"/>
      <c r="FD683" s="1655"/>
      <c r="FE683" s="1655"/>
      <c r="FF683" s="1655"/>
      <c r="FG683" s="1655"/>
      <c r="FH683" s="1655"/>
      <c r="FI683" s="1655"/>
    </row>
    <row r="684" spans="1:165">
      <c r="A684" s="1655"/>
      <c r="B684" s="1655"/>
      <c r="C684" s="1655"/>
      <c r="D684" s="1655"/>
      <c r="E684" s="1655"/>
      <c r="F684" s="1655"/>
      <c r="G684" s="1655"/>
      <c r="H684" s="1655"/>
      <c r="I684" s="1655"/>
      <c r="J684" s="1655"/>
      <c r="K684" s="1655"/>
      <c r="L684" s="1655"/>
      <c r="M684" s="1655"/>
      <c r="N684" s="1655"/>
      <c r="O684" s="1655"/>
      <c r="P684" s="1655"/>
      <c r="Q684" s="1655"/>
      <c r="R684" s="1655"/>
      <c r="S684" s="1655"/>
      <c r="T684" s="1655"/>
      <c r="U684" s="1655"/>
      <c r="V684" s="1655"/>
      <c r="W684" s="1655"/>
      <c r="X684" s="1655"/>
      <c r="Y684" s="1655"/>
      <c r="Z684" s="1655"/>
      <c r="AA684" s="1655"/>
      <c r="AB684" s="1655"/>
      <c r="AC684" s="1655"/>
      <c r="AD684" s="1655"/>
      <c r="AE684" s="1655"/>
      <c r="AF684" s="1655"/>
      <c r="AG684" s="1655"/>
      <c r="AH684" s="1655"/>
      <c r="AI684" s="1655"/>
      <c r="AJ684" s="1655"/>
      <c r="AK684" s="1655"/>
      <c r="AL684" s="1655"/>
      <c r="AM684" s="1655"/>
      <c r="AN684" s="1655"/>
      <c r="AO684" s="1655"/>
      <c r="AP684" s="1655"/>
      <c r="AQ684" s="1655"/>
      <c r="AR684" s="1655"/>
      <c r="AS684" s="1655"/>
      <c r="AT684" s="1655"/>
      <c r="AU684" s="1655"/>
      <c r="AV684" s="1655"/>
      <c r="AW684" s="1655"/>
      <c r="AX684" s="1655"/>
      <c r="AY684" s="1655"/>
      <c r="AZ684" s="1655"/>
      <c r="BA684" s="1655"/>
      <c r="BB684" s="1655"/>
      <c r="BC684" s="1655"/>
      <c r="BD684" s="1655"/>
      <c r="BE684" s="1655"/>
      <c r="BF684" s="1655"/>
      <c r="BG684" s="1655"/>
      <c r="BH684" s="1655"/>
      <c r="BI684" s="1655"/>
      <c r="BJ684" s="1655"/>
      <c r="BK684" s="1655"/>
      <c r="BL684" s="1655"/>
      <c r="BM684" s="1655"/>
      <c r="BN684" s="1655"/>
      <c r="BO684" s="1655"/>
      <c r="BP684" s="1655"/>
      <c r="BQ684" s="1655"/>
      <c r="BR684" s="1655"/>
      <c r="BS684" s="1655"/>
      <c r="BT684" s="1655"/>
      <c r="BU684" s="1655"/>
      <c r="BV684" s="1655"/>
      <c r="BW684" s="1655"/>
      <c r="BX684" s="1655"/>
      <c r="BY684" s="1655"/>
      <c r="BZ684" s="1655"/>
      <c r="CA684" s="1655"/>
      <c r="CB684" s="1655"/>
      <c r="CC684" s="1655"/>
      <c r="CD684" s="1655"/>
      <c r="CE684" s="1655"/>
      <c r="CF684" s="1655"/>
      <c r="CG684" s="1655"/>
      <c r="CH684" s="1655"/>
      <c r="CI684" s="1655"/>
      <c r="CJ684" s="1655"/>
      <c r="CK684" s="1655"/>
      <c r="CL684" s="1655"/>
      <c r="CM684" s="1655"/>
      <c r="CN684" s="1655"/>
      <c r="CO684" s="1655"/>
      <c r="CP684" s="1655"/>
      <c r="CQ684" s="1655"/>
      <c r="CR684" s="1655"/>
      <c r="CS684" s="1655"/>
      <c r="CT684" s="1655"/>
      <c r="CU684" s="1655"/>
      <c r="CV684" s="1655"/>
      <c r="CW684" s="1655"/>
      <c r="CX684" s="1655"/>
      <c r="CY684" s="1655"/>
      <c r="CZ684" s="1655"/>
      <c r="DA684" s="1655"/>
      <c r="DB684" s="1655"/>
      <c r="DC684" s="1655"/>
      <c r="DD684" s="1655"/>
      <c r="DE684" s="1655"/>
      <c r="DF684" s="1655"/>
      <c r="DG684" s="1655"/>
      <c r="DH684" s="1655"/>
      <c r="DI684" s="1655"/>
      <c r="DJ684" s="1655"/>
      <c r="DK684" s="1655"/>
      <c r="DL684" s="1655"/>
      <c r="DM684" s="1655"/>
      <c r="DN684" s="1655"/>
      <c r="DO684" s="1655"/>
      <c r="DP684" s="1655"/>
      <c r="DQ684" s="1655"/>
      <c r="DR684" s="1655"/>
      <c r="DS684" s="1655"/>
      <c r="DT684" s="1655"/>
      <c r="DU684" s="1655"/>
      <c r="DV684" s="1655"/>
      <c r="DW684" s="1655"/>
      <c r="DX684" s="1655"/>
      <c r="DY684" s="1655"/>
      <c r="DZ684" s="1655"/>
      <c r="EA684" s="1655"/>
      <c r="EB684" s="1655"/>
      <c r="EC684" s="1655"/>
      <c r="ED684" s="1655"/>
      <c r="EE684" s="1655"/>
      <c r="EF684" s="1655"/>
      <c r="EG684" s="1655"/>
      <c r="EH684" s="1655"/>
      <c r="EI684" s="1655"/>
      <c r="EJ684" s="1655"/>
      <c r="EK684" s="1655"/>
      <c r="EL684" s="1655"/>
      <c r="EM684" s="1655"/>
      <c r="EN684" s="1655"/>
      <c r="EO684" s="1655"/>
      <c r="EP684" s="1655"/>
      <c r="EQ684" s="1655"/>
      <c r="ER684" s="1655"/>
      <c r="ES684" s="1655"/>
      <c r="ET684" s="1655"/>
      <c r="EU684" s="1655"/>
      <c r="EV684" s="1655"/>
      <c r="EW684" s="1655"/>
      <c r="EX684" s="1655"/>
      <c r="EY684" s="1655"/>
      <c r="EZ684" s="1655"/>
      <c r="FA684" s="1655"/>
      <c r="FB684" s="1655"/>
      <c r="FC684" s="1655"/>
      <c r="FD684" s="1655"/>
      <c r="FE684" s="1655"/>
      <c r="FF684" s="1655"/>
      <c r="FG684" s="1655"/>
      <c r="FH684" s="1655"/>
      <c r="FI684" s="1655"/>
    </row>
    <row r="685" spans="1:165">
      <c r="A685" s="1655"/>
      <c r="B685" s="1655"/>
      <c r="C685" s="1655"/>
      <c r="D685" s="1655"/>
      <c r="E685" s="1655"/>
      <c r="F685" s="1655"/>
      <c r="G685" s="1655"/>
      <c r="H685" s="1655"/>
      <c r="I685" s="1655"/>
      <c r="J685" s="1655"/>
      <c r="K685" s="1655"/>
      <c r="L685" s="1655"/>
      <c r="M685" s="1655"/>
      <c r="N685" s="1655"/>
      <c r="O685" s="1655"/>
      <c r="P685" s="1655"/>
      <c r="Q685" s="1655"/>
      <c r="R685" s="1655"/>
      <c r="S685" s="1655"/>
      <c r="T685" s="1655"/>
      <c r="U685" s="1655"/>
      <c r="V685" s="1655"/>
      <c r="W685" s="1655"/>
      <c r="X685" s="1655"/>
      <c r="Y685" s="1655"/>
      <c r="Z685" s="1655"/>
      <c r="AA685" s="1655"/>
      <c r="AB685" s="1655"/>
      <c r="AC685" s="1655"/>
      <c r="AD685" s="1655"/>
      <c r="AE685" s="1655"/>
      <c r="AF685" s="1655"/>
      <c r="AG685" s="1655"/>
      <c r="AH685" s="1655"/>
      <c r="AI685" s="1655"/>
      <c r="AJ685" s="1655"/>
      <c r="AK685" s="1655"/>
      <c r="AL685" s="1655"/>
      <c r="AM685" s="1655"/>
      <c r="AN685" s="1655"/>
      <c r="AO685" s="1655"/>
      <c r="AP685" s="1655"/>
      <c r="AQ685" s="1655"/>
      <c r="AR685" s="1655"/>
      <c r="AS685" s="1655"/>
      <c r="AT685" s="1655"/>
      <c r="AU685" s="1655"/>
      <c r="AV685" s="1655"/>
      <c r="AW685" s="1655"/>
      <c r="AX685" s="1655"/>
      <c r="AY685" s="1655"/>
      <c r="AZ685" s="1655"/>
      <c r="BA685" s="1655"/>
      <c r="BB685" s="1655"/>
      <c r="BC685" s="1655"/>
      <c r="BD685" s="1655"/>
      <c r="BE685" s="1655"/>
      <c r="BF685" s="1655"/>
      <c r="BG685" s="1655"/>
      <c r="BH685" s="1655"/>
      <c r="BI685" s="1655"/>
      <c r="BJ685" s="1655"/>
      <c r="BK685" s="1655"/>
      <c r="BL685" s="1655"/>
      <c r="BM685" s="1655"/>
      <c r="BN685" s="1655"/>
      <c r="BO685" s="1655"/>
      <c r="BP685" s="1655"/>
      <c r="BQ685" s="1655"/>
      <c r="BR685" s="1655"/>
      <c r="BS685" s="1655"/>
      <c r="BT685" s="1655"/>
      <c r="BU685" s="1655"/>
      <c r="BV685" s="1655"/>
      <c r="BW685" s="1655"/>
      <c r="BX685" s="1655"/>
      <c r="BY685" s="1655"/>
      <c r="BZ685" s="1655"/>
      <c r="CA685" s="1655"/>
      <c r="CB685" s="1655"/>
      <c r="CC685" s="1655"/>
      <c r="CD685" s="1655"/>
      <c r="CE685" s="1655"/>
      <c r="CF685" s="1655"/>
      <c r="CG685" s="1655"/>
      <c r="CH685" s="1655"/>
      <c r="CI685" s="1655"/>
      <c r="CJ685" s="1655"/>
      <c r="CK685" s="1655"/>
      <c r="CL685" s="1655"/>
      <c r="CM685" s="1655"/>
      <c r="CN685" s="1655"/>
      <c r="CO685" s="1655"/>
      <c r="CP685" s="1655"/>
      <c r="CQ685" s="1655"/>
      <c r="CR685" s="1655"/>
      <c r="CS685" s="1655"/>
      <c r="CT685" s="1655"/>
      <c r="CU685" s="1655"/>
      <c r="CV685" s="1655"/>
      <c r="CW685" s="1655"/>
      <c r="CX685" s="1655"/>
      <c r="CY685" s="1655"/>
      <c r="CZ685" s="1655"/>
      <c r="DA685" s="1655"/>
      <c r="DB685" s="1655"/>
      <c r="DC685" s="1655"/>
      <c r="DD685" s="1655"/>
      <c r="DE685" s="1655"/>
      <c r="DF685" s="1655"/>
      <c r="DG685" s="1655"/>
      <c r="DH685" s="1655"/>
      <c r="DI685" s="1655"/>
      <c r="DJ685" s="1655"/>
      <c r="DK685" s="1655"/>
      <c r="DL685" s="1655"/>
      <c r="DM685" s="1655"/>
      <c r="DN685" s="1655"/>
      <c r="DO685" s="1655"/>
      <c r="DP685" s="1655"/>
      <c r="DQ685" s="1655"/>
      <c r="DR685" s="1655"/>
      <c r="DS685" s="1655"/>
      <c r="DT685" s="1655"/>
      <c r="DU685" s="1655"/>
      <c r="DV685" s="1655"/>
      <c r="DW685" s="1655"/>
      <c r="DX685" s="1655"/>
      <c r="DY685" s="1655"/>
      <c r="DZ685" s="1655"/>
      <c r="EA685" s="1655"/>
      <c r="EB685" s="1655"/>
      <c r="EC685" s="1655"/>
      <c r="ED685" s="1655"/>
      <c r="EE685" s="1655"/>
      <c r="EF685" s="1655"/>
      <c r="EG685" s="1655"/>
      <c r="EH685" s="1655"/>
      <c r="EI685" s="1655"/>
      <c r="EJ685" s="1655"/>
      <c r="EK685" s="1655"/>
      <c r="EL685" s="1655"/>
      <c r="EM685" s="1655"/>
      <c r="EN685" s="1655"/>
      <c r="EO685" s="1655"/>
      <c r="EP685" s="1655"/>
      <c r="EQ685" s="1655"/>
      <c r="ER685" s="1655"/>
      <c r="ES685" s="1655"/>
      <c r="ET685" s="1655"/>
      <c r="EU685" s="1655"/>
      <c r="EV685" s="1655"/>
      <c r="EW685" s="1655"/>
      <c r="EX685" s="1655"/>
      <c r="EY685" s="1655"/>
      <c r="EZ685" s="1655"/>
      <c r="FA685" s="1655"/>
      <c r="FB685" s="1655"/>
      <c r="FC685" s="1655"/>
      <c r="FD685" s="1655"/>
      <c r="FE685" s="1655"/>
      <c r="FF685" s="1655"/>
      <c r="FG685" s="1655"/>
      <c r="FH685" s="1655"/>
      <c r="FI685" s="1655"/>
    </row>
    <row r="686" spans="1:165">
      <c r="A686" s="1655"/>
      <c r="B686" s="1655"/>
      <c r="C686" s="1655"/>
      <c r="D686" s="1655"/>
      <c r="E686" s="1655"/>
      <c r="F686" s="1655"/>
      <c r="G686" s="1655"/>
      <c r="H686" s="1655"/>
      <c r="I686" s="1655"/>
      <c r="J686" s="1655"/>
      <c r="K686" s="1655"/>
      <c r="L686" s="1655"/>
      <c r="M686" s="1655"/>
      <c r="N686" s="1655"/>
      <c r="O686" s="1655"/>
      <c r="P686" s="1655"/>
      <c r="Q686" s="1655"/>
      <c r="R686" s="1655"/>
      <c r="S686" s="1655"/>
      <c r="T686" s="1655"/>
      <c r="U686" s="1655"/>
      <c r="V686" s="1655"/>
      <c r="W686" s="1655"/>
      <c r="X686" s="1655"/>
      <c r="Y686" s="1655"/>
      <c r="Z686" s="1655"/>
      <c r="AA686" s="1655"/>
      <c r="AB686" s="1655"/>
      <c r="AC686" s="1655"/>
      <c r="AD686" s="1655"/>
      <c r="AE686" s="1655"/>
      <c r="AF686" s="1655"/>
      <c r="AG686" s="1655"/>
      <c r="AH686" s="1655"/>
      <c r="AI686" s="1655"/>
      <c r="AJ686" s="1655"/>
      <c r="AK686" s="1655"/>
      <c r="AL686" s="1655"/>
      <c r="AM686" s="1655"/>
      <c r="AN686" s="1655"/>
      <c r="AO686" s="1655"/>
      <c r="AP686" s="1655"/>
      <c r="AQ686" s="1655"/>
      <c r="AR686" s="1655"/>
      <c r="AS686" s="1655"/>
      <c r="AT686" s="1655"/>
      <c r="AU686" s="1655"/>
      <c r="AV686" s="1655"/>
      <c r="AW686" s="1655"/>
      <c r="AX686" s="1655"/>
      <c r="AY686" s="1655"/>
      <c r="AZ686" s="1655"/>
      <c r="BA686" s="1655"/>
      <c r="BB686" s="1655"/>
      <c r="BC686" s="1655"/>
      <c r="BD686" s="1655"/>
      <c r="BE686" s="1655"/>
      <c r="BF686" s="1655"/>
      <c r="BG686" s="1655"/>
      <c r="BH686" s="1655"/>
      <c r="BI686" s="1655"/>
      <c r="BJ686" s="1655"/>
      <c r="BK686" s="1655"/>
      <c r="BL686" s="1655"/>
      <c r="BM686" s="1655"/>
      <c r="BN686" s="1655"/>
      <c r="BO686" s="1655"/>
      <c r="BP686" s="1655"/>
      <c r="BQ686" s="1655"/>
      <c r="BR686" s="1655"/>
      <c r="BS686" s="1655"/>
      <c r="BT686" s="1655"/>
      <c r="BU686" s="1655"/>
      <c r="BV686" s="1655"/>
      <c r="BW686" s="1655"/>
      <c r="BX686" s="1655"/>
      <c r="BY686" s="1655"/>
      <c r="BZ686" s="1655"/>
      <c r="CA686" s="1655"/>
      <c r="CB686" s="1655"/>
      <c r="CC686" s="1655"/>
      <c r="CD686" s="1655"/>
      <c r="CE686" s="1655"/>
      <c r="CF686" s="1655"/>
      <c r="CG686" s="1655"/>
      <c r="CH686" s="1655"/>
      <c r="CI686" s="1655"/>
      <c r="CJ686" s="1655"/>
      <c r="CK686" s="1655"/>
      <c r="CL686" s="1655"/>
      <c r="CM686" s="1655"/>
      <c r="CN686" s="1655"/>
      <c r="CO686" s="1655"/>
      <c r="CP686" s="1655"/>
      <c r="CQ686" s="1655"/>
      <c r="CR686" s="1655"/>
      <c r="CS686" s="1655"/>
      <c r="CT686" s="1655"/>
      <c r="CU686" s="1655"/>
      <c r="CV686" s="1655"/>
      <c r="CW686" s="1655"/>
      <c r="CX686" s="1655"/>
      <c r="CY686" s="1655"/>
      <c r="CZ686" s="1655"/>
      <c r="DA686" s="1655"/>
      <c r="DB686" s="1655"/>
      <c r="DC686" s="1655"/>
      <c r="DD686" s="1655"/>
      <c r="DE686" s="1655"/>
      <c r="DF686" s="1655"/>
      <c r="DG686" s="1655"/>
      <c r="DH686" s="1655"/>
      <c r="DI686" s="1655"/>
      <c r="DJ686" s="1655"/>
      <c r="DK686" s="1655"/>
      <c r="DL686" s="1655"/>
      <c r="DM686" s="1655"/>
      <c r="DN686" s="1655"/>
      <c r="DO686" s="1655"/>
      <c r="DP686" s="1655"/>
      <c r="DQ686" s="1655"/>
      <c r="DR686" s="1655"/>
      <c r="DS686" s="1655"/>
      <c r="DT686" s="1655"/>
      <c r="DU686" s="1655"/>
      <c r="DV686" s="1655"/>
      <c r="DW686" s="1655"/>
      <c r="DX686" s="1655"/>
      <c r="DY686" s="1655"/>
      <c r="DZ686" s="1655"/>
      <c r="EA686" s="1655"/>
      <c r="EB686" s="1655"/>
      <c r="EC686" s="1655"/>
      <c r="ED686" s="1655"/>
      <c r="EE686" s="1655"/>
      <c r="EF686" s="1655"/>
      <c r="EG686" s="1655"/>
      <c r="EH686" s="1655"/>
      <c r="EI686" s="1655"/>
      <c r="EJ686" s="1655"/>
      <c r="EK686" s="1655"/>
      <c r="EL686" s="1655"/>
      <c r="EM686" s="1655"/>
      <c r="EN686" s="1655"/>
      <c r="EO686" s="1655"/>
      <c r="EP686" s="1655"/>
      <c r="EQ686" s="1655"/>
      <c r="ER686" s="1655"/>
      <c r="ES686" s="1655"/>
      <c r="ET686" s="1655"/>
      <c r="EU686" s="1655"/>
      <c r="EV686" s="1655"/>
      <c r="EW686" s="1655"/>
      <c r="EX686" s="1655"/>
      <c r="EY686" s="1655"/>
      <c r="EZ686" s="1655"/>
      <c r="FA686" s="1655"/>
      <c r="FB686" s="1655"/>
      <c r="FC686" s="1655"/>
      <c r="FD686" s="1655"/>
      <c r="FE686" s="1655"/>
      <c r="FF686" s="1655"/>
      <c r="FG686" s="1655"/>
      <c r="FH686" s="1655"/>
      <c r="FI686" s="1655"/>
    </row>
    <row r="687" spans="1:165">
      <c r="A687" s="1655"/>
      <c r="B687" s="1655"/>
      <c r="C687" s="1655"/>
      <c r="D687" s="1655"/>
      <c r="E687" s="1655"/>
      <c r="F687" s="1655"/>
      <c r="G687" s="1655"/>
      <c r="H687" s="1655"/>
      <c r="I687" s="1655"/>
      <c r="J687" s="1655"/>
      <c r="K687" s="1655"/>
      <c r="L687" s="1655"/>
      <c r="M687" s="1655"/>
      <c r="N687" s="1655"/>
      <c r="O687" s="1655"/>
      <c r="P687" s="1655"/>
      <c r="Q687" s="1655"/>
      <c r="R687" s="1655"/>
      <c r="S687" s="1655"/>
      <c r="T687" s="1655"/>
      <c r="U687" s="1655"/>
      <c r="V687" s="1655"/>
      <c r="W687" s="1655"/>
      <c r="X687" s="1655"/>
      <c r="Y687" s="1655"/>
      <c r="Z687" s="1655"/>
      <c r="AA687" s="1655"/>
      <c r="AB687" s="1655"/>
      <c r="AC687" s="1655"/>
      <c r="AD687" s="1655"/>
      <c r="AE687" s="1655"/>
      <c r="AF687" s="1655"/>
      <c r="AG687" s="1655"/>
      <c r="AH687" s="1655"/>
      <c r="AI687" s="1655"/>
      <c r="AJ687" s="1655"/>
      <c r="AK687" s="1655"/>
      <c r="AL687" s="1655"/>
      <c r="AM687" s="1655"/>
      <c r="AN687" s="1655"/>
      <c r="AO687" s="1655"/>
      <c r="AP687" s="1655"/>
      <c r="AQ687" s="1655"/>
      <c r="AR687" s="1655"/>
      <c r="AS687" s="1655"/>
      <c r="AT687" s="1655"/>
      <c r="AU687" s="1655"/>
      <c r="AV687" s="1655"/>
      <c r="AW687" s="1655"/>
      <c r="AX687" s="1655"/>
      <c r="AY687" s="1655"/>
      <c r="AZ687" s="1655"/>
      <c r="BA687" s="1655"/>
      <c r="BB687" s="1655"/>
      <c r="BC687" s="1655"/>
      <c r="BD687" s="1655"/>
      <c r="BE687" s="1655"/>
      <c r="BF687" s="1655"/>
      <c r="BG687" s="1655"/>
      <c r="BH687" s="1655"/>
      <c r="BI687" s="1655"/>
      <c r="BJ687" s="1655"/>
      <c r="BK687" s="1655"/>
      <c r="BL687" s="1655"/>
      <c r="BM687" s="1655"/>
      <c r="BN687" s="1655"/>
      <c r="BO687" s="1655"/>
      <c r="BP687" s="1655"/>
      <c r="BQ687" s="1655"/>
      <c r="BR687" s="1655"/>
      <c r="BS687" s="1655"/>
      <c r="BT687" s="1655"/>
      <c r="BU687" s="1655"/>
      <c r="BV687" s="1655"/>
      <c r="BW687" s="1655"/>
      <c r="BX687" s="1655"/>
      <c r="BY687" s="1655"/>
      <c r="BZ687" s="1655"/>
      <c r="CA687" s="1655"/>
      <c r="CB687" s="1655"/>
      <c r="CC687" s="1655"/>
      <c r="CD687" s="1655"/>
      <c r="CE687" s="1655"/>
      <c r="CF687" s="1655"/>
      <c r="CG687" s="1655"/>
      <c r="CH687" s="1655"/>
      <c r="CI687" s="1655"/>
      <c r="CJ687" s="1655"/>
      <c r="CK687" s="1655"/>
      <c r="CL687" s="1655"/>
      <c r="CM687" s="1655"/>
      <c r="CN687" s="1655"/>
      <c r="CO687" s="1655"/>
      <c r="CP687" s="1655"/>
      <c r="CQ687" s="1655"/>
      <c r="CR687" s="1655"/>
      <c r="CS687" s="1655"/>
      <c r="CT687" s="1655"/>
      <c r="CU687" s="1655"/>
      <c r="CV687" s="1655"/>
      <c r="CW687" s="1655"/>
      <c r="CX687" s="1655"/>
      <c r="CY687" s="1655"/>
      <c r="CZ687" s="1655"/>
      <c r="DA687" s="1655"/>
      <c r="DB687" s="1655"/>
      <c r="DC687" s="1655"/>
      <c r="DD687" s="1655"/>
      <c r="DE687" s="1655"/>
      <c r="DF687" s="1655"/>
      <c r="DG687" s="1655"/>
      <c r="DH687" s="1655"/>
      <c r="DI687" s="1655"/>
      <c r="DJ687" s="1655"/>
      <c r="DK687" s="1655"/>
      <c r="DL687" s="1655"/>
      <c r="DM687" s="1655"/>
      <c r="DN687" s="1655"/>
      <c r="DO687" s="1655"/>
      <c r="DP687" s="1655"/>
      <c r="DQ687" s="1655"/>
      <c r="DR687" s="1655"/>
      <c r="DS687" s="1655"/>
      <c r="DT687" s="1655"/>
      <c r="DU687" s="1655"/>
      <c r="DV687" s="1655"/>
      <c r="DW687" s="1655"/>
      <c r="DX687" s="1655"/>
      <c r="DY687" s="1655"/>
      <c r="DZ687" s="1655"/>
      <c r="EA687" s="1655"/>
      <c r="EB687" s="1655"/>
      <c r="EC687" s="1655"/>
      <c r="ED687" s="1655"/>
      <c r="EE687" s="1655"/>
      <c r="EF687" s="1655"/>
      <c r="EG687" s="1655"/>
      <c r="EH687" s="1655"/>
      <c r="EI687" s="1655"/>
      <c r="EJ687" s="1655"/>
      <c r="EK687" s="1655"/>
      <c r="EL687" s="1655"/>
      <c r="EM687" s="1655"/>
      <c r="EN687" s="1655"/>
      <c r="EO687" s="1655"/>
      <c r="EP687" s="1655"/>
      <c r="EQ687" s="1655"/>
      <c r="ER687" s="1655"/>
      <c r="ES687" s="1655"/>
      <c r="ET687" s="1655"/>
      <c r="EU687" s="1655"/>
      <c r="EV687" s="1655"/>
      <c r="EW687" s="1655"/>
      <c r="EX687" s="1655"/>
      <c r="EY687" s="1655"/>
      <c r="EZ687" s="1655"/>
      <c r="FA687" s="1655"/>
      <c r="FB687" s="1655"/>
      <c r="FC687" s="1655"/>
      <c r="FD687" s="1655"/>
      <c r="FE687" s="1655"/>
      <c r="FF687" s="1655"/>
      <c r="FG687" s="1655"/>
      <c r="FH687" s="1655"/>
      <c r="FI687" s="1655"/>
    </row>
    <row r="688" spans="1:165">
      <c r="A688" s="1655"/>
      <c r="B688" s="1655"/>
      <c r="C688" s="1655"/>
      <c r="D688" s="1655"/>
      <c r="E688" s="1655"/>
      <c r="F688" s="1655"/>
      <c r="G688" s="1655"/>
      <c r="H688" s="1655"/>
      <c r="I688" s="1655"/>
      <c r="J688" s="1655"/>
      <c r="K688" s="1655"/>
      <c r="L688" s="1655"/>
      <c r="M688" s="1655"/>
      <c r="N688" s="1655"/>
      <c r="O688" s="1655"/>
      <c r="P688" s="1655"/>
      <c r="Q688" s="1655"/>
      <c r="R688" s="1655"/>
      <c r="S688" s="1655"/>
      <c r="T688" s="1655"/>
      <c r="U688" s="1655"/>
      <c r="V688" s="1655"/>
      <c r="W688" s="1655"/>
      <c r="X688" s="1655"/>
      <c r="Y688" s="1655"/>
      <c r="Z688" s="1655"/>
      <c r="AA688" s="1655"/>
      <c r="AB688" s="1655"/>
      <c r="AC688" s="1655"/>
      <c r="AD688" s="1655"/>
      <c r="AE688" s="1655"/>
      <c r="AF688" s="1655"/>
      <c r="AG688" s="1655"/>
      <c r="AH688" s="1655"/>
      <c r="AI688" s="1655"/>
      <c r="AJ688" s="1655"/>
      <c r="AK688" s="1655"/>
      <c r="AL688" s="1655"/>
      <c r="AM688" s="1655"/>
      <c r="AN688" s="1655"/>
      <c r="AO688" s="1655"/>
      <c r="AP688" s="1655"/>
      <c r="AQ688" s="1655"/>
      <c r="AR688" s="1655"/>
      <c r="AS688" s="1655"/>
      <c r="AT688" s="1655"/>
      <c r="AU688" s="1655"/>
      <c r="AV688" s="1655"/>
      <c r="AW688" s="1655"/>
      <c r="AX688" s="1655"/>
      <c r="AY688" s="1655"/>
      <c r="AZ688" s="1655"/>
      <c r="BA688" s="1655"/>
      <c r="BB688" s="1655"/>
      <c r="BC688" s="1655"/>
      <c r="BD688" s="1655"/>
      <c r="BE688" s="1655"/>
      <c r="BF688" s="1655"/>
      <c r="BG688" s="1655"/>
      <c r="BH688" s="1655"/>
      <c r="BI688" s="1655"/>
      <c r="BJ688" s="1655"/>
      <c r="BK688" s="1655"/>
      <c r="BL688" s="1655"/>
      <c r="BM688" s="1655"/>
      <c r="BN688" s="1655"/>
      <c r="BO688" s="1655"/>
      <c r="BP688" s="1655"/>
      <c r="BQ688" s="1655"/>
      <c r="BR688" s="1655"/>
      <c r="BS688" s="1655"/>
      <c r="BT688" s="1655"/>
      <c r="BU688" s="1655"/>
      <c r="BV688" s="1655"/>
      <c r="BW688" s="1655"/>
      <c r="BX688" s="1655"/>
      <c r="BY688" s="1655"/>
      <c r="BZ688" s="1655"/>
      <c r="CA688" s="1655"/>
      <c r="CB688" s="1655"/>
      <c r="CC688" s="1655"/>
      <c r="CD688" s="1655"/>
      <c r="CE688" s="1655"/>
      <c r="CF688" s="1655"/>
      <c r="CG688" s="1655"/>
      <c r="CH688" s="1655"/>
      <c r="CI688" s="1655"/>
      <c r="CJ688" s="1655"/>
      <c r="CK688" s="1655"/>
      <c r="CL688" s="1655"/>
      <c r="CM688" s="1655"/>
      <c r="CN688" s="1655"/>
      <c r="CO688" s="1655"/>
      <c r="CP688" s="1655"/>
      <c r="CQ688" s="1655"/>
      <c r="CR688" s="1655"/>
      <c r="CS688" s="1655"/>
      <c r="CT688" s="1655"/>
      <c r="CU688" s="1655"/>
      <c r="CV688" s="1655"/>
      <c r="CW688" s="1655"/>
      <c r="CX688" s="1655"/>
      <c r="CY688" s="1655"/>
      <c r="CZ688" s="1655"/>
      <c r="DA688" s="1655"/>
      <c r="DB688" s="1655"/>
      <c r="DC688" s="1655"/>
      <c r="DD688" s="1655"/>
      <c r="DE688" s="1655"/>
      <c r="DF688" s="1655"/>
      <c r="DG688" s="1655"/>
      <c r="DH688" s="1655"/>
      <c r="DI688" s="1655"/>
      <c r="DJ688" s="1655"/>
      <c r="DK688" s="1655"/>
      <c r="DL688" s="1655"/>
      <c r="DM688" s="1655"/>
      <c r="DN688" s="1655"/>
      <c r="DO688" s="1655"/>
      <c r="DP688" s="1655"/>
      <c r="DQ688" s="1655"/>
      <c r="DR688" s="1655"/>
      <c r="DS688" s="1655"/>
      <c r="DT688" s="1655"/>
      <c r="DU688" s="1655"/>
      <c r="DV688" s="1655"/>
      <c r="DW688" s="1655"/>
      <c r="DX688" s="1655"/>
      <c r="DY688" s="1655"/>
      <c r="DZ688" s="1655"/>
      <c r="EA688" s="1655"/>
      <c r="EB688" s="1655"/>
      <c r="EC688" s="1655"/>
      <c r="ED688" s="1655"/>
      <c r="EE688" s="1655"/>
      <c r="EF688" s="1655"/>
      <c r="EG688" s="1655"/>
      <c r="EH688" s="1655"/>
      <c r="EI688" s="1655"/>
      <c r="EJ688" s="1655"/>
      <c r="EK688" s="1655"/>
      <c r="EL688" s="1655"/>
      <c r="EM688" s="1655"/>
      <c r="EN688" s="1655"/>
      <c r="EO688" s="1655"/>
      <c r="EP688" s="1655"/>
      <c r="EQ688" s="1655"/>
      <c r="ER688" s="1655"/>
      <c r="ES688" s="1655"/>
      <c r="ET688" s="1655"/>
      <c r="EU688" s="1655"/>
      <c r="EV688" s="1655"/>
      <c r="EW688" s="1655"/>
      <c r="EX688" s="1655"/>
      <c r="EY688" s="1655"/>
      <c r="EZ688" s="1655"/>
      <c r="FA688" s="1655"/>
      <c r="FB688" s="1655"/>
      <c r="FC688" s="1655"/>
      <c r="FD688" s="1655"/>
      <c r="FE688" s="1655"/>
      <c r="FF688" s="1655"/>
      <c r="FG688" s="1655"/>
      <c r="FH688" s="1655"/>
      <c r="FI688" s="1655"/>
    </row>
    <row r="689" spans="1:165">
      <c r="A689" s="1655"/>
      <c r="B689" s="1655"/>
      <c r="C689" s="1655"/>
      <c r="D689" s="1655"/>
      <c r="E689" s="1655"/>
      <c r="F689" s="1655"/>
      <c r="G689" s="1655"/>
      <c r="H689" s="1655"/>
      <c r="I689" s="1655"/>
      <c r="J689" s="1655"/>
      <c r="K689" s="1655"/>
      <c r="L689" s="1655"/>
      <c r="M689" s="1655"/>
      <c r="N689" s="1655"/>
      <c r="O689" s="1655"/>
      <c r="P689" s="1655"/>
      <c r="Q689" s="1655"/>
      <c r="R689" s="1655"/>
      <c r="S689" s="1655"/>
      <c r="T689" s="1655"/>
      <c r="U689" s="1655"/>
      <c r="V689" s="1655"/>
      <c r="W689" s="1655"/>
      <c r="X689" s="1655"/>
      <c r="Y689" s="1655"/>
      <c r="Z689" s="1655"/>
      <c r="AA689" s="1655"/>
      <c r="AB689" s="1655"/>
      <c r="AC689" s="1655"/>
      <c r="AD689" s="1655"/>
      <c r="AE689" s="1655"/>
      <c r="AF689" s="1655"/>
      <c r="AG689" s="1655"/>
      <c r="AH689" s="1655"/>
      <c r="AI689" s="1655"/>
      <c r="AJ689" s="1655"/>
      <c r="AK689" s="1655"/>
      <c r="AL689" s="1655"/>
      <c r="AM689" s="1655"/>
      <c r="AN689" s="1655"/>
      <c r="AO689" s="1655"/>
      <c r="AP689" s="1655"/>
      <c r="AQ689" s="1655"/>
      <c r="AR689" s="1655"/>
      <c r="AS689" s="1655"/>
      <c r="AT689" s="1655"/>
      <c r="AU689" s="1655"/>
      <c r="AV689" s="1655"/>
      <c r="AW689" s="1655"/>
      <c r="AX689" s="1655"/>
      <c r="AY689" s="1655"/>
      <c r="AZ689" s="1655"/>
      <c r="BA689" s="1655"/>
      <c r="BB689" s="1655"/>
      <c r="BC689" s="1655"/>
      <c r="BD689" s="1655"/>
      <c r="BE689" s="1655"/>
      <c r="BF689" s="1655"/>
      <c r="BG689" s="1655"/>
      <c r="BH689" s="1655"/>
      <c r="BI689" s="1655"/>
      <c r="BJ689" s="1655"/>
      <c r="BK689" s="1655"/>
      <c r="BL689" s="1655"/>
      <c r="BM689" s="1655"/>
      <c r="BN689" s="1655"/>
      <c r="BO689" s="1655"/>
      <c r="BP689" s="1655"/>
      <c r="BQ689" s="1655"/>
      <c r="BR689" s="1655"/>
      <c r="BS689" s="1655"/>
      <c r="BT689" s="1655"/>
      <c r="BU689" s="1655"/>
      <c r="BV689" s="1655"/>
      <c r="BW689" s="1655"/>
      <c r="BX689" s="1655"/>
      <c r="BY689" s="1655"/>
      <c r="BZ689" s="1655"/>
      <c r="CA689" s="1655"/>
      <c r="CB689" s="1655"/>
      <c r="CC689" s="1655"/>
      <c r="CD689" s="1655"/>
      <c r="CE689" s="1655"/>
      <c r="CF689" s="1655"/>
      <c r="CG689" s="1655"/>
      <c r="CH689" s="1655"/>
      <c r="CI689" s="1655"/>
      <c r="CJ689" s="1655"/>
      <c r="CK689" s="1655"/>
      <c r="CL689" s="1655"/>
      <c r="CM689" s="1655"/>
      <c r="CN689" s="1655"/>
      <c r="CO689" s="1655"/>
      <c r="CP689" s="1655"/>
      <c r="CQ689" s="1655"/>
      <c r="CR689" s="1655"/>
      <c r="CS689" s="1655"/>
      <c r="CT689" s="1655"/>
      <c r="CU689" s="1655"/>
      <c r="CV689" s="1655"/>
      <c r="CW689" s="1655"/>
      <c r="CX689" s="1655"/>
      <c r="CY689" s="1655"/>
      <c r="CZ689" s="1655"/>
      <c r="DA689" s="1655"/>
      <c r="DB689" s="1655"/>
      <c r="DC689" s="1655"/>
      <c r="DD689" s="1655"/>
      <c r="DE689" s="1655"/>
      <c r="DF689" s="1655"/>
      <c r="DG689" s="1655"/>
      <c r="DH689" s="1655"/>
      <c r="DI689" s="1655"/>
      <c r="DJ689" s="1655"/>
      <c r="DK689" s="1655"/>
      <c r="DL689" s="1655"/>
      <c r="DM689" s="1655"/>
      <c r="DN689" s="1655"/>
      <c r="DO689" s="1655"/>
      <c r="DP689" s="1655"/>
      <c r="DQ689" s="1655"/>
      <c r="DR689" s="1655"/>
      <c r="DS689" s="1655"/>
      <c r="DT689" s="1655"/>
      <c r="DU689" s="1655"/>
      <c r="DV689" s="1655"/>
      <c r="DW689" s="1655"/>
      <c r="DX689" s="1655"/>
      <c r="DY689" s="1655"/>
      <c r="DZ689" s="1655"/>
      <c r="EA689" s="1655"/>
      <c r="EB689" s="1655"/>
      <c r="EC689" s="1655"/>
      <c r="ED689" s="1655"/>
      <c r="EE689" s="1655"/>
      <c r="EF689" s="1655"/>
      <c r="EG689" s="1655"/>
      <c r="EH689" s="1655"/>
      <c r="EI689" s="1655"/>
      <c r="EJ689" s="1655"/>
      <c r="EK689" s="1655"/>
      <c r="EL689" s="1655"/>
      <c r="EM689" s="1655"/>
      <c r="EN689" s="1655"/>
      <c r="EO689" s="1655"/>
      <c r="EP689" s="1655"/>
      <c r="EQ689" s="1655"/>
      <c r="ER689" s="1655"/>
      <c r="ES689" s="1655"/>
      <c r="ET689" s="1655"/>
      <c r="EU689" s="1655"/>
      <c r="EV689" s="1655"/>
      <c r="EW689" s="1655"/>
      <c r="EX689" s="1655"/>
      <c r="EY689" s="1655"/>
      <c r="EZ689" s="1655"/>
      <c r="FA689" s="1655"/>
      <c r="FB689" s="1655"/>
      <c r="FC689" s="1655"/>
      <c r="FD689" s="1655"/>
      <c r="FE689" s="1655"/>
      <c r="FF689" s="1655"/>
      <c r="FG689" s="1655"/>
      <c r="FH689" s="1655"/>
      <c r="FI689" s="1655"/>
    </row>
    <row r="690" spans="1:165">
      <c r="A690" s="1655"/>
      <c r="B690" s="1655"/>
      <c r="C690" s="1655"/>
      <c r="D690" s="1655"/>
      <c r="E690" s="1655"/>
      <c r="F690" s="1655"/>
      <c r="G690" s="1655"/>
      <c r="H690" s="1655"/>
      <c r="I690" s="1655"/>
      <c r="J690" s="1655"/>
      <c r="K690" s="1655"/>
      <c r="L690" s="1655"/>
      <c r="M690" s="1655"/>
      <c r="N690" s="1655"/>
      <c r="O690" s="1655"/>
      <c r="P690" s="1655"/>
      <c r="Q690" s="1655"/>
      <c r="R690" s="1655"/>
      <c r="S690" s="1655"/>
      <c r="T690" s="1655"/>
      <c r="U690" s="1655"/>
      <c r="V690" s="1655"/>
      <c r="W690" s="1655"/>
      <c r="X690" s="1655"/>
      <c r="Y690" s="1655"/>
      <c r="Z690" s="1655"/>
      <c r="AA690" s="1655"/>
      <c r="AB690" s="1655"/>
      <c r="AC690" s="1655"/>
      <c r="AD690" s="1655"/>
      <c r="AE690" s="1655"/>
      <c r="AF690" s="1655"/>
      <c r="AG690" s="1655"/>
      <c r="AH690" s="1655"/>
      <c r="AI690" s="1655"/>
      <c r="AJ690" s="1655"/>
      <c r="AK690" s="1655"/>
      <c r="AL690" s="1655"/>
      <c r="AM690" s="1655"/>
      <c r="AN690" s="1655"/>
      <c r="AO690" s="1655"/>
      <c r="AP690" s="1655"/>
      <c r="AQ690" s="1655"/>
      <c r="AR690" s="1655"/>
      <c r="AS690" s="1655"/>
      <c r="AT690" s="1655"/>
      <c r="AU690" s="1655"/>
      <c r="AV690" s="1655"/>
      <c r="AW690" s="1655"/>
      <c r="AX690" s="1655"/>
      <c r="AY690" s="1655"/>
      <c r="AZ690" s="1655"/>
      <c r="BA690" s="1655"/>
      <c r="BB690" s="1655"/>
      <c r="BC690" s="1655"/>
      <c r="BD690" s="1655"/>
      <c r="BE690" s="1655"/>
      <c r="BF690" s="1655"/>
      <c r="BG690" s="1655"/>
      <c r="BH690" s="1655"/>
      <c r="BI690" s="1655"/>
      <c r="BJ690" s="1655"/>
      <c r="BK690" s="1655"/>
      <c r="BL690" s="1655"/>
      <c r="BM690" s="1655"/>
      <c r="BN690" s="1655"/>
      <c r="BO690" s="1655"/>
      <c r="BP690" s="1655"/>
      <c r="BQ690" s="1655"/>
      <c r="BR690" s="1655"/>
      <c r="BS690" s="1655"/>
      <c r="BT690" s="1655"/>
      <c r="BU690" s="1655"/>
      <c r="BV690" s="1655"/>
      <c r="BW690" s="1655"/>
      <c r="BX690" s="1655"/>
      <c r="BY690" s="1655"/>
      <c r="BZ690" s="1655"/>
      <c r="CA690" s="1655"/>
      <c r="CB690" s="1655"/>
      <c r="CC690" s="1655"/>
      <c r="CD690" s="1655"/>
      <c r="CE690" s="1655"/>
      <c r="CF690" s="1655"/>
      <c r="CG690" s="1655"/>
      <c r="CH690" s="1655"/>
      <c r="CI690" s="1655"/>
      <c r="CJ690" s="1655"/>
      <c r="CK690" s="1655"/>
      <c r="CL690" s="1655"/>
      <c r="CM690" s="1655"/>
      <c r="CN690" s="1655"/>
      <c r="CO690" s="1655"/>
      <c r="CP690" s="1655"/>
      <c r="CQ690" s="1655"/>
      <c r="CR690" s="1655"/>
      <c r="CS690" s="1655"/>
      <c r="CT690" s="1655"/>
      <c r="CU690" s="1655"/>
      <c r="CV690" s="1655"/>
      <c r="CW690" s="1655"/>
      <c r="CX690" s="1655"/>
      <c r="CY690" s="1655"/>
      <c r="CZ690" s="1655"/>
      <c r="DA690" s="1655"/>
      <c r="DB690" s="1655"/>
      <c r="DC690" s="1655"/>
      <c r="DD690" s="1655"/>
      <c r="DE690" s="1655"/>
      <c r="DF690" s="1655"/>
      <c r="DG690" s="1655"/>
      <c r="DH690" s="1655"/>
      <c r="DI690" s="1655"/>
      <c r="DJ690" s="1655"/>
      <c r="DK690" s="1655"/>
      <c r="DL690" s="1655"/>
      <c r="DM690" s="1655"/>
      <c r="DN690" s="1655"/>
      <c r="DO690" s="1655"/>
      <c r="DP690" s="1655"/>
      <c r="DQ690" s="1655"/>
      <c r="DR690" s="1655"/>
      <c r="DS690" s="1655"/>
      <c r="DT690" s="1655"/>
      <c r="DU690" s="1655"/>
      <c r="DV690" s="1655"/>
      <c r="DW690" s="1655"/>
      <c r="DX690" s="1655"/>
      <c r="DY690" s="1655"/>
      <c r="DZ690" s="1655"/>
      <c r="EA690" s="1655"/>
      <c r="EB690" s="1655"/>
      <c r="EC690" s="1655"/>
      <c r="ED690" s="1655"/>
      <c r="EE690" s="1655"/>
      <c r="EF690" s="1655"/>
      <c r="EG690" s="1655"/>
      <c r="EH690" s="1655"/>
      <c r="EI690" s="1655"/>
      <c r="EJ690" s="1655"/>
      <c r="EK690" s="1655"/>
      <c r="EL690" s="1655"/>
      <c r="EM690" s="1655"/>
      <c r="EN690" s="1655"/>
      <c r="EO690" s="1655"/>
      <c r="EP690" s="1655"/>
      <c r="EQ690" s="1655"/>
      <c r="ER690" s="1655"/>
      <c r="ES690" s="1655"/>
      <c r="ET690" s="1655"/>
      <c r="EU690" s="1655"/>
      <c r="EV690" s="1655"/>
      <c r="EW690" s="1655"/>
      <c r="EX690" s="1655"/>
      <c r="EY690" s="1655"/>
      <c r="EZ690" s="1655"/>
      <c r="FA690" s="1655"/>
      <c r="FB690" s="1655"/>
      <c r="FC690" s="1655"/>
      <c r="FD690" s="1655"/>
      <c r="FE690" s="1655"/>
      <c r="FF690" s="1655"/>
      <c r="FG690" s="1655"/>
      <c r="FH690" s="1655"/>
      <c r="FI690" s="1655"/>
    </row>
    <row r="691" spans="1:165">
      <c r="A691" s="1655"/>
      <c r="B691" s="1655"/>
      <c r="C691" s="1655"/>
      <c r="D691" s="1655"/>
      <c r="E691" s="1655"/>
      <c r="F691" s="1655"/>
      <c r="G691" s="1655"/>
      <c r="H691" s="1655"/>
      <c r="I691" s="1655"/>
      <c r="J691" s="1655"/>
      <c r="K691" s="1655"/>
      <c r="L691" s="1655"/>
      <c r="M691" s="1655"/>
      <c r="N691" s="1655"/>
      <c r="O691" s="1655"/>
      <c r="P691" s="1655"/>
      <c r="Q691" s="1655"/>
      <c r="R691" s="1655"/>
      <c r="S691" s="1655"/>
      <c r="T691" s="1655"/>
      <c r="U691" s="1655"/>
      <c r="V691" s="1655"/>
      <c r="W691" s="1655"/>
      <c r="X691" s="1655"/>
      <c r="Y691" s="1655"/>
      <c r="Z691" s="1655"/>
      <c r="AA691" s="1655"/>
      <c r="AB691" s="1655"/>
      <c r="AC691" s="1655"/>
      <c r="AD691" s="1655"/>
      <c r="AE691" s="1655"/>
      <c r="AF691" s="1655"/>
      <c r="AG691" s="1655"/>
      <c r="AH691" s="1655"/>
      <c r="AI691" s="1655"/>
      <c r="AJ691" s="1655"/>
      <c r="AK691" s="1655"/>
      <c r="AL691" s="1655"/>
      <c r="AM691" s="1655"/>
      <c r="AN691" s="1655"/>
      <c r="AO691" s="1655"/>
      <c r="AP691" s="1655"/>
      <c r="AQ691" s="1655"/>
      <c r="AR691" s="1655"/>
      <c r="AS691" s="1655"/>
      <c r="AT691" s="1655"/>
      <c r="AU691" s="1655"/>
      <c r="AV691" s="1655"/>
      <c r="AW691" s="1655"/>
      <c r="AX691" s="1655"/>
      <c r="AY691" s="1655"/>
      <c r="AZ691" s="1655"/>
      <c r="BA691" s="1655"/>
      <c r="BB691" s="1655"/>
      <c r="BC691" s="1655"/>
      <c r="BD691" s="1655"/>
      <c r="BE691" s="1655"/>
      <c r="BF691" s="1655"/>
      <c r="BG691" s="1655"/>
      <c r="BH691" s="1655"/>
      <c r="BI691" s="1655"/>
      <c r="BJ691" s="1655"/>
      <c r="BK691" s="1655"/>
      <c r="BL691" s="1655"/>
      <c r="BM691" s="1655"/>
      <c r="BN691" s="1655"/>
      <c r="BO691" s="1655"/>
      <c r="BP691" s="1655"/>
      <c r="BQ691" s="1655"/>
      <c r="BR691" s="1655"/>
      <c r="BS691" s="1655"/>
      <c r="BT691" s="1655"/>
      <c r="BU691" s="1655"/>
      <c r="BV691" s="1655"/>
      <c r="BW691" s="1655"/>
      <c r="BX691" s="1655"/>
      <c r="BY691" s="1655"/>
      <c r="BZ691" s="1655"/>
      <c r="CA691" s="1655"/>
      <c r="CB691" s="1655"/>
      <c r="CC691" s="1655"/>
      <c r="CD691" s="1655"/>
      <c r="CE691" s="1655"/>
      <c r="CF691" s="1655"/>
      <c r="CG691" s="1655"/>
      <c r="CH691" s="1655"/>
      <c r="CI691" s="1655"/>
      <c r="CJ691" s="1655"/>
      <c r="CK691" s="1655"/>
      <c r="CL691" s="1655"/>
      <c r="CM691" s="1655"/>
      <c r="CN691" s="1655"/>
      <c r="CO691" s="1655"/>
      <c r="CP691" s="1655"/>
      <c r="CQ691" s="1655"/>
      <c r="CR691" s="1655"/>
      <c r="CS691" s="1655"/>
      <c r="CT691" s="1655"/>
      <c r="CU691" s="1655"/>
      <c r="CV691" s="1655"/>
      <c r="CW691" s="1655"/>
      <c r="CX691" s="1655"/>
      <c r="CY691" s="1655"/>
      <c r="CZ691" s="1655"/>
      <c r="DA691" s="1655"/>
      <c r="DB691" s="1655"/>
      <c r="DC691" s="1655"/>
      <c r="DD691" s="1655"/>
      <c r="DE691" s="1655"/>
      <c r="DF691" s="1655"/>
      <c r="DG691" s="1655"/>
      <c r="DH691" s="1655"/>
      <c r="DI691" s="1655"/>
      <c r="DJ691" s="1655"/>
      <c r="DK691" s="1655"/>
      <c r="DL691" s="1655"/>
      <c r="DM691" s="1655"/>
      <c r="DN691" s="1655"/>
      <c r="DO691" s="1655"/>
      <c r="DP691" s="1655"/>
      <c r="DQ691" s="1655"/>
      <c r="DR691" s="1655"/>
      <c r="DS691" s="1655"/>
      <c r="DT691" s="1655"/>
      <c r="DU691" s="1655"/>
      <c r="DV691" s="1655"/>
      <c r="DW691" s="1655"/>
      <c r="DX691" s="1655"/>
      <c r="DY691" s="1655"/>
      <c r="DZ691" s="1655"/>
      <c r="EA691" s="1655"/>
      <c r="EB691" s="1655"/>
      <c r="EC691" s="1655"/>
      <c r="ED691" s="1655"/>
      <c r="EE691" s="1655"/>
      <c r="EF691" s="1655"/>
      <c r="EG691" s="1655"/>
      <c r="EH691" s="1655"/>
      <c r="EI691" s="1655"/>
      <c r="EJ691" s="1655"/>
      <c r="EK691" s="1655"/>
      <c r="EL691" s="1655"/>
      <c r="EM691" s="1655"/>
      <c r="EN691" s="1655"/>
      <c r="EO691" s="1655"/>
      <c r="EP691" s="1655"/>
      <c r="EQ691" s="1655"/>
      <c r="ER691" s="1655"/>
      <c r="ES691" s="1655"/>
      <c r="ET691" s="1655"/>
      <c r="EU691" s="1655"/>
      <c r="EV691" s="1655"/>
      <c r="EW691" s="1655"/>
      <c r="EX691" s="1655"/>
      <c r="EY691" s="1655"/>
      <c r="EZ691" s="1655"/>
      <c r="FA691" s="1655"/>
      <c r="FB691" s="1655"/>
      <c r="FC691" s="1655"/>
      <c r="FD691" s="1655"/>
      <c r="FE691" s="1655"/>
      <c r="FF691" s="1655"/>
      <c r="FG691" s="1655"/>
      <c r="FH691" s="1655"/>
      <c r="FI691" s="1655"/>
    </row>
    <row r="692" spans="1:165">
      <c r="A692" s="1655"/>
      <c r="B692" s="1655"/>
      <c r="C692" s="1655"/>
      <c r="D692" s="1655"/>
      <c r="E692" s="1655"/>
      <c r="F692" s="1655"/>
      <c r="G692" s="1655"/>
      <c r="H692" s="1655"/>
      <c r="I692" s="1655"/>
      <c r="J692" s="1655"/>
      <c r="K692" s="1655"/>
      <c r="L692" s="1655"/>
      <c r="M692" s="1655"/>
      <c r="N692" s="1655"/>
      <c r="O692" s="1655"/>
      <c r="P692" s="1655"/>
      <c r="Q692" s="1655"/>
      <c r="R692" s="1655"/>
      <c r="S692" s="1655"/>
      <c r="T692" s="1655"/>
      <c r="U692" s="1655"/>
      <c r="V692" s="1655"/>
      <c r="W692" s="1655"/>
      <c r="X692" s="1655"/>
      <c r="Y692" s="1655"/>
      <c r="Z692" s="1655"/>
      <c r="AA692" s="1655"/>
      <c r="AB692" s="1655"/>
      <c r="AC692" s="1655"/>
      <c r="AD692" s="1655"/>
      <c r="AE692" s="1655"/>
      <c r="AF692" s="1655"/>
      <c r="AG692" s="1655"/>
      <c r="AH692" s="1655"/>
      <c r="AI692" s="1655"/>
      <c r="AJ692" s="1655"/>
      <c r="AK692" s="1655"/>
      <c r="AL692" s="1655"/>
      <c r="AM692" s="1655"/>
      <c r="AN692" s="1655"/>
      <c r="AO692" s="1655"/>
      <c r="AP692" s="1655"/>
      <c r="AQ692" s="1655"/>
      <c r="AR692" s="1655"/>
      <c r="AS692" s="1655"/>
      <c r="AT692" s="1655"/>
      <c r="AU692" s="1655"/>
      <c r="AV692" s="1655"/>
      <c r="AW692" s="1655"/>
      <c r="AX692" s="1655"/>
      <c r="AY692" s="1655"/>
      <c r="AZ692" s="1655"/>
      <c r="BA692" s="1655"/>
      <c r="BB692" s="1655"/>
      <c r="BC692" s="1655"/>
      <c r="BD692" s="1655"/>
      <c r="BE692" s="1655"/>
      <c r="BF692" s="1655"/>
      <c r="BG692" s="1655"/>
      <c r="BH692" s="1655"/>
      <c r="BI692" s="1655"/>
      <c r="BJ692" s="1655"/>
      <c r="BK692" s="1655"/>
      <c r="BL692" s="1655"/>
      <c r="BM692" s="1655"/>
      <c r="BN692" s="1655"/>
      <c r="BO692" s="1655"/>
      <c r="BP692" s="1655"/>
      <c r="BQ692" s="1655"/>
      <c r="BR692" s="1655"/>
      <c r="BS692" s="1655"/>
      <c r="BT692" s="1655"/>
      <c r="BU692" s="1655"/>
      <c r="BV692" s="1655"/>
      <c r="BW692" s="1655"/>
      <c r="BX692" s="1655"/>
      <c r="BY692" s="1655"/>
      <c r="BZ692" s="1655"/>
      <c r="CA692" s="1655"/>
      <c r="CB692" s="1655"/>
      <c r="CC692" s="1655"/>
      <c r="CD692" s="1655"/>
      <c r="CE692" s="1655"/>
      <c r="CF692" s="1655"/>
      <c r="CG692" s="1655"/>
      <c r="CH692" s="1655"/>
      <c r="CI692" s="1655"/>
      <c r="CJ692" s="1655"/>
      <c r="CK692" s="1655"/>
      <c r="CL692" s="1655"/>
      <c r="CM692" s="1655"/>
      <c r="CN692" s="1655"/>
      <c r="CO692" s="1655"/>
      <c r="CP692" s="1655"/>
      <c r="CQ692" s="1655"/>
      <c r="CR692" s="1655"/>
      <c r="CS692" s="1655"/>
      <c r="CT692" s="1655"/>
      <c r="CU692" s="1655"/>
      <c r="CV692" s="1655"/>
      <c r="CW692" s="1655"/>
      <c r="CX692" s="1655"/>
      <c r="CY692" s="1655"/>
      <c r="CZ692" s="1655"/>
      <c r="DA692" s="1655"/>
      <c r="DB692" s="1655"/>
      <c r="DC692" s="1655"/>
      <c r="DD692" s="1655"/>
      <c r="DE692" s="1655"/>
      <c r="DF692" s="1655"/>
      <c r="DG692" s="1655"/>
      <c r="DH692" s="1655"/>
      <c r="DI692" s="1655"/>
      <c r="DJ692" s="1655"/>
      <c r="DK692" s="1655"/>
      <c r="DL692" s="1655"/>
      <c r="DM692" s="1655"/>
      <c r="DN692" s="1655"/>
      <c r="DO692" s="1655"/>
      <c r="DP692" s="1655"/>
      <c r="DQ692" s="1655"/>
      <c r="DR692" s="1655"/>
      <c r="DS692" s="1655"/>
      <c r="DT692" s="1655"/>
      <c r="DU692" s="1655"/>
      <c r="DV692" s="1655"/>
      <c r="DW692" s="1655"/>
      <c r="DX692" s="1655"/>
      <c r="DY692" s="1655"/>
      <c r="DZ692" s="1655"/>
      <c r="EA692" s="1655"/>
      <c r="EB692" s="1655"/>
      <c r="EC692" s="1655"/>
      <c r="ED692" s="1655"/>
      <c r="EE692" s="1655"/>
      <c r="EF692" s="1655"/>
      <c r="EG692" s="1655"/>
      <c r="EH692" s="1655"/>
      <c r="EI692" s="1655"/>
      <c r="EJ692" s="1655"/>
      <c r="EK692" s="1655"/>
      <c r="EL692" s="1655"/>
      <c r="EM692" s="1655"/>
      <c r="EN692" s="1655"/>
      <c r="EO692" s="1655"/>
      <c r="EP692" s="1655"/>
      <c r="EQ692" s="1655"/>
      <c r="ER692" s="1655"/>
      <c r="ES692" s="1655"/>
      <c r="ET692" s="1655"/>
      <c r="EU692" s="1655"/>
      <c r="EV692" s="1655"/>
      <c r="EW692" s="1655"/>
      <c r="EX692" s="1655"/>
      <c r="EY692" s="1655"/>
      <c r="EZ692" s="1655"/>
      <c r="FA692" s="1655"/>
      <c r="FB692" s="1655"/>
      <c r="FC692" s="1655"/>
      <c r="FD692" s="1655"/>
      <c r="FE692" s="1655"/>
      <c r="FF692" s="1655"/>
      <c r="FG692" s="1655"/>
      <c r="FH692" s="1655"/>
      <c r="FI692" s="1655"/>
    </row>
    <row r="693" spans="1:165">
      <c r="A693" s="1655"/>
      <c r="B693" s="1655"/>
      <c r="C693" s="1655"/>
      <c r="D693" s="1655"/>
      <c r="E693" s="1655"/>
      <c r="F693" s="1655"/>
      <c r="G693" s="1655"/>
      <c r="H693" s="1655"/>
      <c r="I693" s="1655"/>
      <c r="J693" s="1655"/>
      <c r="K693" s="1655"/>
      <c r="L693" s="1655"/>
      <c r="M693" s="1655"/>
      <c r="N693" s="1655"/>
      <c r="O693" s="1655"/>
      <c r="P693" s="1655"/>
      <c r="Q693" s="1655"/>
      <c r="R693" s="1655"/>
      <c r="S693" s="1655"/>
      <c r="T693" s="1655"/>
      <c r="U693" s="1655"/>
      <c r="V693" s="1655"/>
      <c r="W693" s="1655"/>
      <c r="X693" s="1655"/>
      <c r="Y693" s="1655"/>
      <c r="Z693" s="1655"/>
      <c r="AA693" s="1655"/>
      <c r="AB693" s="1655"/>
      <c r="AC693" s="1655"/>
      <c r="AD693" s="1655"/>
      <c r="AE693" s="1655"/>
      <c r="AF693" s="1655"/>
      <c r="AG693" s="1655"/>
      <c r="AH693" s="1655"/>
      <c r="AI693" s="1655"/>
      <c r="AJ693" s="1655"/>
      <c r="AK693" s="1655"/>
      <c r="AL693" s="1655"/>
      <c r="AM693" s="1655"/>
      <c r="AN693" s="1655"/>
      <c r="AO693" s="1655"/>
      <c r="AP693" s="1655"/>
      <c r="AQ693" s="1655"/>
      <c r="AR693" s="1655"/>
      <c r="AS693" s="1655"/>
      <c r="AT693" s="1655"/>
      <c r="AU693" s="1655"/>
      <c r="AV693" s="1655"/>
      <c r="AW693" s="1655"/>
      <c r="AX693" s="1655"/>
      <c r="AY693" s="1655"/>
      <c r="AZ693" s="1655"/>
      <c r="BA693" s="1655"/>
      <c r="BB693" s="1655"/>
      <c r="BC693" s="1655"/>
      <c r="BD693" s="1655"/>
      <c r="BE693" s="1655"/>
      <c r="BF693" s="1655"/>
      <c r="BG693" s="1655"/>
      <c r="BH693" s="1655"/>
      <c r="BI693" s="1655"/>
      <c r="BJ693" s="1655"/>
      <c r="BK693" s="1655"/>
      <c r="BL693" s="1655"/>
      <c r="BM693" s="1655"/>
      <c r="BN693" s="1655"/>
      <c r="BO693" s="1655"/>
      <c r="BP693" s="1655"/>
      <c r="BQ693" s="1655"/>
      <c r="BR693" s="1655"/>
      <c r="BS693" s="1655"/>
      <c r="BT693" s="1655"/>
      <c r="BU693" s="1655"/>
      <c r="BV693" s="1655"/>
      <c r="BW693" s="1655"/>
      <c r="BX693" s="1655"/>
      <c r="BY693" s="1655"/>
      <c r="BZ693" s="1655"/>
      <c r="CA693" s="1655"/>
      <c r="CB693" s="1655"/>
      <c r="CC693" s="1655"/>
      <c r="CD693" s="1655"/>
      <c r="CE693" s="1655"/>
      <c r="CF693" s="1655"/>
      <c r="CG693" s="1655"/>
      <c r="CH693" s="1655"/>
      <c r="CI693" s="1655"/>
      <c r="CJ693" s="1655"/>
      <c r="CK693" s="1655"/>
      <c r="CL693" s="1655"/>
      <c r="CM693" s="1655"/>
      <c r="CN693" s="1655"/>
      <c r="CO693" s="1655"/>
      <c r="CP693" s="1655"/>
      <c r="CQ693" s="1655"/>
      <c r="CR693" s="1655"/>
      <c r="CS693" s="1655"/>
      <c r="CT693" s="1655"/>
      <c r="CU693" s="1655"/>
      <c r="CV693" s="1655"/>
      <c r="CW693" s="1655"/>
      <c r="CX693" s="1655"/>
      <c r="CY693" s="1655"/>
      <c r="CZ693" s="1655"/>
      <c r="DA693" s="1655"/>
      <c r="DB693" s="1655"/>
      <c r="DC693" s="1655"/>
      <c r="DD693" s="1655"/>
      <c r="DE693" s="1655"/>
      <c r="DF693" s="1655"/>
      <c r="DG693" s="1655"/>
      <c r="DH693" s="1655"/>
      <c r="DI693" s="1655"/>
      <c r="DJ693" s="1655"/>
      <c r="DK693" s="1655"/>
      <c r="DL693" s="1655"/>
      <c r="DM693" s="1655"/>
      <c r="DN693" s="1655"/>
      <c r="DO693" s="1655"/>
      <c r="DP693" s="1655"/>
      <c r="DQ693" s="1655"/>
      <c r="DR693" s="1655"/>
      <c r="DS693" s="1655"/>
      <c r="DT693" s="1655"/>
      <c r="DU693" s="1655"/>
      <c r="DV693" s="1655"/>
      <c r="DW693" s="1655"/>
      <c r="DX693" s="1655"/>
      <c r="DY693" s="1655"/>
      <c r="DZ693" s="1655"/>
      <c r="EA693" s="1655"/>
      <c r="EB693" s="1655"/>
      <c r="EC693" s="1655"/>
      <c r="ED693" s="1655"/>
      <c r="EE693" s="1655"/>
      <c r="EF693" s="1655"/>
      <c r="EG693" s="1655"/>
      <c r="EH693" s="1655"/>
      <c r="EI693" s="1655"/>
      <c r="EJ693" s="1655"/>
      <c r="EK693" s="1655"/>
      <c r="EL693" s="1655"/>
      <c r="EM693" s="1655"/>
      <c r="EN693" s="1655"/>
      <c r="EO693" s="1655"/>
      <c r="EP693" s="1655"/>
      <c r="EQ693" s="1655"/>
      <c r="ER693" s="1655"/>
      <c r="ES693" s="1655"/>
      <c r="ET693" s="1655"/>
      <c r="EU693" s="1655"/>
      <c r="EV693" s="1655"/>
      <c r="EW693" s="1655"/>
      <c r="EX693" s="1655"/>
      <c r="EY693" s="1655"/>
      <c r="EZ693" s="1655"/>
      <c r="FA693" s="1655"/>
      <c r="FB693" s="1655"/>
      <c r="FC693" s="1655"/>
      <c r="FD693" s="1655"/>
      <c r="FE693" s="1655"/>
      <c r="FF693" s="1655"/>
      <c r="FG693" s="1655"/>
      <c r="FH693" s="1655"/>
      <c r="FI693" s="1655"/>
    </row>
    <row r="694" spans="1:165">
      <c r="A694" s="1655"/>
      <c r="B694" s="1655"/>
      <c r="C694" s="1655"/>
      <c r="D694" s="1655"/>
      <c r="E694" s="1655"/>
      <c r="F694" s="1655"/>
      <c r="G694" s="1655"/>
      <c r="H694" s="1655"/>
      <c r="I694" s="1655"/>
      <c r="J694" s="1655"/>
      <c r="K694" s="1655"/>
      <c r="L694" s="1655"/>
      <c r="M694" s="1655"/>
      <c r="N694" s="1655"/>
      <c r="O694" s="1655"/>
      <c r="P694" s="1655"/>
      <c r="Q694" s="1655"/>
      <c r="R694" s="1655"/>
      <c r="S694" s="1655"/>
      <c r="T694" s="1655"/>
      <c r="U694" s="1655"/>
      <c r="V694" s="1655"/>
      <c r="W694" s="1655"/>
      <c r="X694" s="1655"/>
      <c r="Y694" s="1655"/>
      <c r="Z694" s="1655"/>
      <c r="AA694" s="1655"/>
      <c r="AB694" s="1655"/>
      <c r="AC694" s="1655"/>
      <c r="AD694" s="1655"/>
      <c r="AE694" s="1655"/>
      <c r="AF694" s="1655"/>
      <c r="AG694" s="1655"/>
      <c r="AH694" s="1655"/>
      <c r="AI694" s="1655"/>
      <c r="AJ694" s="1655"/>
      <c r="AK694" s="1655"/>
      <c r="AL694" s="1655"/>
      <c r="AM694" s="1655"/>
      <c r="AN694" s="1655"/>
      <c r="AO694" s="1655"/>
      <c r="AP694" s="1655"/>
      <c r="AQ694" s="1655"/>
      <c r="AR694" s="1655"/>
      <c r="AS694" s="1655"/>
      <c r="AT694" s="1655"/>
      <c r="AU694" s="1655"/>
      <c r="AV694" s="1655"/>
      <c r="AW694" s="1655"/>
      <c r="AX694" s="1655"/>
      <c r="AY694" s="1655"/>
      <c r="AZ694" s="1655"/>
      <c r="BA694" s="1655"/>
      <c r="BB694" s="1655"/>
      <c r="BC694" s="1655"/>
      <c r="BD694" s="1655"/>
      <c r="BE694" s="1655"/>
      <c r="BF694" s="1655"/>
      <c r="BG694" s="1655"/>
      <c r="BH694" s="1655"/>
      <c r="BI694" s="1655"/>
      <c r="BJ694" s="1655"/>
      <c r="BK694" s="1655"/>
      <c r="BL694" s="1655"/>
      <c r="BM694" s="1655"/>
      <c r="BN694" s="1655"/>
      <c r="BO694" s="1655"/>
      <c r="BP694" s="1655"/>
      <c r="BQ694" s="1655"/>
      <c r="BR694" s="1655"/>
      <c r="BS694" s="1655"/>
      <c r="BT694" s="1655"/>
      <c r="BU694" s="1655"/>
      <c r="BV694" s="1655"/>
      <c r="BW694" s="1655"/>
      <c r="BX694" s="1655"/>
      <c r="BY694" s="1655"/>
      <c r="BZ694" s="1655"/>
      <c r="CA694" s="1655"/>
      <c r="CB694" s="1655"/>
      <c r="CC694" s="1655"/>
      <c r="CD694" s="1655"/>
      <c r="CE694" s="1655"/>
      <c r="CF694" s="1655"/>
      <c r="CG694" s="1655"/>
      <c r="CH694" s="1655"/>
      <c r="CI694" s="1655"/>
      <c r="CJ694" s="1655"/>
      <c r="CK694" s="1655"/>
      <c r="CL694" s="1655"/>
      <c r="CM694" s="1655"/>
      <c r="CN694" s="1655"/>
      <c r="CO694" s="1655"/>
      <c r="CP694" s="1655"/>
      <c r="CQ694" s="1655"/>
      <c r="CR694" s="1655"/>
      <c r="CS694" s="1655"/>
      <c r="CT694" s="1655"/>
      <c r="CU694" s="1655"/>
      <c r="CV694" s="1655"/>
      <c r="CW694" s="1655"/>
      <c r="CX694" s="1655"/>
      <c r="CY694" s="1655"/>
      <c r="CZ694" s="1655"/>
      <c r="DA694" s="1655"/>
      <c r="DB694" s="1655"/>
      <c r="DC694" s="1655"/>
      <c r="DD694" s="1655"/>
      <c r="DE694" s="1655"/>
      <c r="DF694" s="1655"/>
      <c r="DG694" s="1655"/>
      <c r="DH694" s="1655"/>
      <c r="DI694" s="1655"/>
      <c r="DJ694" s="1655"/>
      <c r="DK694" s="1655"/>
      <c r="DL694" s="1655"/>
      <c r="DM694" s="1655"/>
      <c r="DN694" s="1655"/>
      <c r="DO694" s="1655"/>
      <c r="DP694" s="1655"/>
      <c r="DQ694" s="1655"/>
      <c r="DR694" s="1655"/>
      <c r="DS694" s="1655"/>
      <c r="DT694" s="1655"/>
      <c r="DU694" s="1655"/>
      <c r="DV694" s="1655"/>
      <c r="DW694" s="1655"/>
      <c r="DX694" s="1655"/>
      <c r="DY694" s="1655"/>
      <c r="DZ694" s="1655"/>
      <c r="EA694" s="1655"/>
      <c r="EB694" s="1655"/>
      <c r="EC694" s="1655"/>
      <c r="ED694" s="1655"/>
      <c r="EE694" s="1655"/>
      <c r="EF694" s="1655"/>
      <c r="EG694" s="1655"/>
      <c r="EH694" s="1655"/>
      <c r="EI694" s="1655"/>
      <c r="EJ694" s="1655"/>
      <c r="EK694" s="1655"/>
      <c r="EL694" s="1655"/>
      <c r="EM694" s="1655"/>
      <c r="EN694" s="1655"/>
      <c r="EO694" s="1655"/>
      <c r="EP694" s="1655"/>
      <c r="EQ694" s="1655"/>
      <c r="ER694" s="1655"/>
      <c r="ES694" s="1655"/>
      <c r="ET694" s="1655"/>
      <c r="EU694" s="1655"/>
      <c r="EV694" s="1655"/>
      <c r="EW694" s="1655"/>
      <c r="EX694" s="1655"/>
      <c r="EY694" s="1655"/>
      <c r="EZ694" s="1655"/>
      <c r="FA694" s="1655"/>
      <c r="FB694" s="1655"/>
      <c r="FC694" s="1655"/>
      <c r="FD694" s="1655"/>
      <c r="FE694" s="1655"/>
      <c r="FF694" s="1655"/>
      <c r="FG694" s="1655"/>
      <c r="FH694" s="1655"/>
      <c r="FI694" s="1655"/>
    </row>
    <row r="695" spans="1:165">
      <c r="A695" s="1655"/>
      <c r="B695" s="1655"/>
      <c r="C695" s="1655"/>
      <c r="D695" s="1655"/>
      <c r="E695" s="1655"/>
      <c r="F695" s="1655"/>
      <c r="G695" s="1655"/>
      <c r="H695" s="1655"/>
      <c r="I695" s="1655"/>
      <c r="J695" s="1655"/>
      <c r="K695" s="1655"/>
      <c r="L695" s="1655"/>
      <c r="M695" s="1655"/>
      <c r="N695" s="1655"/>
      <c r="O695" s="1655"/>
      <c r="P695" s="1655"/>
      <c r="Q695" s="1655"/>
      <c r="R695" s="1655"/>
      <c r="S695" s="1655"/>
      <c r="T695" s="1655"/>
      <c r="U695" s="1655"/>
      <c r="V695" s="1655"/>
      <c r="W695" s="1655"/>
      <c r="X695" s="1655"/>
      <c r="Y695" s="1655"/>
      <c r="Z695" s="1655"/>
      <c r="AA695" s="1655"/>
      <c r="AB695" s="1655"/>
      <c r="AC695" s="1655"/>
      <c r="AD695" s="1655"/>
      <c r="AE695" s="1655"/>
      <c r="AF695" s="1655"/>
      <c r="AG695" s="1655"/>
      <c r="AH695" s="1655"/>
      <c r="AI695" s="1655"/>
      <c r="AJ695" s="1655"/>
      <c r="AK695" s="1655"/>
      <c r="AL695" s="1655"/>
      <c r="AM695" s="1655"/>
      <c r="AN695" s="1655"/>
      <c r="AO695" s="1655"/>
      <c r="AP695" s="1655"/>
      <c r="AQ695" s="1655"/>
      <c r="AR695" s="1655"/>
      <c r="AS695" s="1655"/>
      <c r="AT695" s="1655"/>
      <c r="AU695" s="1655"/>
      <c r="AV695" s="1655"/>
      <c r="AW695" s="1655"/>
      <c r="AX695" s="1655"/>
      <c r="AY695" s="1655"/>
      <c r="AZ695" s="1655"/>
      <c r="BA695" s="1655"/>
      <c r="BB695" s="1655"/>
      <c r="BC695" s="1655"/>
      <c r="BD695" s="1655"/>
      <c r="BE695" s="1655"/>
      <c r="BF695" s="1655"/>
      <c r="BG695" s="1655"/>
      <c r="BH695" s="1655"/>
      <c r="BI695" s="1655"/>
      <c r="BJ695" s="1655"/>
      <c r="BK695" s="1655"/>
      <c r="BL695" s="1655"/>
      <c r="BM695" s="1655"/>
      <c r="BN695" s="1655"/>
      <c r="BO695" s="1655"/>
      <c r="BP695" s="1655"/>
      <c r="BQ695" s="1655"/>
      <c r="BR695" s="1655"/>
      <c r="BS695" s="1655"/>
      <c r="BT695" s="1655"/>
      <c r="BU695" s="1655"/>
      <c r="BV695" s="1655"/>
      <c r="BW695" s="1655"/>
      <c r="BX695" s="1655"/>
      <c r="BY695" s="1655"/>
      <c r="BZ695" s="1655"/>
      <c r="CA695" s="1655"/>
      <c r="CB695" s="1655"/>
      <c r="CC695" s="1655"/>
      <c r="CD695" s="1655"/>
      <c r="CE695" s="1655"/>
      <c r="CF695" s="1655"/>
      <c r="CG695" s="1655"/>
      <c r="CH695" s="1655"/>
      <c r="CI695" s="1655"/>
      <c r="CJ695" s="1655"/>
      <c r="CK695" s="1655"/>
      <c r="CL695" s="1655"/>
      <c r="CM695" s="1655"/>
      <c r="CN695" s="1655"/>
      <c r="CO695" s="1655"/>
      <c r="CP695" s="1655"/>
      <c r="CQ695" s="1655"/>
      <c r="CR695" s="1655"/>
      <c r="CS695" s="1655"/>
      <c r="CT695" s="1655"/>
      <c r="CU695" s="1655"/>
      <c r="CV695" s="1655"/>
      <c r="CW695" s="1655"/>
      <c r="CX695" s="1655"/>
      <c r="CY695" s="1655"/>
      <c r="CZ695" s="1655"/>
      <c r="DA695" s="1655"/>
      <c r="DB695" s="1655"/>
      <c r="DC695" s="1655"/>
      <c r="DD695" s="1655"/>
      <c r="DE695" s="1655"/>
      <c r="DF695" s="1655"/>
      <c r="DG695" s="1655"/>
      <c r="DH695" s="1655"/>
      <c r="DI695" s="1655"/>
      <c r="DJ695" s="1655"/>
      <c r="DK695" s="1655"/>
      <c r="DL695" s="1655"/>
      <c r="DM695" s="1655"/>
      <c r="DN695" s="1655"/>
      <c r="DO695" s="1655"/>
      <c r="DP695" s="1655"/>
      <c r="DQ695" s="1655"/>
      <c r="DR695" s="1655"/>
      <c r="DS695" s="1655"/>
      <c r="DT695" s="1655"/>
      <c r="DU695" s="1655"/>
      <c r="DV695" s="1655"/>
      <c r="DW695" s="1655"/>
      <c r="DX695" s="1655"/>
      <c r="DY695" s="1655"/>
      <c r="DZ695" s="1655"/>
      <c r="EA695" s="1655"/>
      <c r="EB695" s="1655"/>
      <c r="EC695" s="1655"/>
      <c r="ED695" s="1655"/>
      <c r="EE695" s="1655"/>
      <c r="EF695" s="1655"/>
      <c r="EG695" s="1655"/>
      <c r="EH695" s="1655"/>
      <c r="EI695" s="1655"/>
      <c r="EJ695" s="1655"/>
      <c r="EK695" s="1655"/>
      <c r="EL695" s="1655"/>
      <c r="EM695" s="1655"/>
      <c r="EN695" s="1655"/>
      <c r="EO695" s="1655"/>
      <c r="EP695" s="1655"/>
      <c r="EQ695" s="1655"/>
      <c r="ER695" s="1655"/>
      <c r="ES695" s="1655"/>
      <c r="ET695" s="1655"/>
      <c r="EU695" s="1655"/>
      <c r="EV695" s="1655"/>
      <c r="EW695" s="1655"/>
      <c r="EX695" s="1655"/>
      <c r="EY695" s="1655"/>
      <c r="EZ695" s="1655"/>
      <c r="FA695" s="1655"/>
      <c r="FB695" s="1655"/>
      <c r="FC695" s="1655"/>
      <c r="FD695" s="1655"/>
      <c r="FE695" s="1655"/>
      <c r="FF695" s="1655"/>
      <c r="FG695" s="1655"/>
      <c r="FH695" s="1655"/>
      <c r="FI695" s="1655"/>
    </row>
    <row r="696" spans="1:165">
      <c r="A696" s="1655"/>
      <c r="B696" s="1655"/>
      <c r="C696" s="1655"/>
      <c r="D696" s="1655"/>
      <c r="E696" s="1655"/>
      <c r="F696" s="1655"/>
      <c r="G696" s="1655"/>
      <c r="H696" s="1655"/>
      <c r="I696" s="1655"/>
      <c r="J696" s="1655"/>
      <c r="K696" s="1655"/>
      <c r="L696" s="1655"/>
      <c r="M696" s="1655"/>
      <c r="N696" s="1655"/>
      <c r="O696" s="1655"/>
      <c r="P696" s="1655"/>
      <c r="Q696" s="1655"/>
      <c r="R696" s="1655"/>
      <c r="S696" s="1655"/>
      <c r="T696" s="1655"/>
      <c r="U696" s="1655"/>
      <c r="V696" s="1655"/>
      <c r="W696" s="1655"/>
      <c r="X696" s="1655"/>
      <c r="Y696" s="1655"/>
      <c r="Z696" s="1655"/>
      <c r="AA696" s="1655"/>
      <c r="AB696" s="1655"/>
      <c r="AC696" s="1655"/>
      <c r="AD696" s="1655"/>
      <c r="AE696" s="1655"/>
      <c r="AF696" s="1655"/>
      <c r="AG696" s="1655"/>
      <c r="AH696" s="1655"/>
      <c r="AI696" s="1655"/>
      <c r="AJ696" s="1655"/>
      <c r="AK696" s="1655"/>
      <c r="AL696" s="1655"/>
      <c r="AM696" s="1655"/>
      <c r="AN696" s="1655"/>
      <c r="AO696" s="1655"/>
      <c r="AP696" s="1655"/>
      <c r="AQ696" s="1655"/>
      <c r="AR696" s="1655"/>
      <c r="AS696" s="1655"/>
      <c r="AT696" s="1655"/>
      <c r="AU696" s="1655"/>
      <c r="AV696" s="1655"/>
      <c r="AW696" s="1655"/>
      <c r="AX696" s="1655"/>
      <c r="AY696" s="1655"/>
      <c r="AZ696" s="1655"/>
      <c r="BA696" s="1655"/>
      <c r="BB696" s="1655"/>
      <c r="BC696" s="1655"/>
      <c r="BD696" s="1655"/>
      <c r="BE696" s="1655"/>
      <c r="BF696" s="1655"/>
      <c r="BG696" s="1655"/>
      <c r="BH696" s="1655"/>
      <c r="BI696" s="1655"/>
      <c r="BJ696" s="1655"/>
      <c r="BK696" s="1655"/>
      <c r="BL696" s="1655"/>
      <c r="BM696" s="1655"/>
      <c r="BN696" s="1655"/>
      <c r="BO696" s="1655"/>
      <c r="BP696" s="1655"/>
      <c r="BQ696" s="1655"/>
      <c r="BR696" s="1655"/>
      <c r="BS696" s="1655"/>
      <c r="BT696" s="1655"/>
      <c r="BU696" s="1655"/>
      <c r="BV696" s="1655"/>
      <c r="BW696" s="1655"/>
      <c r="BX696" s="1655"/>
      <c r="BY696" s="1655"/>
      <c r="BZ696" s="1655"/>
      <c r="CA696" s="1655"/>
      <c r="CB696" s="1655"/>
      <c r="CC696" s="1655"/>
      <c r="CD696" s="1655"/>
      <c r="CE696" s="1655"/>
      <c r="CF696" s="1655"/>
      <c r="CG696" s="1655"/>
      <c r="CH696" s="1655"/>
      <c r="CI696" s="1655"/>
      <c r="CJ696" s="1655"/>
      <c r="CK696" s="1655"/>
      <c r="CL696" s="1655"/>
      <c r="CM696" s="1655"/>
      <c r="CN696" s="1655"/>
      <c r="CO696" s="1655"/>
      <c r="CP696" s="1655"/>
      <c r="CQ696" s="1655"/>
      <c r="CR696" s="1655"/>
      <c r="CS696" s="1655"/>
      <c r="CT696" s="1655"/>
      <c r="CU696" s="1655"/>
      <c r="CV696" s="1655"/>
      <c r="CW696" s="1655"/>
      <c r="CX696" s="1655"/>
      <c r="CY696" s="1655"/>
      <c r="CZ696" s="1655"/>
      <c r="DA696" s="1655"/>
      <c r="DB696" s="1655"/>
      <c r="DC696" s="1655"/>
      <c r="DD696" s="1655"/>
      <c r="DE696" s="1655"/>
      <c r="DF696" s="1655"/>
      <c r="DG696" s="1655"/>
      <c r="DH696" s="1655"/>
      <c r="DI696" s="1655"/>
      <c r="DJ696" s="1655"/>
      <c r="DK696" s="1655"/>
      <c r="DL696" s="1655"/>
      <c r="DM696" s="1655"/>
      <c r="DN696" s="1655"/>
      <c r="DO696" s="1655"/>
      <c r="DP696" s="1655"/>
      <c r="DQ696" s="1655"/>
      <c r="DR696" s="1655"/>
      <c r="DS696" s="1655"/>
      <c r="DT696" s="1655"/>
      <c r="DU696" s="1655"/>
      <c r="DV696" s="1655"/>
      <c r="DW696" s="1655"/>
      <c r="DX696" s="1655"/>
      <c r="DY696" s="1655"/>
      <c r="DZ696" s="1655"/>
      <c r="EA696" s="1655"/>
      <c r="EB696" s="1655"/>
      <c r="EC696" s="1655"/>
      <c r="ED696" s="1655"/>
      <c r="EE696" s="1655"/>
      <c r="EF696" s="1655"/>
      <c r="EG696" s="1655"/>
      <c r="EH696" s="1655"/>
      <c r="EI696" s="1655"/>
      <c r="EJ696" s="1655"/>
      <c r="EK696" s="1655"/>
      <c r="EL696" s="1655"/>
      <c r="EM696" s="1655"/>
      <c r="EN696" s="1655"/>
      <c r="EO696" s="1655"/>
      <c r="EP696" s="1655"/>
      <c r="EQ696" s="1655"/>
      <c r="ER696" s="1655"/>
      <c r="ES696" s="1655"/>
      <c r="ET696" s="1655"/>
      <c r="EU696" s="1655"/>
      <c r="EV696" s="1655"/>
      <c r="EW696" s="1655"/>
      <c r="EX696" s="1655"/>
      <c r="EY696" s="1655"/>
      <c r="EZ696" s="1655"/>
      <c r="FA696" s="1655"/>
      <c r="FB696" s="1655"/>
      <c r="FC696" s="1655"/>
      <c r="FD696" s="1655"/>
      <c r="FE696" s="1655"/>
      <c r="FF696" s="1655"/>
      <c r="FG696" s="1655"/>
      <c r="FH696" s="1655"/>
      <c r="FI696" s="1655"/>
    </row>
    <row r="697" spans="1:165">
      <c r="A697" s="1655"/>
      <c r="B697" s="1655"/>
      <c r="C697" s="1655"/>
      <c r="D697" s="1655"/>
      <c r="E697" s="1655"/>
      <c r="F697" s="1655"/>
      <c r="G697" s="1655"/>
      <c r="H697" s="1655"/>
      <c r="I697" s="1655"/>
      <c r="J697" s="1655"/>
      <c r="K697" s="1655"/>
      <c r="L697" s="1655"/>
      <c r="M697" s="1655"/>
      <c r="N697" s="1655"/>
      <c r="O697" s="1655"/>
      <c r="P697" s="1655"/>
      <c r="Q697" s="1655"/>
      <c r="R697" s="1655"/>
      <c r="S697" s="1655"/>
      <c r="T697" s="1655"/>
      <c r="U697" s="1655"/>
      <c r="V697" s="1655"/>
      <c r="W697" s="1655"/>
      <c r="X697" s="1655"/>
      <c r="Y697" s="1655"/>
      <c r="Z697" s="1655"/>
      <c r="AA697" s="1655"/>
      <c r="AB697" s="1655"/>
      <c r="AC697" s="1655"/>
      <c r="AD697" s="1655"/>
      <c r="AE697" s="1655"/>
      <c r="AF697" s="1655"/>
      <c r="AG697" s="1655"/>
      <c r="AH697" s="1655"/>
      <c r="AI697" s="1655"/>
      <c r="AJ697" s="1655"/>
      <c r="AK697" s="1655"/>
      <c r="AL697" s="1655"/>
      <c r="AM697" s="1655"/>
      <c r="AN697" s="1655"/>
      <c r="AO697" s="1655"/>
      <c r="AP697" s="1655"/>
      <c r="AQ697" s="1655"/>
      <c r="AR697" s="1655"/>
      <c r="AS697" s="1655"/>
      <c r="AT697" s="1655"/>
      <c r="AU697" s="1655"/>
      <c r="AV697" s="1655"/>
      <c r="AW697" s="1655"/>
      <c r="AX697" s="1655"/>
      <c r="AY697" s="1655"/>
      <c r="AZ697" s="1655"/>
      <c r="BA697" s="1655"/>
      <c r="BB697" s="1655"/>
      <c r="BC697" s="1655"/>
      <c r="BD697" s="1655"/>
      <c r="BE697" s="1655"/>
      <c r="BF697" s="1655"/>
      <c r="BG697" s="1655"/>
      <c r="BH697" s="1655"/>
      <c r="BI697" s="1655"/>
      <c r="BJ697" s="1655"/>
      <c r="BK697" s="1655"/>
      <c r="BL697" s="1655"/>
      <c r="BM697" s="1655"/>
      <c r="BN697" s="1655"/>
      <c r="BO697" s="1655"/>
      <c r="BP697" s="1655"/>
      <c r="BQ697" s="1655"/>
      <c r="BR697" s="1655"/>
      <c r="BS697" s="1655"/>
      <c r="BT697" s="1655"/>
      <c r="BU697" s="1655"/>
      <c r="BV697" s="1655"/>
      <c r="BW697" s="1655"/>
      <c r="BX697" s="1655"/>
      <c r="BY697" s="1655"/>
      <c r="BZ697" s="1655"/>
      <c r="CA697" s="1655"/>
      <c r="CB697" s="1655"/>
      <c r="CC697" s="1655"/>
      <c r="CD697" s="1655"/>
      <c r="CE697" s="1655"/>
      <c r="CF697" s="1655"/>
      <c r="CG697" s="1655"/>
      <c r="CH697" s="1655"/>
      <c r="CI697" s="1655"/>
      <c r="CJ697" s="1655"/>
      <c r="CK697" s="1655"/>
      <c r="CL697" s="1655"/>
      <c r="CM697" s="1655"/>
      <c r="CN697" s="1655"/>
      <c r="CO697" s="1655"/>
      <c r="CP697" s="1655"/>
      <c r="CQ697" s="1655"/>
      <c r="CR697" s="1655"/>
      <c r="CS697" s="1655"/>
      <c r="CT697" s="1655"/>
      <c r="CU697" s="1655"/>
      <c r="CV697" s="1655"/>
      <c r="CW697" s="1655"/>
      <c r="CX697" s="1655"/>
      <c r="CY697" s="1655"/>
      <c r="CZ697" s="1655"/>
      <c r="DA697" s="1655"/>
      <c r="DB697" s="1655"/>
      <c r="DC697" s="1655"/>
      <c r="DD697" s="1655"/>
      <c r="DE697" s="1655"/>
      <c r="DF697" s="1655"/>
      <c r="DG697" s="1655"/>
      <c r="DH697" s="1655"/>
      <c r="DI697" s="1655"/>
      <c r="DJ697" s="1655"/>
      <c r="DK697" s="1655"/>
      <c r="DL697" s="1655"/>
      <c r="DM697" s="1655"/>
      <c r="DN697" s="1655"/>
      <c r="DO697" s="1655"/>
      <c r="DP697" s="1655"/>
      <c r="DQ697" s="1655"/>
      <c r="DR697" s="1655"/>
      <c r="DS697" s="1655"/>
      <c r="DT697" s="1655"/>
      <c r="DU697" s="1655"/>
      <c r="DV697" s="1655"/>
      <c r="DW697" s="1655"/>
      <c r="DX697" s="1655"/>
      <c r="DY697" s="1655"/>
      <c r="DZ697" s="1655"/>
      <c r="EA697" s="1655"/>
      <c r="EB697" s="1655"/>
      <c r="EC697" s="1655"/>
      <c r="ED697" s="1655"/>
      <c r="EE697" s="1655"/>
      <c r="EF697" s="1655"/>
      <c r="EG697" s="1655"/>
      <c r="EH697" s="1655"/>
      <c r="EI697" s="1655"/>
      <c r="EJ697" s="1655"/>
      <c r="EK697" s="1655"/>
      <c r="EL697" s="1655"/>
      <c r="EM697" s="1655"/>
      <c r="EN697" s="1655"/>
      <c r="EO697" s="1655"/>
      <c r="EP697" s="1655"/>
      <c r="EQ697" s="1655"/>
      <c r="ER697" s="1655"/>
      <c r="ES697" s="1655"/>
      <c r="ET697" s="1655"/>
      <c r="EU697" s="1655"/>
      <c r="EV697" s="1655"/>
      <c r="EW697" s="1655"/>
      <c r="EX697" s="1655"/>
      <c r="EY697" s="1655"/>
      <c r="EZ697" s="1655"/>
      <c r="FA697" s="1655"/>
      <c r="FB697" s="1655"/>
      <c r="FC697" s="1655"/>
      <c r="FD697" s="1655"/>
      <c r="FE697" s="1655"/>
      <c r="FF697" s="1655"/>
      <c r="FG697" s="1655"/>
      <c r="FH697" s="1655"/>
      <c r="FI697" s="1655"/>
    </row>
    <row r="698" spans="1:165">
      <c r="A698" s="1655"/>
      <c r="B698" s="1655"/>
      <c r="C698" s="1655"/>
      <c r="D698" s="1655"/>
      <c r="E698" s="1655"/>
      <c r="F698" s="1655"/>
      <c r="G698" s="1655"/>
      <c r="H698" s="1655"/>
      <c r="I698" s="1655"/>
      <c r="J698" s="1655"/>
      <c r="K698" s="1655"/>
      <c r="L698" s="1655"/>
      <c r="M698" s="1655"/>
      <c r="N698" s="1655"/>
      <c r="O698" s="1655"/>
      <c r="P698" s="1655"/>
      <c r="Q698" s="1655"/>
      <c r="R698" s="1655"/>
      <c r="S698" s="1655"/>
      <c r="T698" s="1655"/>
      <c r="U698" s="1655"/>
      <c r="V698" s="1655"/>
      <c r="W698" s="1655"/>
      <c r="X698" s="1655"/>
      <c r="Y698" s="1655"/>
      <c r="Z698" s="1655"/>
      <c r="AA698" s="1655"/>
      <c r="AB698" s="1655"/>
      <c r="AC698" s="1655"/>
      <c r="AD698" s="1655"/>
      <c r="AE698" s="1655"/>
      <c r="AF698" s="1655"/>
      <c r="AG698" s="1655"/>
      <c r="AH698" s="1655"/>
      <c r="AI698" s="1655"/>
      <c r="AJ698" s="1655"/>
      <c r="AK698" s="1655"/>
      <c r="AL698" s="1655"/>
      <c r="AM698" s="1655"/>
      <c r="AN698" s="1655"/>
      <c r="AO698" s="1655"/>
      <c r="AP698" s="1655"/>
      <c r="AQ698" s="1655"/>
      <c r="AR698" s="1655"/>
      <c r="AS698" s="1655"/>
      <c r="AT698" s="1655"/>
      <c r="AU698" s="1655"/>
      <c r="AV698" s="1655"/>
      <c r="AW698" s="1655"/>
      <c r="AX698" s="1655"/>
      <c r="AY698" s="1655"/>
      <c r="AZ698" s="1655"/>
      <c r="BA698" s="1655"/>
      <c r="BB698" s="1655"/>
      <c r="BC698" s="1655"/>
      <c r="BD698" s="1655"/>
      <c r="BE698" s="1655"/>
      <c r="BF698" s="1655"/>
      <c r="BG698" s="1655"/>
      <c r="BH698" s="1655"/>
      <c r="BI698" s="1655"/>
      <c r="BJ698" s="1655"/>
      <c r="BK698" s="1655"/>
      <c r="BL698" s="1655"/>
      <c r="BM698" s="1655"/>
      <c r="BN698" s="1655"/>
      <c r="BO698" s="1655"/>
      <c r="BP698" s="1655"/>
      <c r="BQ698" s="1655"/>
      <c r="BR698" s="1655"/>
      <c r="BS698" s="1655"/>
      <c r="BT698" s="1655"/>
      <c r="BU698" s="1655"/>
      <c r="BV698" s="1655"/>
      <c r="BW698" s="1655"/>
      <c r="BX698" s="1655"/>
      <c r="BY698" s="1655"/>
      <c r="BZ698" s="1655"/>
      <c r="CA698" s="1655"/>
      <c r="CB698" s="1655"/>
      <c r="CC698" s="1655"/>
      <c r="CD698" s="1655"/>
      <c r="CE698" s="1655"/>
      <c r="CF698" s="1655"/>
      <c r="CG698" s="1655"/>
      <c r="CH698" s="1655"/>
      <c r="CI698" s="1655"/>
      <c r="CJ698" s="1655"/>
      <c r="CK698" s="1655"/>
      <c r="CL698" s="1655"/>
      <c r="CM698" s="1655"/>
      <c r="CN698" s="1655"/>
      <c r="CO698" s="1655"/>
      <c r="CP698" s="1655"/>
      <c r="CQ698" s="1655"/>
      <c r="CR698" s="1655"/>
      <c r="CS698" s="1655"/>
      <c r="CT698" s="1655"/>
      <c r="CU698" s="1655"/>
      <c r="CV698" s="1655"/>
      <c r="CW698" s="1655"/>
      <c r="CX698" s="1655"/>
      <c r="CY698" s="1655"/>
      <c r="CZ698" s="1655"/>
      <c r="DA698" s="1655"/>
      <c r="DB698" s="1655"/>
      <c r="DC698" s="1655"/>
      <c r="DD698" s="1655"/>
      <c r="DE698" s="1655"/>
      <c r="DF698" s="1655"/>
      <c r="DG698" s="1655"/>
      <c r="DH698" s="1655"/>
      <c r="DI698" s="1655"/>
      <c r="DJ698" s="1655"/>
      <c r="DK698" s="1655"/>
      <c r="DL698" s="1655"/>
      <c r="DM698" s="1655"/>
      <c r="DN698" s="1655"/>
      <c r="DO698" s="1655"/>
      <c r="DP698" s="1655"/>
      <c r="DQ698" s="1655"/>
      <c r="DR698" s="1655"/>
      <c r="DS698" s="1655"/>
      <c r="DT698" s="1655"/>
      <c r="DU698" s="1655"/>
      <c r="DV698" s="1655"/>
      <c r="DW698" s="1655"/>
      <c r="DX698" s="1655"/>
      <c r="DY698" s="1655"/>
      <c r="DZ698" s="1655"/>
      <c r="EA698" s="1655"/>
      <c r="EB698" s="1655"/>
      <c r="EC698" s="1655"/>
      <c r="ED698" s="1655"/>
      <c r="EE698" s="1655"/>
      <c r="EF698" s="1655"/>
      <c r="EG698" s="1655"/>
      <c r="EH698" s="1655"/>
      <c r="EI698" s="1655"/>
      <c r="EJ698" s="1655"/>
      <c r="EK698" s="1655"/>
      <c r="EL698" s="1655"/>
      <c r="EM698" s="1655"/>
      <c r="EN698" s="1655"/>
      <c r="EO698" s="1655"/>
      <c r="EP698" s="1655"/>
      <c r="EQ698" s="1655"/>
      <c r="ER698" s="1655"/>
      <c r="ES698" s="1655"/>
      <c r="ET698" s="1655"/>
      <c r="EU698" s="1655"/>
      <c r="EV698" s="1655"/>
      <c r="EW698" s="1655"/>
      <c r="EX698" s="1655"/>
      <c r="EY698" s="1655"/>
      <c r="EZ698" s="1655"/>
      <c r="FA698" s="1655"/>
      <c r="FB698" s="1655"/>
      <c r="FC698" s="1655"/>
      <c r="FD698" s="1655"/>
      <c r="FE698" s="1655"/>
      <c r="FF698" s="1655"/>
      <c r="FG698" s="1655"/>
      <c r="FH698" s="1655"/>
      <c r="FI698" s="1655"/>
    </row>
    <row r="699" spans="1:165">
      <c r="A699" s="1655"/>
      <c r="B699" s="1655"/>
      <c r="C699" s="1655"/>
      <c r="D699" s="1655"/>
      <c r="E699" s="1655"/>
      <c r="F699" s="1655"/>
      <c r="G699" s="1655"/>
      <c r="H699" s="1655"/>
      <c r="I699" s="1655"/>
      <c r="J699" s="1655"/>
      <c r="K699" s="1655"/>
      <c r="L699" s="1655"/>
      <c r="M699" s="1655"/>
      <c r="N699" s="1655"/>
      <c r="O699" s="1655"/>
      <c r="P699" s="1655"/>
      <c r="Q699" s="1655"/>
      <c r="R699" s="1655"/>
      <c r="S699" s="1655"/>
      <c r="T699" s="1655"/>
      <c r="U699" s="1655"/>
      <c r="V699" s="1655"/>
      <c r="W699" s="1655"/>
      <c r="X699" s="1655"/>
      <c r="Y699" s="1655"/>
      <c r="Z699" s="1655"/>
      <c r="AA699" s="1655"/>
      <c r="AB699" s="1655"/>
      <c r="AC699" s="1655"/>
      <c r="AD699" s="1655"/>
      <c r="AE699" s="1655"/>
      <c r="AF699" s="1655"/>
      <c r="AG699" s="1655"/>
      <c r="AH699" s="1655"/>
      <c r="AI699" s="1655"/>
      <c r="AJ699" s="1655"/>
      <c r="AK699" s="1655"/>
      <c r="AL699" s="1655"/>
      <c r="AM699" s="1655"/>
      <c r="AN699" s="1655"/>
      <c r="AO699" s="1655"/>
      <c r="AP699" s="1655"/>
      <c r="AQ699" s="1655"/>
      <c r="AR699" s="1655"/>
      <c r="AS699" s="1655"/>
      <c r="AT699" s="1655"/>
      <c r="AU699" s="1655"/>
      <c r="AV699" s="1655"/>
      <c r="AW699" s="1655"/>
      <c r="AX699" s="1655"/>
      <c r="AY699" s="1655"/>
      <c r="AZ699" s="1655"/>
      <c r="BA699" s="1655"/>
      <c r="BB699" s="1655"/>
      <c r="BC699" s="1655"/>
      <c r="BD699" s="1655"/>
      <c r="BE699" s="1655"/>
      <c r="BF699" s="1655"/>
      <c r="BG699" s="1655"/>
      <c r="BH699" s="1655"/>
      <c r="BI699" s="1655"/>
      <c r="BJ699" s="1655"/>
      <c r="BK699" s="1655"/>
      <c r="BL699" s="1655"/>
      <c r="BM699" s="1655"/>
      <c r="BN699" s="1655"/>
      <c r="BO699" s="1655"/>
      <c r="BP699" s="1655"/>
      <c r="BQ699" s="1655"/>
      <c r="BR699" s="1655"/>
      <c r="BS699" s="1655"/>
      <c r="BT699" s="1655"/>
      <c r="BU699" s="1655"/>
      <c r="BV699" s="1655"/>
      <c r="BW699" s="1655"/>
      <c r="BX699" s="1655"/>
      <c r="BY699" s="1655"/>
      <c r="BZ699" s="1655"/>
      <c r="CA699" s="1655"/>
      <c r="CB699" s="1655"/>
      <c r="CC699" s="1655"/>
      <c r="CD699" s="1655"/>
      <c r="CE699" s="1655"/>
      <c r="CF699" s="1655"/>
      <c r="CG699" s="1655"/>
      <c r="CH699" s="1655"/>
      <c r="CI699" s="1655"/>
      <c r="CJ699" s="1655"/>
      <c r="CK699" s="1655"/>
      <c r="CL699" s="1655"/>
      <c r="CM699" s="1655"/>
      <c r="CN699" s="1655"/>
      <c r="CO699" s="1655"/>
      <c r="CP699" s="1655"/>
      <c r="CQ699" s="1655"/>
      <c r="CR699" s="1655"/>
      <c r="CS699" s="1655"/>
      <c r="CT699" s="1655"/>
      <c r="CU699" s="1655"/>
      <c r="CV699" s="1655"/>
      <c r="CW699" s="1655"/>
      <c r="CX699" s="1655"/>
      <c r="CY699" s="1655"/>
      <c r="CZ699" s="1655"/>
      <c r="DA699" s="1655"/>
      <c r="DB699" s="1655"/>
      <c r="DC699" s="1655"/>
      <c r="DD699" s="1655"/>
      <c r="DE699" s="1655"/>
      <c r="DF699" s="1655"/>
      <c r="DG699" s="1655"/>
      <c r="DH699" s="1655"/>
      <c r="DI699" s="1655"/>
      <c r="DJ699" s="1655"/>
      <c r="DK699" s="1655"/>
      <c r="DL699" s="1655"/>
      <c r="DM699" s="1655"/>
      <c r="DN699" s="1655"/>
      <c r="DO699" s="1655"/>
      <c r="DP699" s="1655"/>
      <c r="DQ699" s="1655"/>
      <c r="DR699" s="1655"/>
      <c r="DS699" s="1655"/>
      <c r="DT699" s="1655"/>
      <c r="DU699" s="1655"/>
      <c r="DV699" s="1655"/>
      <c r="DW699" s="1655"/>
      <c r="DX699" s="1655"/>
      <c r="DY699" s="1655"/>
      <c r="DZ699" s="1655"/>
      <c r="EA699" s="1655"/>
      <c r="EB699" s="1655"/>
      <c r="EC699" s="1655"/>
      <c r="ED699" s="1655"/>
      <c r="EE699" s="1655"/>
      <c r="EF699" s="1655"/>
      <c r="EG699" s="1655"/>
      <c r="EH699" s="1655"/>
      <c r="EI699" s="1655"/>
      <c r="EJ699" s="1655"/>
      <c r="EK699" s="1655"/>
      <c r="EL699" s="1655"/>
      <c r="EM699" s="1655"/>
      <c r="EN699" s="1655"/>
      <c r="EO699" s="1655"/>
      <c r="EP699" s="1655"/>
      <c r="EQ699" s="1655"/>
      <c r="ER699" s="1655"/>
      <c r="ES699" s="1655"/>
      <c r="ET699" s="1655"/>
      <c r="EU699" s="1655"/>
      <c r="EV699" s="1655"/>
      <c r="EW699" s="1655"/>
      <c r="EX699" s="1655"/>
      <c r="EY699" s="1655"/>
      <c r="EZ699" s="1655"/>
      <c r="FA699" s="1655"/>
      <c r="FB699" s="1655"/>
      <c r="FC699" s="1655"/>
      <c r="FD699" s="1655"/>
      <c r="FE699" s="1655"/>
      <c r="FF699" s="1655"/>
      <c r="FG699" s="1655"/>
      <c r="FH699" s="1655"/>
      <c r="FI699" s="1655"/>
    </row>
    <row r="700" spans="1:165">
      <c r="A700" s="1655"/>
      <c r="B700" s="1655"/>
      <c r="C700" s="1655"/>
      <c r="D700" s="1655"/>
      <c r="E700" s="1655"/>
      <c r="F700" s="1655"/>
      <c r="G700" s="1655"/>
      <c r="H700" s="1655"/>
      <c r="I700" s="1655"/>
      <c r="J700" s="1655"/>
      <c r="K700" s="1655"/>
      <c r="L700" s="1655"/>
      <c r="M700" s="1655"/>
      <c r="N700" s="1655"/>
      <c r="O700" s="1655"/>
      <c r="P700" s="1655"/>
      <c r="Q700" s="1655"/>
      <c r="R700" s="1655"/>
      <c r="S700" s="1655"/>
      <c r="T700" s="1655"/>
      <c r="U700" s="1655"/>
      <c r="V700" s="1655"/>
      <c r="W700" s="1655"/>
      <c r="X700" s="1655"/>
      <c r="Y700" s="1655"/>
      <c r="Z700" s="1655"/>
      <c r="AA700" s="1655"/>
      <c r="AB700" s="1655"/>
      <c r="AC700" s="1655"/>
      <c r="AD700" s="1655"/>
      <c r="AE700" s="1655"/>
      <c r="AF700" s="1655"/>
      <c r="AG700" s="1655"/>
      <c r="AH700" s="1655"/>
      <c r="AI700" s="1655"/>
      <c r="AJ700" s="1655"/>
      <c r="AK700" s="1655"/>
      <c r="AL700" s="1655"/>
      <c r="AM700" s="1655"/>
      <c r="AN700" s="1655"/>
      <c r="AO700" s="1655"/>
      <c r="AP700" s="1655"/>
      <c r="AQ700" s="1655"/>
      <c r="AR700" s="1655"/>
      <c r="AS700" s="1655"/>
      <c r="AT700" s="1655"/>
      <c r="AU700" s="1655"/>
      <c r="AV700" s="1655"/>
      <c r="AW700" s="1655"/>
      <c r="AX700" s="1655"/>
      <c r="AY700" s="1655"/>
      <c r="AZ700" s="1655"/>
      <c r="BA700" s="1655"/>
      <c r="BB700" s="1655"/>
      <c r="BC700" s="1655"/>
      <c r="BD700" s="1655"/>
      <c r="BE700" s="1655"/>
      <c r="BF700" s="1655"/>
      <c r="BG700" s="1655"/>
      <c r="BH700" s="1655"/>
      <c r="BI700" s="1655"/>
      <c r="BJ700" s="1655"/>
      <c r="BK700" s="1655"/>
      <c r="BL700" s="1655"/>
      <c r="BM700" s="1655"/>
      <c r="BN700" s="1655"/>
      <c r="BO700" s="1655"/>
      <c r="BP700" s="1655"/>
      <c r="BQ700" s="1655"/>
      <c r="BR700" s="1655"/>
      <c r="BS700" s="1655"/>
      <c r="BT700" s="1655"/>
      <c r="BU700" s="1655"/>
      <c r="BV700" s="1655"/>
      <c r="BW700" s="1655"/>
      <c r="BX700" s="1655"/>
      <c r="BY700" s="1655"/>
      <c r="BZ700" s="1655"/>
      <c r="CA700" s="1655"/>
      <c r="CB700" s="1655"/>
      <c r="CC700" s="1655"/>
      <c r="CD700" s="1655"/>
      <c r="CE700" s="1655"/>
      <c r="CF700" s="1655"/>
      <c r="CG700" s="1655"/>
      <c r="CH700" s="1655"/>
      <c r="CI700" s="1655"/>
      <c r="CJ700" s="1655"/>
      <c r="CK700" s="1655"/>
      <c r="CL700" s="1655"/>
      <c r="CM700" s="1655"/>
      <c r="CN700" s="1655"/>
      <c r="CO700" s="1655"/>
      <c r="CP700" s="1655"/>
      <c r="CQ700" s="1655"/>
      <c r="CR700" s="1655"/>
      <c r="CS700" s="1655"/>
      <c r="CT700" s="1655"/>
      <c r="CU700" s="1655"/>
      <c r="CV700" s="1655"/>
      <c r="CW700" s="1655"/>
      <c r="CX700" s="1655"/>
      <c r="CY700" s="1655"/>
      <c r="CZ700" s="1655"/>
      <c r="DA700" s="1655"/>
      <c r="DB700" s="1655"/>
      <c r="DC700" s="1655"/>
      <c r="DD700" s="1655"/>
      <c r="DE700" s="1655"/>
      <c r="DF700" s="1655"/>
      <c r="DG700" s="1655"/>
      <c r="DH700" s="1655"/>
      <c r="DI700" s="1655"/>
      <c r="DJ700" s="1655"/>
      <c r="DK700" s="1655"/>
      <c r="DL700" s="1655"/>
      <c r="DM700" s="1655"/>
      <c r="DN700" s="1655"/>
      <c r="DO700" s="1655"/>
      <c r="DP700" s="1655"/>
      <c r="DQ700" s="1655"/>
      <c r="DR700" s="1655"/>
      <c r="DS700" s="1655"/>
      <c r="DT700" s="1655"/>
      <c r="DU700" s="1655"/>
      <c r="DV700" s="1655"/>
      <c r="DW700" s="1655"/>
      <c r="DX700" s="1655"/>
      <c r="DY700" s="1655"/>
      <c r="DZ700" s="1655"/>
      <c r="EA700" s="1655"/>
      <c r="EB700" s="1655"/>
      <c r="EC700" s="1655"/>
      <c r="ED700" s="1655"/>
      <c r="EE700" s="1655"/>
      <c r="EF700" s="1655"/>
      <c r="EG700" s="1655"/>
      <c r="EH700" s="1655"/>
      <c r="EI700" s="1655"/>
      <c r="EJ700" s="1655"/>
      <c r="EK700" s="1655"/>
      <c r="EL700" s="1655"/>
      <c r="EM700" s="1655"/>
      <c r="EN700" s="1655"/>
      <c r="EO700" s="1655"/>
      <c r="EP700" s="1655"/>
      <c r="EQ700" s="1655"/>
      <c r="ER700" s="1655"/>
      <c r="ES700" s="1655"/>
      <c r="ET700" s="1655"/>
      <c r="EU700" s="1655"/>
      <c r="EV700" s="1655"/>
      <c r="EW700" s="1655"/>
      <c r="EX700" s="1655"/>
      <c r="EY700" s="1655"/>
      <c r="EZ700" s="1655"/>
      <c r="FA700" s="1655"/>
      <c r="FB700" s="1655"/>
      <c r="FC700" s="1655"/>
      <c r="FD700" s="1655"/>
      <c r="FE700" s="1655"/>
      <c r="FF700" s="1655"/>
      <c r="FG700" s="1655"/>
      <c r="FH700" s="1655"/>
      <c r="FI700" s="1655"/>
    </row>
    <row r="701" spans="1:165">
      <c r="A701" s="1655"/>
      <c r="B701" s="1655"/>
      <c r="C701" s="1655"/>
      <c r="D701" s="1655"/>
      <c r="E701" s="1655"/>
      <c r="F701" s="1655"/>
      <c r="G701" s="1655"/>
      <c r="H701" s="1655"/>
      <c r="I701" s="1655"/>
      <c r="J701" s="1655"/>
      <c r="K701" s="1655"/>
      <c r="L701" s="1655"/>
      <c r="M701" s="1655"/>
      <c r="N701" s="1655"/>
      <c r="O701" s="1655"/>
      <c r="P701" s="1655"/>
      <c r="Q701" s="1655"/>
      <c r="R701" s="1655"/>
      <c r="S701" s="1655"/>
      <c r="T701" s="1655"/>
      <c r="U701" s="1655"/>
      <c r="V701" s="1655"/>
      <c r="W701" s="1655"/>
      <c r="X701" s="1655"/>
      <c r="Y701" s="1655"/>
      <c r="Z701" s="1655"/>
      <c r="AA701" s="1655"/>
      <c r="AB701" s="1655"/>
      <c r="AC701" s="1655"/>
      <c r="AD701" s="1655"/>
      <c r="AE701" s="1655"/>
      <c r="AF701" s="1655"/>
      <c r="AG701" s="1655"/>
      <c r="AH701" s="1655"/>
      <c r="AI701" s="1655"/>
      <c r="AJ701" s="1655"/>
      <c r="AK701" s="1655"/>
      <c r="AL701" s="1655"/>
      <c r="AM701" s="1655"/>
      <c r="AN701" s="1655"/>
      <c r="AO701" s="1655"/>
      <c r="AP701" s="1655"/>
      <c r="AQ701" s="1655"/>
      <c r="AR701" s="1655"/>
      <c r="AS701" s="1655"/>
      <c r="AT701" s="1655"/>
      <c r="AU701" s="1655"/>
      <c r="AV701" s="1655"/>
      <c r="AW701" s="1655"/>
      <c r="AX701" s="1655"/>
      <c r="AY701" s="1655"/>
      <c r="AZ701" s="1655"/>
      <c r="BA701" s="1655"/>
      <c r="BB701" s="1655"/>
      <c r="BC701" s="1655"/>
      <c r="BD701" s="1655"/>
      <c r="BE701" s="1655"/>
      <c r="BF701" s="1655"/>
      <c r="BG701" s="1655"/>
      <c r="BH701" s="1655"/>
      <c r="BI701" s="1655"/>
      <c r="BJ701" s="1655"/>
      <c r="BK701" s="1655"/>
      <c r="BL701" s="1655"/>
      <c r="BM701" s="1655"/>
      <c r="BN701" s="1655"/>
      <c r="BO701" s="1655"/>
      <c r="BP701" s="1655"/>
      <c r="BQ701" s="1655"/>
      <c r="BR701" s="1655"/>
      <c r="BS701" s="1655"/>
      <c r="BT701" s="1655"/>
      <c r="BU701" s="1655"/>
      <c r="BV701" s="1655"/>
      <c r="BW701" s="1655"/>
      <c r="BX701" s="1655"/>
      <c r="BY701" s="1655"/>
      <c r="BZ701" s="1655"/>
      <c r="CA701" s="1655"/>
      <c r="CB701" s="1655"/>
      <c r="CC701" s="1655"/>
      <c r="CD701" s="1655"/>
      <c r="CE701" s="1655"/>
      <c r="CF701" s="1655"/>
      <c r="CG701" s="1655"/>
      <c r="CH701" s="1655"/>
      <c r="CI701" s="1655"/>
      <c r="CJ701" s="1655"/>
      <c r="CK701" s="1655"/>
      <c r="CL701" s="1655"/>
      <c r="CM701" s="1655"/>
      <c r="CN701" s="1655"/>
      <c r="CO701" s="1655"/>
      <c r="CP701" s="1655"/>
      <c r="CQ701" s="1655"/>
      <c r="CR701" s="1655"/>
      <c r="CS701" s="1655"/>
      <c r="CT701" s="1655"/>
      <c r="CU701" s="1655"/>
      <c r="CV701" s="1655"/>
      <c r="CW701" s="1655"/>
      <c r="CX701" s="1655"/>
      <c r="CY701" s="1655"/>
      <c r="CZ701" s="1655"/>
      <c r="DA701" s="1655"/>
      <c r="DB701" s="1655"/>
      <c r="DC701" s="1655"/>
      <c r="DD701" s="1655"/>
      <c r="DE701" s="1655"/>
      <c r="DF701" s="1655"/>
      <c r="DG701" s="1655"/>
      <c r="DH701" s="1655"/>
      <c r="DI701" s="1655"/>
      <c r="DJ701" s="1655"/>
      <c r="DK701" s="1655"/>
      <c r="DL701" s="1655"/>
      <c r="DM701" s="1655"/>
      <c r="DN701" s="1655"/>
      <c r="DO701" s="1655"/>
      <c r="DP701" s="1655"/>
      <c r="DQ701" s="1655"/>
      <c r="DR701" s="1655"/>
      <c r="DS701" s="1655"/>
      <c r="DT701" s="1655"/>
      <c r="DU701" s="1655"/>
      <c r="DV701" s="1655"/>
      <c r="DW701" s="1655"/>
      <c r="DX701" s="1655"/>
      <c r="DY701" s="1655"/>
      <c r="DZ701" s="1655"/>
      <c r="EA701" s="1655"/>
      <c r="EB701" s="1655"/>
      <c r="EC701" s="1655"/>
      <c r="ED701" s="1655"/>
      <c r="EE701" s="1655"/>
      <c r="EF701" s="1655"/>
      <c r="EG701" s="1655"/>
      <c r="EH701" s="1655"/>
      <c r="EI701" s="1655"/>
      <c r="EJ701" s="1655"/>
      <c r="EK701" s="1655"/>
      <c r="EL701" s="1655"/>
      <c r="EM701" s="1655"/>
      <c r="EN701" s="1655"/>
      <c r="EO701" s="1655"/>
      <c r="EP701" s="1655"/>
      <c r="EQ701" s="1655"/>
      <c r="ER701" s="1655"/>
      <c r="ES701" s="1655"/>
      <c r="ET701" s="1655"/>
      <c r="EU701" s="1655"/>
      <c r="EV701" s="1655"/>
      <c r="EW701" s="1655"/>
      <c r="EX701" s="1655"/>
      <c r="EY701" s="1655"/>
      <c r="EZ701" s="1655"/>
      <c r="FA701" s="1655"/>
      <c r="FB701" s="1655"/>
      <c r="FC701" s="1655"/>
      <c r="FD701" s="1655"/>
      <c r="FE701" s="1655"/>
      <c r="FF701" s="1655"/>
      <c r="FG701" s="1655"/>
      <c r="FH701" s="1655"/>
      <c r="FI701" s="1655"/>
    </row>
    <row r="702" spans="1:165">
      <c r="A702" s="1655"/>
      <c r="B702" s="1655"/>
      <c r="C702" s="1655"/>
      <c r="D702" s="1655"/>
      <c r="E702" s="1655"/>
      <c r="F702" s="1655"/>
      <c r="G702" s="1655"/>
      <c r="H702" s="1655"/>
      <c r="I702" s="1655"/>
      <c r="J702" s="1655"/>
      <c r="K702" s="1655"/>
      <c r="L702" s="1655"/>
      <c r="M702" s="1655"/>
      <c r="N702" s="1655"/>
      <c r="O702" s="1655"/>
      <c r="P702" s="1655"/>
      <c r="Q702" s="1655"/>
      <c r="R702" s="1655"/>
      <c r="S702" s="1655"/>
      <c r="T702" s="1655"/>
      <c r="U702" s="1655"/>
      <c r="V702" s="1655"/>
      <c r="W702" s="1655"/>
      <c r="X702" s="1655"/>
      <c r="Y702" s="1655"/>
      <c r="Z702" s="1655"/>
      <c r="AA702" s="1655"/>
      <c r="AB702" s="1655"/>
      <c r="AC702" s="1655"/>
      <c r="AD702" s="1655"/>
      <c r="AE702" s="1655"/>
      <c r="AF702" s="1655"/>
      <c r="AG702" s="1655"/>
      <c r="AH702" s="1655"/>
      <c r="AI702" s="1655"/>
      <c r="AJ702" s="1655"/>
      <c r="AK702" s="1655"/>
      <c r="AL702" s="1655"/>
      <c r="AM702" s="1655"/>
      <c r="AN702" s="1655"/>
      <c r="AO702" s="1655"/>
      <c r="AP702" s="1655"/>
      <c r="AQ702" s="1655"/>
      <c r="AR702" s="1655"/>
      <c r="AS702" s="1655"/>
      <c r="AT702" s="1655"/>
      <c r="AU702" s="1655"/>
      <c r="AV702" s="1655"/>
      <c r="AW702" s="1655"/>
      <c r="AX702" s="1655"/>
      <c r="AY702" s="1655"/>
      <c r="AZ702" s="1655"/>
      <c r="BA702" s="1655"/>
      <c r="BB702" s="1655"/>
      <c r="BC702" s="1655"/>
      <c r="BD702" s="1655"/>
      <c r="BE702" s="1655"/>
      <c r="BF702" s="1655"/>
      <c r="BG702" s="1655"/>
      <c r="BH702" s="1655"/>
      <c r="BI702" s="1655"/>
      <c r="BJ702" s="1655"/>
      <c r="BK702" s="1655"/>
      <c r="BL702" s="1655"/>
      <c r="BM702" s="1655"/>
      <c r="BN702" s="1655"/>
      <c r="BO702" s="1655"/>
      <c r="BP702" s="1655"/>
      <c r="BQ702" s="1655"/>
      <c r="BR702" s="1655"/>
      <c r="BS702" s="1655"/>
      <c r="BT702" s="1655"/>
      <c r="BU702" s="1655"/>
      <c r="BV702" s="1655"/>
      <c r="BW702" s="1655"/>
      <c r="BX702" s="1655"/>
      <c r="BY702" s="1655"/>
      <c r="BZ702" s="1655"/>
      <c r="CA702" s="1655"/>
      <c r="CB702" s="1655"/>
      <c r="CC702" s="1655"/>
      <c r="CD702" s="1655"/>
      <c r="CE702" s="1655"/>
      <c r="CF702" s="1655"/>
      <c r="CG702" s="1655"/>
      <c r="CH702" s="1655"/>
      <c r="CI702" s="1655"/>
      <c r="CJ702" s="1655"/>
      <c r="CK702" s="1655"/>
      <c r="CL702" s="1655"/>
      <c r="CM702" s="1655"/>
      <c r="CN702" s="1655"/>
      <c r="CO702" s="1655"/>
      <c r="CP702" s="1655"/>
      <c r="CQ702" s="1655"/>
      <c r="CR702" s="1655"/>
      <c r="CS702" s="1655"/>
      <c r="CT702" s="1655"/>
      <c r="CU702" s="1655"/>
      <c r="CV702" s="1655"/>
      <c r="CW702" s="1655"/>
      <c r="CX702" s="1655"/>
      <c r="CY702" s="1655"/>
      <c r="CZ702" s="1655"/>
      <c r="DA702" s="1655"/>
      <c r="DB702" s="1655"/>
      <c r="DC702" s="1655"/>
      <c r="DD702" s="1655"/>
      <c r="DE702" s="1655"/>
      <c r="DF702" s="1655"/>
      <c r="DG702" s="1655"/>
      <c r="DH702" s="1655"/>
      <c r="DI702" s="1655"/>
      <c r="DJ702" s="1655"/>
      <c r="DK702" s="1655"/>
      <c r="DL702" s="1655"/>
      <c r="DM702" s="1655"/>
      <c r="DN702" s="1655"/>
      <c r="DO702" s="1655"/>
      <c r="DP702" s="1655"/>
      <c r="DQ702" s="1655"/>
      <c r="DR702" s="1655"/>
      <c r="DS702" s="1655"/>
      <c r="DT702" s="1655"/>
      <c r="DU702" s="1655"/>
      <c r="DV702" s="1655"/>
      <c r="DW702" s="1655"/>
      <c r="DX702" s="1655"/>
      <c r="DY702" s="1655"/>
      <c r="DZ702" s="1655"/>
      <c r="EA702" s="1655"/>
      <c r="EB702" s="1655"/>
      <c r="EC702" s="1655"/>
      <c r="ED702" s="1655"/>
      <c r="EE702" s="1655"/>
      <c r="EF702" s="1655"/>
      <c r="EG702" s="1655"/>
      <c r="EH702" s="1655"/>
      <c r="EI702" s="1655"/>
      <c r="EJ702" s="1655"/>
      <c r="EK702" s="1655"/>
      <c r="EL702" s="1655"/>
      <c r="EM702" s="1655"/>
      <c r="EN702" s="1655"/>
      <c r="EO702" s="1655"/>
      <c r="EP702" s="1655"/>
      <c r="EQ702" s="1655"/>
      <c r="ER702" s="1655"/>
      <c r="ES702" s="1655"/>
      <c r="ET702" s="1655"/>
      <c r="EU702" s="1655"/>
      <c r="EV702" s="1655"/>
      <c r="EW702" s="1655"/>
      <c r="EX702" s="1655"/>
      <c r="EY702" s="1655"/>
      <c r="EZ702" s="1655"/>
      <c r="FA702" s="1655"/>
      <c r="FB702" s="1655"/>
      <c r="FC702" s="1655"/>
      <c r="FD702" s="1655"/>
      <c r="FE702" s="1655"/>
      <c r="FF702" s="1655"/>
      <c r="FG702" s="1655"/>
      <c r="FH702" s="1655"/>
      <c r="FI702" s="1655"/>
    </row>
    <row r="703" spans="1:165">
      <c r="A703" s="1655"/>
      <c r="B703" s="1655"/>
      <c r="C703" s="1655"/>
      <c r="D703" s="1655"/>
      <c r="E703" s="1655"/>
      <c r="F703" s="1655"/>
      <c r="G703" s="1655"/>
      <c r="H703" s="1655"/>
      <c r="I703" s="1655"/>
      <c r="J703" s="1655"/>
      <c r="K703" s="1655"/>
      <c r="L703" s="1655"/>
      <c r="M703" s="1655"/>
      <c r="N703" s="1655"/>
      <c r="O703" s="1655"/>
      <c r="P703" s="1655"/>
      <c r="Q703" s="1655"/>
      <c r="R703" s="1655"/>
      <c r="S703" s="1655"/>
      <c r="T703" s="1655"/>
      <c r="U703" s="1655"/>
      <c r="V703" s="1655"/>
      <c r="W703" s="1655"/>
      <c r="X703" s="1655"/>
      <c r="Y703" s="1655"/>
      <c r="Z703" s="1655"/>
      <c r="AA703" s="1655"/>
      <c r="AB703" s="1655"/>
      <c r="AC703" s="1655"/>
      <c r="AD703" s="1655"/>
      <c r="AE703" s="1655"/>
      <c r="AF703" s="1655"/>
      <c r="AG703" s="1655"/>
      <c r="AH703" s="1655"/>
      <c r="AI703" s="1655"/>
      <c r="AJ703" s="1655"/>
      <c r="AK703" s="1655"/>
      <c r="AL703" s="1655"/>
      <c r="AM703" s="1655"/>
      <c r="AN703" s="1655"/>
      <c r="AO703" s="1655"/>
      <c r="AP703" s="1655"/>
      <c r="AQ703" s="1655"/>
      <c r="AR703" s="1655"/>
      <c r="AS703" s="1655"/>
      <c r="AT703" s="1655"/>
      <c r="AU703" s="1655"/>
      <c r="AV703" s="1655"/>
      <c r="AW703" s="1655"/>
      <c r="AX703" s="1655"/>
      <c r="AY703" s="1655"/>
      <c r="AZ703" s="1655"/>
      <c r="BA703" s="1655"/>
      <c r="BB703" s="1655"/>
      <c r="BC703" s="1655"/>
      <c r="BD703" s="1655"/>
      <c r="BE703" s="1655"/>
      <c r="BF703" s="1655"/>
      <c r="BG703" s="1655"/>
      <c r="BH703" s="1655"/>
      <c r="BI703" s="1655"/>
      <c r="BJ703" s="1655"/>
      <c r="BK703" s="1655"/>
      <c r="BL703" s="1655"/>
      <c r="BM703" s="1655"/>
      <c r="BN703" s="1655"/>
      <c r="BO703" s="1655"/>
      <c r="BP703" s="1655"/>
      <c r="BQ703" s="1655"/>
      <c r="BR703" s="1655"/>
      <c r="BS703" s="1655"/>
      <c r="BT703" s="1655"/>
      <c r="BU703" s="1655"/>
      <c r="BV703" s="1655"/>
      <c r="BW703" s="1655"/>
      <c r="BX703" s="1655"/>
      <c r="BY703" s="1655"/>
      <c r="BZ703" s="1655"/>
      <c r="CA703" s="1655"/>
      <c r="CB703" s="1655"/>
      <c r="CC703" s="1655"/>
      <c r="CD703" s="1655"/>
      <c r="CE703" s="1655"/>
      <c r="CF703" s="1655"/>
      <c r="CG703" s="1655"/>
      <c r="CH703" s="1655"/>
      <c r="CI703" s="1655"/>
      <c r="CJ703" s="1655"/>
      <c r="CK703" s="1655"/>
      <c r="CL703" s="1655"/>
      <c r="CM703" s="1655"/>
      <c r="CN703" s="1655"/>
      <c r="CO703" s="1655"/>
      <c r="CP703" s="1655"/>
      <c r="CQ703" s="1655"/>
      <c r="CR703" s="1655"/>
      <c r="CS703" s="1655"/>
      <c r="CT703" s="1655"/>
      <c r="CU703" s="1655"/>
      <c r="CV703" s="1655"/>
      <c r="CW703" s="1655"/>
      <c r="CX703" s="1655"/>
      <c r="CY703" s="1655"/>
      <c r="CZ703" s="1655"/>
      <c r="DA703" s="1655"/>
      <c r="DB703" s="1655"/>
      <c r="DC703" s="1655"/>
      <c r="DD703" s="1655"/>
      <c r="DE703" s="1655"/>
      <c r="DF703" s="1655"/>
      <c r="DG703" s="1655"/>
      <c r="DH703" s="1655"/>
      <c r="DI703" s="1655"/>
      <c r="DJ703" s="1655"/>
      <c r="DK703" s="1655"/>
      <c r="DL703" s="1655"/>
      <c r="DM703" s="1655"/>
      <c r="DN703" s="1655"/>
      <c r="DO703" s="1655"/>
      <c r="DP703" s="1655"/>
      <c r="DQ703" s="1655"/>
      <c r="DR703" s="1655"/>
      <c r="DS703" s="1655"/>
      <c r="DT703" s="1655"/>
      <c r="DU703" s="1655"/>
      <c r="DV703" s="1655"/>
      <c r="DW703" s="1655"/>
      <c r="DX703" s="1655"/>
      <c r="DY703" s="1655"/>
      <c r="DZ703" s="1655"/>
      <c r="EA703" s="1655"/>
      <c r="EB703" s="1655"/>
      <c r="EC703" s="1655"/>
      <c r="ED703" s="1655"/>
      <c r="EE703" s="1655"/>
      <c r="EF703" s="1655"/>
      <c r="EG703" s="1655"/>
      <c r="EH703" s="1655"/>
      <c r="EI703" s="1655"/>
      <c r="EJ703" s="1655"/>
      <c r="EK703" s="1655"/>
      <c r="EL703" s="1655"/>
      <c r="EM703" s="1655"/>
      <c r="EN703" s="1655"/>
      <c r="EO703" s="1655"/>
      <c r="EP703" s="1655"/>
      <c r="EQ703" s="1655"/>
      <c r="ER703" s="1655"/>
      <c r="ES703" s="1655"/>
      <c r="ET703" s="1655"/>
      <c r="EU703" s="1655"/>
      <c r="EV703" s="1655"/>
      <c r="EW703" s="1655"/>
      <c r="EX703" s="1655"/>
      <c r="EY703" s="1655"/>
      <c r="EZ703" s="1655"/>
      <c r="FA703" s="1655"/>
      <c r="FB703" s="1655"/>
      <c r="FC703" s="1655"/>
      <c r="FD703" s="1655"/>
      <c r="FE703" s="1655"/>
      <c r="FF703" s="1655"/>
      <c r="FG703" s="1655"/>
      <c r="FH703" s="1655"/>
      <c r="FI703" s="1655"/>
    </row>
    <row r="704" spans="1:165">
      <c r="A704" s="1655"/>
      <c r="B704" s="1655"/>
      <c r="C704" s="1655"/>
      <c r="D704" s="1655"/>
      <c r="E704" s="1655"/>
      <c r="F704" s="1655"/>
      <c r="G704" s="1655"/>
      <c r="H704" s="1655"/>
      <c r="I704" s="1655"/>
      <c r="J704" s="1655"/>
      <c r="K704" s="1655"/>
      <c r="L704" s="1655"/>
      <c r="M704" s="1655"/>
      <c r="N704" s="1655"/>
      <c r="O704" s="1655"/>
      <c r="P704" s="1655"/>
      <c r="Q704" s="1655"/>
      <c r="R704" s="1655"/>
      <c r="S704" s="1655"/>
      <c r="T704" s="1655"/>
      <c r="U704" s="1655"/>
      <c r="V704" s="1655"/>
      <c r="W704" s="1655"/>
      <c r="X704" s="1655"/>
      <c r="Y704" s="1655"/>
      <c r="Z704" s="1655"/>
      <c r="AA704" s="1655"/>
      <c r="AB704" s="1655"/>
      <c r="AC704" s="1655"/>
      <c r="AD704" s="1655"/>
      <c r="AE704" s="1655"/>
      <c r="AF704" s="1655"/>
      <c r="AG704" s="1655"/>
      <c r="AH704" s="1655"/>
      <c r="AI704" s="1655"/>
      <c r="AJ704" s="1655"/>
      <c r="AK704" s="1655"/>
      <c r="AL704" s="1655"/>
      <c r="AM704" s="1655"/>
      <c r="AN704" s="1655"/>
      <c r="AO704" s="1655"/>
      <c r="AP704" s="1655"/>
      <c r="AQ704" s="1655"/>
      <c r="AR704" s="1655"/>
      <c r="AS704" s="1655"/>
      <c r="AT704" s="1655"/>
      <c r="AU704" s="1655"/>
      <c r="AV704" s="1655"/>
      <c r="AW704" s="1655"/>
      <c r="AX704" s="1655"/>
      <c r="AY704" s="1655"/>
      <c r="AZ704" s="1655"/>
      <c r="BA704" s="1655"/>
      <c r="BB704" s="1655"/>
      <c r="BC704" s="1655"/>
      <c r="BD704" s="1655"/>
      <c r="BE704" s="1655"/>
      <c r="BF704" s="1655"/>
      <c r="BG704" s="1655"/>
      <c r="BH704" s="1655"/>
      <c r="BI704" s="1655"/>
      <c r="BJ704" s="1655"/>
      <c r="BK704" s="1655"/>
      <c r="BL704" s="1655"/>
      <c r="BM704" s="1655"/>
      <c r="BN704" s="1655"/>
      <c r="BO704" s="1655"/>
      <c r="BP704" s="1655"/>
      <c r="BQ704" s="1655"/>
      <c r="BR704" s="1655"/>
      <c r="BS704" s="1655"/>
      <c r="BT704" s="1655"/>
      <c r="BU704" s="1655"/>
      <c r="BV704" s="1655"/>
      <c r="BW704" s="1655"/>
      <c r="BX704" s="1655"/>
      <c r="BY704" s="1655"/>
      <c r="BZ704" s="1655"/>
      <c r="CA704" s="1655"/>
      <c r="CB704" s="1655"/>
      <c r="CC704" s="1655"/>
      <c r="CD704" s="1655"/>
      <c r="CE704" s="1655"/>
      <c r="CF704" s="1655"/>
      <c r="CG704" s="1655"/>
      <c r="CH704" s="1655"/>
      <c r="CI704" s="1655"/>
      <c r="CJ704" s="1655"/>
      <c r="CK704" s="1655"/>
      <c r="CL704" s="1655"/>
      <c r="CM704" s="1655"/>
      <c r="CN704" s="1655"/>
      <c r="CO704" s="1655"/>
      <c r="CP704" s="1655"/>
      <c r="CQ704" s="1655"/>
      <c r="CR704" s="1655"/>
      <c r="CS704" s="1655"/>
      <c r="CT704" s="1655"/>
      <c r="CU704" s="1655"/>
      <c r="CV704" s="1655"/>
      <c r="CW704" s="1655"/>
      <c r="CX704" s="1655"/>
      <c r="CY704" s="1655"/>
      <c r="CZ704" s="1655"/>
      <c r="DA704" s="1655"/>
      <c r="DB704" s="1655"/>
      <c r="DC704" s="1655"/>
      <c r="DD704" s="1655"/>
      <c r="DE704" s="1655"/>
      <c r="DF704" s="1655"/>
      <c r="DG704" s="1655"/>
      <c r="DH704" s="1655"/>
      <c r="DI704" s="1655"/>
      <c r="DJ704" s="1655"/>
      <c r="DK704" s="1655"/>
      <c r="DL704" s="1655"/>
      <c r="DM704" s="1655"/>
      <c r="DN704" s="1655"/>
      <c r="DO704" s="1655"/>
      <c r="DP704" s="1655"/>
      <c r="DQ704" s="1655"/>
      <c r="DR704" s="1655"/>
      <c r="DS704" s="1655"/>
      <c r="DT704" s="1655"/>
      <c r="DU704" s="1655"/>
      <c r="DV704" s="1655"/>
      <c r="DW704" s="1655"/>
      <c r="DX704" s="1655"/>
      <c r="DY704" s="1655"/>
      <c r="DZ704" s="1655"/>
      <c r="EA704" s="1655"/>
      <c r="EB704" s="1655"/>
      <c r="EC704" s="1655"/>
      <c r="ED704" s="1655"/>
      <c r="EE704" s="1655"/>
      <c r="EF704" s="1655"/>
      <c r="EG704" s="1655"/>
      <c r="EH704" s="1655"/>
      <c r="EI704" s="1655"/>
      <c r="EJ704" s="1655"/>
      <c r="EK704" s="1655"/>
      <c r="EL704" s="1655"/>
      <c r="EM704" s="1655"/>
      <c r="EN704" s="1655"/>
      <c r="EO704" s="1655"/>
      <c r="EP704" s="1655"/>
      <c r="EQ704" s="1655"/>
      <c r="ER704" s="1655"/>
      <c r="ES704" s="1655"/>
      <c r="ET704" s="1655"/>
      <c r="EU704" s="1655"/>
      <c r="EV704" s="1655"/>
      <c r="EW704" s="1655"/>
      <c r="EX704" s="1655"/>
      <c r="EY704" s="1655"/>
      <c r="EZ704" s="1655"/>
      <c r="FA704" s="1655"/>
      <c r="FB704" s="1655"/>
      <c r="FC704" s="1655"/>
      <c r="FD704" s="1655"/>
      <c r="FE704" s="1655"/>
      <c r="FF704" s="1655"/>
      <c r="FG704" s="1655"/>
      <c r="FH704" s="1655"/>
      <c r="FI704" s="1655"/>
    </row>
    <row r="705" spans="1:165">
      <c r="A705" s="1655"/>
      <c r="B705" s="1655"/>
      <c r="C705" s="1655"/>
      <c r="D705" s="1655"/>
      <c r="E705" s="1655"/>
      <c r="F705" s="1655"/>
      <c r="G705" s="1655"/>
      <c r="H705" s="1655"/>
      <c r="I705" s="1655"/>
      <c r="J705" s="1655"/>
      <c r="K705" s="1655"/>
      <c r="L705" s="1655"/>
      <c r="M705" s="1655"/>
      <c r="N705" s="1655"/>
      <c r="O705" s="1655"/>
      <c r="P705" s="1655"/>
      <c r="Q705" s="1655"/>
      <c r="R705" s="1655"/>
      <c r="S705" s="1655"/>
      <c r="T705" s="1655"/>
      <c r="U705" s="1655"/>
      <c r="V705" s="1655"/>
      <c r="W705" s="1655"/>
      <c r="X705" s="1655"/>
      <c r="Y705" s="1655"/>
      <c r="Z705" s="1655"/>
      <c r="AA705" s="1655"/>
      <c r="AB705" s="1655"/>
      <c r="AC705" s="1655"/>
      <c r="AD705" s="1655"/>
      <c r="AE705" s="1655"/>
      <c r="AF705" s="1655"/>
      <c r="AG705" s="1655"/>
      <c r="AH705" s="1655"/>
      <c r="AI705" s="1655"/>
      <c r="AJ705" s="1655"/>
      <c r="AK705" s="1655"/>
      <c r="AL705" s="1655"/>
      <c r="AM705" s="1655"/>
      <c r="AN705" s="1655"/>
      <c r="AO705" s="1655"/>
      <c r="AP705" s="1655"/>
      <c r="AQ705" s="1655"/>
      <c r="AR705" s="1655"/>
      <c r="AS705" s="1655"/>
      <c r="AT705" s="1655"/>
      <c r="AU705" s="1655"/>
      <c r="AV705" s="1655"/>
      <c r="AW705" s="1655"/>
      <c r="AX705" s="1655"/>
      <c r="AY705" s="1655"/>
      <c r="AZ705" s="1655"/>
      <c r="BA705" s="1655"/>
      <c r="BB705" s="1655"/>
      <c r="BC705" s="1655"/>
      <c r="BD705" s="1655"/>
      <c r="BE705" s="1655"/>
      <c r="BF705" s="1655"/>
      <c r="BG705" s="1655"/>
      <c r="BH705" s="1655"/>
      <c r="BI705" s="1655"/>
      <c r="BJ705" s="1655"/>
      <c r="BK705" s="1655"/>
      <c r="BL705" s="1655"/>
      <c r="BM705" s="1655"/>
      <c r="BN705" s="1655"/>
      <c r="BO705" s="1655"/>
      <c r="BP705" s="1655"/>
      <c r="BQ705" s="1655"/>
      <c r="BR705" s="1655"/>
      <c r="BS705" s="1655"/>
      <c r="BT705" s="1655"/>
      <c r="BU705" s="1655"/>
      <c r="BV705" s="1655"/>
      <c r="BW705" s="1655"/>
      <c r="BX705" s="1655"/>
      <c r="BY705" s="1655"/>
      <c r="BZ705" s="1655"/>
      <c r="CA705" s="1655"/>
      <c r="CB705" s="1655"/>
      <c r="CC705" s="1655"/>
      <c r="CD705" s="1655"/>
      <c r="CE705" s="1655"/>
      <c r="CF705" s="1655"/>
      <c r="CG705" s="1655"/>
      <c r="CH705" s="1655"/>
      <c r="CI705" s="1655"/>
      <c r="CJ705" s="1655"/>
      <c r="CK705" s="1655"/>
      <c r="CL705" s="1655"/>
      <c r="CM705" s="1655"/>
      <c r="CN705" s="1655"/>
      <c r="CO705" s="1655"/>
      <c r="CP705" s="1655"/>
      <c r="CQ705" s="1655"/>
      <c r="CR705" s="1655"/>
      <c r="CS705" s="1655"/>
      <c r="CT705" s="1655"/>
      <c r="CU705" s="1655"/>
      <c r="CV705" s="1655"/>
      <c r="CW705" s="1655"/>
      <c r="CX705" s="1655"/>
      <c r="CY705" s="1655"/>
      <c r="CZ705" s="1655"/>
      <c r="DA705" s="1655"/>
      <c r="DB705" s="1655"/>
      <c r="DC705" s="1655"/>
      <c r="DD705" s="1655"/>
      <c r="DE705" s="1655"/>
      <c r="DF705" s="1655"/>
      <c r="DG705" s="1655"/>
      <c r="DH705" s="1655"/>
      <c r="DI705" s="1655"/>
      <c r="DJ705" s="1655"/>
      <c r="DK705" s="1655"/>
      <c r="DL705" s="1655"/>
      <c r="DM705" s="1655"/>
      <c r="DN705" s="1655"/>
      <c r="DO705" s="1655"/>
      <c r="DP705" s="1655"/>
      <c r="DQ705" s="1655"/>
      <c r="DR705" s="1655"/>
      <c r="DS705" s="1655"/>
      <c r="DT705" s="1655"/>
      <c r="DU705" s="1655"/>
      <c r="DV705" s="1655"/>
      <c r="DW705" s="1655"/>
      <c r="DX705" s="1655"/>
      <c r="DY705" s="1655"/>
      <c r="DZ705" s="1655"/>
      <c r="EA705" s="1655"/>
      <c r="EB705" s="1655"/>
      <c r="EC705" s="1655"/>
      <c r="ED705" s="1655"/>
      <c r="EE705" s="1655"/>
      <c r="EF705" s="1655"/>
      <c r="EG705" s="1655"/>
      <c r="EH705" s="1655"/>
      <c r="EI705" s="1655"/>
      <c r="EJ705" s="1655"/>
      <c r="EK705" s="1655"/>
      <c r="EL705" s="1655"/>
      <c r="EM705" s="1655"/>
      <c r="EN705" s="1655"/>
      <c r="EO705" s="1655"/>
      <c r="EP705" s="1655"/>
      <c r="EQ705" s="1655"/>
      <c r="ER705" s="1655"/>
      <c r="ES705" s="1655"/>
      <c r="ET705" s="1655"/>
      <c r="EU705" s="1655"/>
      <c r="EV705" s="1655"/>
      <c r="EW705" s="1655"/>
      <c r="EX705" s="1655"/>
      <c r="EY705" s="1655"/>
      <c r="EZ705" s="1655"/>
      <c r="FA705" s="1655"/>
      <c r="FB705" s="1655"/>
      <c r="FC705" s="1655"/>
      <c r="FD705" s="1655"/>
      <c r="FE705" s="1655"/>
      <c r="FF705" s="1655"/>
      <c r="FG705" s="1655"/>
      <c r="FH705" s="1655"/>
      <c r="FI705" s="1655"/>
    </row>
    <row r="706" spans="1:165">
      <c r="A706" s="1655"/>
      <c r="B706" s="1655"/>
      <c r="C706" s="1655"/>
      <c r="D706" s="1655"/>
      <c r="E706" s="1655"/>
      <c r="F706" s="1655"/>
      <c r="G706" s="1655"/>
      <c r="H706" s="1655"/>
      <c r="I706" s="1655"/>
      <c r="J706" s="1655"/>
      <c r="K706" s="1655"/>
      <c r="L706" s="1655"/>
      <c r="M706" s="1655"/>
      <c r="N706" s="1655"/>
      <c r="O706" s="1655"/>
      <c r="P706" s="1655"/>
      <c r="Q706" s="1655"/>
      <c r="R706" s="1655"/>
      <c r="S706" s="1655"/>
      <c r="T706" s="1655"/>
      <c r="U706" s="1655"/>
      <c r="V706" s="1655"/>
      <c r="W706" s="1655"/>
      <c r="X706" s="1655"/>
      <c r="Y706" s="1655"/>
      <c r="Z706" s="1655"/>
      <c r="AA706" s="1655"/>
      <c r="AB706" s="1655"/>
      <c r="AC706" s="1655"/>
      <c r="AD706" s="1655"/>
      <c r="AE706" s="1655"/>
      <c r="AF706" s="1655"/>
      <c r="AG706" s="1655"/>
      <c r="AH706" s="1655"/>
      <c r="AI706" s="1655"/>
      <c r="AJ706" s="1655"/>
      <c r="AK706" s="1655"/>
      <c r="AL706" s="1655"/>
      <c r="AM706" s="1655"/>
      <c r="AN706" s="1655"/>
      <c r="AO706" s="1655"/>
      <c r="AP706" s="1655"/>
      <c r="AQ706" s="1655"/>
      <c r="AR706" s="1655"/>
      <c r="AS706" s="1655"/>
      <c r="AT706" s="1655"/>
      <c r="AU706" s="1655"/>
      <c r="AV706" s="1655"/>
      <c r="AW706" s="1655"/>
      <c r="AX706" s="1655"/>
      <c r="AY706" s="1655"/>
      <c r="AZ706" s="1655"/>
      <c r="BA706" s="1655"/>
      <c r="BB706" s="1655"/>
      <c r="BC706" s="1655"/>
      <c r="BD706" s="1655"/>
      <c r="BE706" s="1655"/>
      <c r="BF706" s="1655"/>
      <c r="BG706" s="1655"/>
      <c r="BH706" s="1655"/>
      <c r="BI706" s="1655"/>
      <c r="BJ706" s="1655"/>
      <c r="BK706" s="1655"/>
      <c r="BL706" s="1655"/>
      <c r="BM706" s="1655"/>
      <c r="BN706" s="1655"/>
      <c r="BO706" s="1655"/>
      <c r="BP706" s="1655"/>
      <c r="BQ706" s="1655"/>
      <c r="BR706" s="1655"/>
      <c r="BS706" s="1655"/>
      <c r="BT706" s="1655"/>
      <c r="BU706" s="1655"/>
      <c r="BV706" s="1655"/>
      <c r="BW706" s="1655"/>
      <c r="BX706" s="1655"/>
      <c r="BY706" s="1655"/>
      <c r="BZ706" s="1655"/>
      <c r="CA706" s="1655"/>
      <c r="CB706" s="1655"/>
      <c r="CC706" s="1655"/>
      <c r="CD706" s="1655"/>
      <c r="CE706" s="1655"/>
      <c r="CF706" s="1655"/>
      <c r="CG706" s="1655"/>
      <c r="CH706" s="1655"/>
      <c r="CI706" s="1655"/>
      <c r="CJ706" s="1655"/>
      <c r="CK706" s="1655"/>
      <c r="CL706" s="1655"/>
      <c r="CM706" s="1655"/>
      <c r="CN706" s="1655"/>
      <c r="CO706" s="1655"/>
      <c r="CP706" s="1655"/>
      <c r="CQ706" s="1655"/>
      <c r="CR706" s="1655"/>
      <c r="CS706" s="1655"/>
      <c r="CT706" s="1655"/>
      <c r="CU706" s="1655"/>
      <c r="CV706" s="1655"/>
      <c r="CW706" s="1655"/>
      <c r="CX706" s="1655"/>
      <c r="CY706" s="1655"/>
      <c r="CZ706" s="1655"/>
      <c r="DA706" s="1655"/>
      <c r="DB706" s="1655"/>
      <c r="DC706" s="1655"/>
      <c r="DD706" s="1655"/>
      <c r="DE706" s="1655"/>
      <c r="DF706" s="1655"/>
      <c r="DG706" s="1655"/>
      <c r="DH706" s="1655"/>
      <c r="DI706" s="1655"/>
      <c r="DJ706" s="1655"/>
      <c r="DK706" s="1655"/>
      <c r="DL706" s="1655"/>
      <c r="DM706" s="1655"/>
      <c r="DN706" s="1655"/>
      <c r="DO706" s="1655"/>
      <c r="DP706" s="1655"/>
      <c r="DQ706" s="1655"/>
      <c r="DR706" s="1655"/>
      <c r="DS706" s="1655"/>
      <c r="DT706" s="1655"/>
      <c r="DU706" s="1655"/>
      <c r="DV706" s="1655"/>
      <c r="DW706" s="1655"/>
      <c r="DX706" s="1655"/>
      <c r="DY706" s="1655"/>
      <c r="DZ706" s="1655"/>
      <c r="EA706" s="1655"/>
      <c r="EB706" s="1655"/>
      <c r="EC706" s="1655"/>
      <c r="ED706" s="1655"/>
      <c r="EE706" s="1655"/>
      <c r="EF706" s="1655"/>
      <c r="EG706" s="1655"/>
      <c r="EH706" s="1655"/>
      <c r="EI706" s="1655"/>
      <c r="EJ706" s="1655"/>
      <c r="EK706" s="1655"/>
      <c r="EL706" s="1655"/>
      <c r="EM706" s="1655"/>
      <c r="EN706" s="1655"/>
      <c r="EO706" s="1655"/>
      <c r="EP706" s="1655"/>
      <c r="EQ706" s="1655"/>
      <c r="ER706" s="1655"/>
      <c r="ES706" s="1655"/>
      <c r="ET706" s="1655"/>
      <c r="EU706" s="1655"/>
      <c r="EV706" s="1655"/>
      <c r="EW706" s="1655"/>
      <c r="EX706" s="1655"/>
      <c r="EY706" s="1655"/>
      <c r="EZ706" s="1655"/>
      <c r="FA706" s="1655"/>
      <c r="FB706" s="1655"/>
      <c r="FC706" s="1655"/>
      <c r="FD706" s="1655"/>
      <c r="FE706" s="1655"/>
      <c r="FF706" s="1655"/>
      <c r="FG706" s="1655"/>
      <c r="FH706" s="1655"/>
      <c r="FI706" s="1655"/>
    </row>
    <row r="707" spans="1:165">
      <c r="A707" s="1655"/>
      <c r="B707" s="1655"/>
      <c r="C707" s="1655"/>
      <c r="D707" s="1655"/>
      <c r="E707" s="1655"/>
      <c r="F707" s="1655"/>
      <c r="G707" s="1655"/>
      <c r="H707" s="1655"/>
      <c r="I707" s="1655"/>
      <c r="J707" s="1655"/>
      <c r="K707" s="1655"/>
      <c r="L707" s="1655"/>
      <c r="M707" s="1655"/>
      <c r="N707" s="1655"/>
      <c r="O707" s="1655"/>
      <c r="P707" s="1655"/>
      <c r="Q707" s="1655"/>
      <c r="R707" s="1655"/>
      <c r="S707" s="1655"/>
      <c r="T707" s="1655"/>
      <c r="U707" s="1655"/>
      <c r="V707" s="1655"/>
      <c r="W707" s="1655"/>
      <c r="X707" s="1655"/>
      <c r="Y707" s="1655"/>
      <c r="Z707" s="1655"/>
      <c r="AA707" s="1655"/>
      <c r="AB707" s="1655"/>
      <c r="AC707" s="1655"/>
      <c r="AD707" s="1655"/>
      <c r="AE707" s="1655"/>
      <c r="AF707" s="1655"/>
      <c r="AG707" s="1655"/>
      <c r="AH707" s="1655"/>
      <c r="AI707" s="1655"/>
      <c r="AJ707" s="1655"/>
      <c r="AK707" s="1655"/>
      <c r="AL707" s="1655"/>
      <c r="AM707" s="1655"/>
      <c r="AN707" s="1655"/>
      <c r="AO707" s="1655"/>
      <c r="AP707" s="1655"/>
      <c r="AQ707" s="1655"/>
      <c r="AR707" s="1655"/>
      <c r="AS707" s="1655"/>
      <c r="AT707" s="1655"/>
      <c r="AU707" s="1655"/>
      <c r="AV707" s="1655"/>
      <c r="AW707" s="1655"/>
      <c r="AX707" s="1655"/>
      <c r="AY707" s="1655"/>
      <c r="AZ707" s="1655"/>
      <c r="BA707" s="1655"/>
      <c r="BB707" s="1655"/>
      <c r="BC707" s="1655"/>
      <c r="BD707" s="1655"/>
      <c r="BE707" s="1655"/>
      <c r="BF707" s="1655"/>
      <c r="BG707" s="1655"/>
      <c r="BH707" s="1655"/>
      <c r="BI707" s="1655"/>
      <c r="BJ707" s="1655"/>
      <c r="BK707" s="1655"/>
      <c r="BL707" s="1655"/>
      <c r="BM707" s="1655"/>
      <c r="BN707" s="1655"/>
      <c r="BO707" s="1655"/>
      <c r="BP707" s="1655"/>
      <c r="BQ707" s="1655"/>
      <c r="BR707" s="1655"/>
      <c r="BS707" s="1655"/>
      <c r="BT707" s="1655"/>
      <c r="BU707" s="1655"/>
      <c r="BV707" s="1655"/>
      <c r="BW707" s="1655"/>
      <c r="BX707" s="1655"/>
      <c r="BY707" s="1655"/>
      <c r="BZ707" s="1655"/>
      <c r="CA707" s="1655"/>
      <c r="CB707" s="1655"/>
      <c r="CC707" s="1655"/>
      <c r="CD707" s="1655"/>
      <c r="CE707" s="1655"/>
      <c r="CF707" s="1655"/>
      <c r="CG707" s="1655"/>
      <c r="CH707" s="1655"/>
      <c r="CI707" s="1655"/>
      <c r="CJ707" s="1655"/>
      <c r="CK707" s="1655"/>
      <c r="CL707" s="1655"/>
      <c r="CM707" s="1655"/>
      <c r="CN707" s="1655"/>
      <c r="CO707" s="1655"/>
      <c r="CP707" s="1655"/>
      <c r="CQ707" s="1655"/>
      <c r="CR707" s="1655"/>
      <c r="CS707" s="1655"/>
      <c r="CT707" s="1655"/>
      <c r="CU707" s="1655"/>
      <c r="CV707" s="1655"/>
      <c r="CW707" s="1655"/>
      <c r="CX707" s="1655"/>
      <c r="CY707" s="1655"/>
      <c r="CZ707" s="1655"/>
      <c r="DA707" s="1655"/>
      <c r="DB707" s="1655"/>
      <c r="DC707" s="1655"/>
      <c r="DD707" s="1655"/>
      <c r="DE707" s="1655"/>
      <c r="DF707" s="1655"/>
      <c r="DG707" s="1655"/>
      <c r="DH707" s="1655"/>
      <c r="DI707" s="1655"/>
      <c r="DJ707" s="1655"/>
      <c r="DK707" s="1655"/>
      <c r="DL707" s="1655"/>
      <c r="DM707" s="1655"/>
      <c r="DN707" s="1655"/>
      <c r="DO707" s="1655"/>
      <c r="DP707" s="1655"/>
      <c r="DQ707" s="1655"/>
      <c r="DR707" s="1655"/>
      <c r="DS707" s="1655"/>
      <c r="DT707" s="1655"/>
      <c r="DU707" s="1655"/>
      <c r="DV707" s="1655"/>
      <c r="DW707" s="1655"/>
      <c r="DX707" s="1655"/>
      <c r="DY707" s="1655"/>
      <c r="DZ707" s="1655"/>
      <c r="EA707" s="1655"/>
      <c r="EB707" s="1655"/>
      <c r="EC707" s="1655"/>
      <c r="ED707" s="1655"/>
      <c r="EE707" s="1655"/>
      <c r="EF707" s="1655"/>
      <c r="EG707" s="1655"/>
      <c r="EH707" s="1655"/>
      <c r="EI707" s="1655"/>
      <c r="EJ707" s="1655"/>
      <c r="EK707" s="1655"/>
      <c r="EL707" s="1655"/>
      <c r="EM707" s="1655"/>
      <c r="EN707" s="1655"/>
      <c r="EO707" s="1655"/>
      <c r="EP707" s="1655"/>
      <c r="EQ707" s="1655"/>
      <c r="ER707" s="1655"/>
      <c r="ES707" s="1655"/>
      <c r="ET707" s="1655"/>
      <c r="EU707" s="1655"/>
      <c r="EV707" s="1655"/>
      <c r="EW707" s="1655"/>
      <c r="EX707" s="1655"/>
      <c r="EY707" s="1655"/>
      <c r="EZ707" s="1655"/>
      <c r="FA707" s="1655"/>
      <c r="FB707" s="1655"/>
      <c r="FC707" s="1655"/>
      <c r="FD707" s="1655"/>
      <c r="FE707" s="1655"/>
      <c r="FF707" s="1655"/>
      <c r="FG707" s="1655"/>
      <c r="FH707" s="1655"/>
      <c r="FI707" s="1655"/>
    </row>
    <row r="708" spans="1:165">
      <c r="A708" s="1655"/>
      <c r="B708" s="1655"/>
      <c r="C708" s="1655"/>
      <c r="D708" s="1655"/>
      <c r="E708" s="1655"/>
      <c r="F708" s="1655"/>
      <c r="G708" s="1655"/>
      <c r="H708" s="1655"/>
      <c r="I708" s="1655"/>
      <c r="J708" s="1655"/>
      <c r="K708" s="1655"/>
      <c r="L708" s="1655"/>
      <c r="M708" s="1655"/>
      <c r="N708" s="1655"/>
      <c r="O708" s="1655"/>
      <c r="P708" s="1655"/>
      <c r="Q708" s="1655"/>
      <c r="R708" s="1655"/>
      <c r="S708" s="1655"/>
      <c r="T708" s="1655"/>
      <c r="U708" s="1655"/>
      <c r="V708" s="1655"/>
      <c r="W708" s="1655"/>
      <c r="X708" s="1655"/>
      <c r="Y708" s="1655"/>
      <c r="Z708" s="1655"/>
      <c r="AA708" s="1655"/>
      <c r="AB708" s="1655"/>
      <c r="AC708" s="1655"/>
      <c r="AD708" s="1655"/>
      <c r="AE708" s="1655"/>
      <c r="AF708" s="1655"/>
      <c r="AG708" s="1655"/>
      <c r="AH708" s="1655"/>
      <c r="AI708" s="1655"/>
      <c r="AJ708" s="1655"/>
      <c r="AK708" s="1655"/>
      <c r="AL708" s="1655"/>
      <c r="AM708" s="1655"/>
      <c r="AN708" s="1655"/>
      <c r="AO708" s="1655"/>
      <c r="AP708" s="1655"/>
      <c r="AQ708" s="1655"/>
      <c r="AR708" s="1655"/>
      <c r="AS708" s="1655"/>
      <c r="AT708" s="1655"/>
      <c r="AU708" s="1655"/>
      <c r="AV708" s="1655"/>
      <c r="AW708" s="1655"/>
      <c r="AX708" s="1655"/>
      <c r="AY708" s="1655"/>
      <c r="AZ708" s="1655"/>
      <c r="BA708" s="1655"/>
      <c r="BB708" s="1655"/>
      <c r="BC708" s="1655"/>
      <c r="BD708" s="1655"/>
      <c r="BE708" s="1655"/>
      <c r="BF708" s="1655"/>
      <c r="BG708" s="1655"/>
      <c r="BH708" s="1655"/>
      <c r="BI708" s="1655"/>
      <c r="BJ708" s="1655"/>
      <c r="BK708" s="1655"/>
      <c r="BL708" s="1655"/>
      <c r="BM708" s="1655"/>
      <c r="BN708" s="1655"/>
      <c r="BO708" s="1655"/>
      <c r="BP708" s="1655"/>
      <c r="BQ708" s="1655"/>
      <c r="BR708" s="1655"/>
      <c r="BS708" s="1655"/>
      <c r="BT708" s="1655"/>
      <c r="BU708" s="1655"/>
      <c r="BV708" s="1655"/>
      <c r="BW708" s="1655"/>
      <c r="BX708" s="1655"/>
      <c r="BY708" s="1655"/>
      <c r="BZ708" s="1655"/>
      <c r="CA708" s="1655"/>
      <c r="CB708" s="1655"/>
      <c r="CC708" s="1655"/>
      <c r="CD708" s="1655"/>
      <c r="CE708" s="1655"/>
      <c r="CF708" s="1655"/>
      <c r="CG708" s="1655"/>
      <c r="CH708" s="1655"/>
      <c r="CI708" s="1655"/>
      <c r="CJ708" s="1655"/>
      <c r="CK708" s="1655"/>
      <c r="CL708" s="1655"/>
      <c r="CM708" s="1655"/>
      <c r="CN708" s="1655"/>
      <c r="CO708" s="1655"/>
      <c r="CP708" s="1655"/>
      <c r="CQ708" s="1655"/>
      <c r="CR708" s="1655"/>
      <c r="CS708" s="1655"/>
      <c r="CT708" s="1655"/>
      <c r="CU708" s="1655"/>
      <c r="CV708" s="1655"/>
      <c r="CW708" s="1655"/>
      <c r="CX708" s="1655"/>
      <c r="CY708" s="1655"/>
      <c r="CZ708" s="1655"/>
      <c r="DA708" s="1655"/>
      <c r="DB708" s="1655"/>
      <c r="DC708" s="1655"/>
      <c r="DD708" s="1655"/>
      <c r="DE708" s="1655"/>
      <c r="DF708" s="1655"/>
      <c r="DG708" s="1655"/>
      <c r="DH708" s="1655"/>
      <c r="DI708" s="1655"/>
      <c r="DJ708" s="1655"/>
      <c r="DK708" s="1655"/>
      <c r="DL708" s="1655"/>
      <c r="DM708" s="1655"/>
      <c r="DN708" s="1655"/>
      <c r="DO708" s="1655"/>
      <c r="DP708" s="1655"/>
      <c r="DQ708" s="1655"/>
      <c r="DR708" s="1655"/>
      <c r="DS708" s="1655"/>
      <c r="DT708" s="1655"/>
      <c r="DU708" s="1655"/>
      <c r="DV708" s="1655"/>
      <c r="DW708" s="1655"/>
      <c r="DX708" s="1655"/>
      <c r="DY708" s="1655"/>
      <c r="DZ708" s="1655"/>
      <c r="EA708" s="1655"/>
      <c r="EB708" s="1655"/>
      <c r="EC708" s="1655"/>
      <c r="ED708" s="1655"/>
      <c r="EE708" s="1655"/>
      <c r="EF708" s="1655"/>
      <c r="EG708" s="1655"/>
      <c r="EH708" s="1655"/>
      <c r="EI708" s="1655"/>
      <c r="EJ708" s="1655"/>
      <c r="EK708" s="1655"/>
      <c r="EL708" s="1655"/>
      <c r="EM708" s="1655"/>
      <c r="EN708" s="1655"/>
      <c r="EO708" s="1655"/>
      <c r="EP708" s="1655"/>
      <c r="EQ708" s="1655"/>
      <c r="ER708" s="1655"/>
      <c r="ES708" s="1655"/>
      <c r="ET708" s="1655"/>
      <c r="EU708" s="1655"/>
      <c r="EV708" s="1655"/>
      <c r="EW708" s="1655"/>
      <c r="EX708" s="1655"/>
      <c r="EY708" s="1655"/>
      <c r="EZ708" s="1655"/>
      <c r="FA708" s="1655"/>
      <c r="FB708" s="1655"/>
      <c r="FC708" s="1655"/>
      <c r="FD708" s="1655"/>
      <c r="FE708" s="1655"/>
      <c r="FF708" s="1655"/>
      <c r="FG708" s="1655"/>
      <c r="FH708" s="1655"/>
      <c r="FI708" s="1655"/>
    </row>
    <row r="709" spans="1:165">
      <c r="A709" s="1655"/>
      <c r="B709" s="1655"/>
      <c r="C709" s="1655"/>
      <c r="D709" s="1655"/>
      <c r="E709" s="1655"/>
      <c r="F709" s="1655"/>
      <c r="G709" s="1655"/>
      <c r="H709" s="1655"/>
      <c r="I709" s="1655"/>
      <c r="J709" s="1655"/>
      <c r="K709" s="1655"/>
      <c r="L709" s="1655"/>
      <c r="M709" s="1655"/>
      <c r="N709" s="1655"/>
      <c r="O709" s="1655"/>
      <c r="P709" s="1655"/>
      <c r="Q709" s="1655"/>
      <c r="R709" s="1655"/>
      <c r="S709" s="1655"/>
      <c r="T709" s="1655"/>
      <c r="U709" s="1655"/>
      <c r="V709" s="1655"/>
      <c r="W709" s="1655"/>
      <c r="X709" s="1655"/>
      <c r="Y709" s="1655"/>
      <c r="Z709" s="1655"/>
      <c r="AA709" s="1655"/>
      <c r="AB709" s="1655"/>
      <c r="AC709" s="1655"/>
      <c r="AD709" s="1655"/>
      <c r="AE709" s="1655"/>
      <c r="AF709" s="1655"/>
      <c r="AG709" s="1655"/>
      <c r="AH709" s="1655"/>
      <c r="AI709" s="1655"/>
      <c r="AJ709" s="1655"/>
      <c r="AK709" s="1655"/>
      <c r="AL709" s="1655"/>
      <c r="AM709" s="1655"/>
      <c r="AN709" s="1655"/>
      <c r="AO709" s="1655"/>
      <c r="AP709" s="1655"/>
      <c r="AQ709" s="1655"/>
      <c r="AR709" s="1655"/>
      <c r="AS709" s="1655"/>
      <c r="AT709" s="1655"/>
      <c r="AU709" s="1655"/>
      <c r="AV709" s="1655"/>
      <c r="AW709" s="1655"/>
      <c r="AX709" s="1655"/>
      <c r="AY709" s="1655"/>
      <c r="AZ709" s="1655"/>
      <c r="BA709" s="1655"/>
      <c r="BB709" s="1655"/>
      <c r="BC709" s="1655"/>
      <c r="BD709" s="1655"/>
      <c r="BE709" s="1655"/>
      <c r="BF709" s="1655"/>
      <c r="BG709" s="1655"/>
      <c r="BH709" s="1655"/>
      <c r="BI709" s="1655"/>
      <c r="BJ709" s="1655"/>
      <c r="BK709" s="1655"/>
      <c r="BL709" s="1655"/>
      <c r="BM709" s="1655"/>
      <c r="BN709" s="1655"/>
      <c r="BO709" s="1655"/>
      <c r="BP709" s="1655"/>
      <c r="BQ709" s="1655"/>
      <c r="BR709" s="1655"/>
      <c r="BS709" s="1655"/>
      <c r="BT709" s="1655"/>
      <c r="BU709" s="1655"/>
      <c r="BV709" s="1655"/>
      <c r="BW709" s="1655"/>
      <c r="BX709" s="1655"/>
      <c r="BY709" s="1655"/>
      <c r="BZ709" s="1655"/>
      <c r="CA709" s="1655"/>
      <c r="CB709" s="1655"/>
      <c r="CC709" s="1655"/>
      <c r="CD709" s="1655"/>
      <c r="CE709" s="1655"/>
      <c r="CF709" s="1655"/>
      <c r="CG709" s="1655"/>
      <c r="CH709" s="1655"/>
      <c r="CI709" s="1655"/>
      <c r="CJ709" s="1655"/>
      <c r="CK709" s="1655"/>
      <c r="CL709" s="1655"/>
      <c r="CM709" s="1655"/>
      <c r="CN709" s="1655"/>
      <c r="CO709" s="1655"/>
      <c r="CP709" s="1655"/>
      <c r="CQ709" s="1655"/>
      <c r="CR709" s="1655"/>
      <c r="CS709" s="1655"/>
      <c r="CT709" s="1655"/>
      <c r="CU709" s="1655"/>
      <c r="CV709" s="1655"/>
      <c r="CW709" s="1655"/>
      <c r="CX709" s="1655"/>
      <c r="CY709" s="1655"/>
      <c r="CZ709" s="1655"/>
      <c r="DA709" s="1655"/>
      <c r="DB709" s="1655"/>
      <c r="DC709" s="1655"/>
      <c r="DD709" s="1655"/>
      <c r="DE709" s="1655"/>
      <c r="DF709" s="1655"/>
      <c r="DG709" s="1655"/>
      <c r="DH709" s="1655"/>
      <c r="DI709" s="1655"/>
      <c r="DJ709" s="1655"/>
      <c r="DK709" s="1655"/>
      <c r="DL709" s="1655"/>
      <c r="DM709" s="1655"/>
      <c r="DN709" s="1655"/>
      <c r="DO709" s="1655"/>
      <c r="DP709" s="1655"/>
      <c r="DQ709" s="1655"/>
      <c r="DR709" s="1655"/>
      <c r="DS709" s="1655"/>
      <c r="DT709" s="1655"/>
      <c r="DU709" s="1655"/>
      <c r="DV709" s="1655"/>
      <c r="DW709" s="1655"/>
      <c r="DX709" s="1655"/>
      <c r="DY709" s="1655"/>
      <c r="DZ709" s="1655"/>
      <c r="EA709" s="1655"/>
      <c r="EB709" s="1655"/>
      <c r="EC709" s="1655"/>
      <c r="ED709" s="1655"/>
      <c r="EE709" s="1655"/>
      <c r="EF709" s="1655"/>
      <c r="EG709" s="1655"/>
      <c r="EH709" s="1655"/>
      <c r="EI709" s="1655"/>
      <c r="EJ709" s="1655"/>
      <c r="EK709" s="1655"/>
      <c r="EL709" s="1655"/>
      <c r="EM709" s="1655"/>
      <c r="EN709" s="1655"/>
      <c r="EO709" s="1655"/>
      <c r="EP709" s="1655"/>
      <c r="EQ709" s="1655"/>
      <c r="ER709" s="1655"/>
      <c r="ES709" s="1655"/>
      <c r="ET709" s="1655"/>
      <c r="EU709" s="1655"/>
      <c r="EV709" s="1655"/>
      <c r="EW709" s="1655"/>
      <c r="EX709" s="1655"/>
      <c r="EY709" s="1655"/>
      <c r="EZ709" s="1655"/>
      <c r="FA709" s="1655"/>
      <c r="FB709" s="1655"/>
      <c r="FC709" s="1655"/>
      <c r="FD709" s="1655"/>
      <c r="FE709" s="1655"/>
      <c r="FF709" s="1655"/>
      <c r="FG709" s="1655"/>
      <c r="FH709" s="1655"/>
      <c r="FI709" s="1655"/>
    </row>
    <row r="710" spans="1:165">
      <c r="A710" s="1655"/>
      <c r="B710" s="1655"/>
      <c r="C710" s="1655"/>
      <c r="D710" s="1655"/>
      <c r="E710" s="1655"/>
      <c r="F710" s="1655"/>
      <c r="G710" s="1655"/>
      <c r="H710" s="1655"/>
      <c r="I710" s="1655"/>
      <c r="J710" s="1655"/>
      <c r="K710" s="1655"/>
      <c r="L710" s="1655"/>
      <c r="M710" s="1655"/>
      <c r="N710" s="1655"/>
      <c r="O710" s="1655"/>
      <c r="P710" s="1655"/>
      <c r="Q710" s="1655"/>
      <c r="R710" s="1655"/>
      <c r="S710" s="1655"/>
      <c r="T710" s="1655"/>
      <c r="U710" s="1655"/>
      <c r="V710" s="1655"/>
      <c r="W710" s="1655"/>
      <c r="X710" s="1655"/>
      <c r="Y710" s="1655"/>
      <c r="Z710" s="1655"/>
      <c r="AA710" s="1655"/>
      <c r="AB710" s="1655"/>
      <c r="AC710" s="1655"/>
      <c r="AD710" s="1655"/>
      <c r="AE710" s="1655"/>
      <c r="AF710" s="1655"/>
      <c r="AG710" s="1655"/>
      <c r="AH710" s="1655"/>
      <c r="AI710" s="1655"/>
      <c r="AJ710" s="1655"/>
      <c r="AK710" s="1655"/>
      <c r="AL710" s="1655"/>
      <c r="AM710" s="1655"/>
      <c r="AN710" s="1655"/>
      <c r="AO710" s="1655"/>
      <c r="AP710" s="1655"/>
      <c r="AQ710" s="1655"/>
      <c r="AR710" s="1655"/>
      <c r="AS710" s="1655"/>
      <c r="AT710" s="1655"/>
      <c r="AU710" s="1655"/>
      <c r="AV710" s="1655"/>
      <c r="AW710" s="1655"/>
      <c r="AX710" s="1655"/>
      <c r="AY710" s="1655"/>
      <c r="AZ710" s="1655"/>
      <c r="BA710" s="1655"/>
      <c r="BB710" s="1655"/>
      <c r="BC710" s="1655"/>
      <c r="BD710" s="1655"/>
      <c r="BE710" s="1655"/>
      <c r="BF710" s="1655"/>
      <c r="BG710" s="1655"/>
      <c r="BH710" s="1655"/>
      <c r="BI710" s="1655"/>
      <c r="BJ710" s="1655"/>
      <c r="BK710" s="1655"/>
      <c r="BL710" s="1655"/>
      <c r="BM710" s="1655"/>
      <c r="BN710" s="1655"/>
      <c r="BO710" s="1655"/>
      <c r="BP710" s="1655"/>
      <c r="BQ710" s="1655"/>
      <c r="BR710" s="1655"/>
      <c r="BS710" s="1655"/>
      <c r="BT710" s="1655"/>
      <c r="BU710" s="1655"/>
      <c r="BV710" s="1655"/>
      <c r="BW710" s="1655"/>
      <c r="BX710" s="1655"/>
      <c r="BY710" s="1655"/>
      <c r="BZ710" s="1655"/>
      <c r="CA710" s="1655"/>
      <c r="CB710" s="1655"/>
      <c r="CC710" s="1655"/>
      <c r="CD710" s="1655"/>
      <c r="CE710" s="1655"/>
      <c r="CF710" s="1655"/>
      <c r="CG710" s="1655"/>
      <c r="CH710" s="1655"/>
      <c r="CI710" s="1655"/>
      <c r="CJ710" s="1655"/>
      <c r="CK710" s="1655"/>
      <c r="CL710" s="1655"/>
      <c r="CM710" s="1655"/>
      <c r="CN710" s="1655"/>
      <c r="CO710" s="1655"/>
      <c r="CP710" s="1655"/>
      <c r="CQ710" s="1655"/>
      <c r="CR710" s="1655"/>
      <c r="CS710" s="1655"/>
      <c r="CT710" s="1655"/>
      <c r="CU710" s="1655"/>
      <c r="CV710" s="1655"/>
      <c r="CW710" s="1655"/>
      <c r="CX710" s="1655"/>
      <c r="CY710" s="1655"/>
      <c r="CZ710" s="1655"/>
      <c r="DA710" s="1655"/>
      <c r="DB710" s="1655"/>
      <c r="DC710" s="1655"/>
      <c r="DD710" s="1655"/>
      <c r="DE710" s="1655"/>
      <c r="DF710" s="1655"/>
      <c r="DG710" s="1655"/>
      <c r="DH710" s="1655"/>
      <c r="DI710" s="1655"/>
      <c r="DJ710" s="1655"/>
      <c r="DK710" s="1655"/>
      <c r="DL710" s="1655"/>
      <c r="DM710" s="1655"/>
      <c r="DN710" s="1655"/>
      <c r="DO710" s="1655"/>
      <c r="DP710" s="1655"/>
      <c r="DQ710" s="1655"/>
      <c r="DR710" s="1655"/>
      <c r="DS710" s="1655"/>
      <c r="DT710" s="1655"/>
      <c r="DU710" s="1655"/>
      <c r="DV710" s="1655"/>
      <c r="DW710" s="1655"/>
      <c r="DX710" s="1655"/>
      <c r="DY710" s="1655"/>
      <c r="DZ710" s="1655"/>
      <c r="EA710" s="1655"/>
      <c r="EB710" s="1655"/>
      <c r="EC710" s="1655"/>
      <c r="ED710" s="1655"/>
      <c r="EE710" s="1655"/>
      <c r="EF710" s="1655"/>
      <c r="EG710" s="1655"/>
      <c r="EH710" s="1655"/>
      <c r="EI710" s="1655"/>
      <c r="EJ710" s="1655"/>
      <c r="EK710" s="1655"/>
      <c r="EL710" s="1655"/>
      <c r="EM710" s="1655"/>
      <c r="EN710" s="1655"/>
      <c r="EO710" s="1655"/>
      <c r="EP710" s="1655"/>
      <c r="EQ710" s="1655"/>
      <c r="ER710" s="1655"/>
      <c r="ES710" s="1655"/>
      <c r="ET710" s="1655"/>
      <c r="EU710" s="1655"/>
      <c r="EV710" s="1655"/>
      <c r="EW710" s="1655"/>
      <c r="EX710" s="1655"/>
      <c r="EY710" s="1655"/>
      <c r="EZ710" s="1655"/>
      <c r="FA710" s="1655"/>
      <c r="FB710" s="1655"/>
      <c r="FC710" s="1655"/>
      <c r="FD710" s="1655"/>
      <c r="FE710" s="1655"/>
      <c r="FF710" s="1655"/>
      <c r="FG710" s="1655"/>
      <c r="FH710" s="1655"/>
      <c r="FI710" s="1655"/>
    </row>
    <row r="711" spans="1:165">
      <c r="A711" s="1655"/>
      <c r="B711" s="1655"/>
      <c r="C711" s="1655"/>
      <c r="D711" s="1655"/>
      <c r="E711" s="1655"/>
      <c r="F711" s="1655"/>
      <c r="G711" s="1655"/>
      <c r="H711" s="1655"/>
      <c r="I711" s="1655"/>
      <c r="J711" s="1655"/>
      <c r="K711" s="1655"/>
      <c r="L711" s="1655"/>
      <c r="M711" s="1655"/>
      <c r="N711" s="1655"/>
      <c r="O711" s="1655"/>
      <c r="P711" s="1655"/>
      <c r="Q711" s="1655"/>
      <c r="R711" s="1655"/>
      <c r="S711" s="1655"/>
      <c r="T711" s="1655"/>
      <c r="U711" s="1655"/>
      <c r="V711" s="1655"/>
      <c r="W711" s="1655"/>
      <c r="X711" s="1655"/>
      <c r="Y711" s="1655"/>
      <c r="Z711" s="1655"/>
      <c r="AA711" s="1655"/>
      <c r="AB711" s="1655"/>
      <c r="AC711" s="1655"/>
      <c r="AD711" s="1655"/>
      <c r="AE711" s="1655"/>
      <c r="AF711" s="1655"/>
      <c r="AG711" s="1655"/>
      <c r="AH711" s="1655"/>
      <c r="AI711" s="1655"/>
      <c r="AJ711" s="1655"/>
      <c r="AK711" s="1655"/>
      <c r="AL711" s="1655"/>
      <c r="AM711" s="1655"/>
      <c r="AN711" s="1655"/>
      <c r="AO711" s="1655"/>
      <c r="AP711" s="1655"/>
      <c r="AQ711" s="1655"/>
      <c r="AR711" s="1655"/>
      <c r="AS711" s="1655"/>
      <c r="AT711" s="1655"/>
      <c r="AU711" s="1655"/>
      <c r="AV711" s="1655"/>
      <c r="AW711" s="1655"/>
      <c r="AX711" s="1655"/>
      <c r="AY711" s="1655"/>
      <c r="AZ711" s="1655"/>
      <c r="BA711" s="1655"/>
      <c r="BB711" s="1655"/>
      <c r="BC711" s="1655"/>
      <c r="BD711" s="1655"/>
      <c r="BE711" s="1655"/>
      <c r="BF711" s="1655"/>
      <c r="BG711" s="1655"/>
      <c r="BH711" s="1655"/>
      <c r="BI711" s="1655"/>
      <c r="BJ711" s="1655"/>
      <c r="BK711" s="1655"/>
      <c r="BL711" s="1655"/>
      <c r="BM711" s="1655"/>
      <c r="BN711" s="1655"/>
      <c r="BO711" s="1655"/>
      <c r="BP711" s="1655"/>
      <c r="BQ711" s="1655"/>
      <c r="BR711" s="1655"/>
      <c r="BS711" s="1655"/>
      <c r="BT711" s="1655"/>
      <c r="BU711" s="1655"/>
      <c r="BV711" s="1655"/>
      <c r="BW711" s="1655"/>
      <c r="BX711" s="1655"/>
      <c r="BY711" s="1655"/>
      <c r="BZ711" s="1655"/>
      <c r="CA711" s="1655"/>
      <c r="CB711" s="1655"/>
      <c r="CC711" s="1655"/>
      <c r="CD711" s="1655"/>
      <c r="CE711" s="1655"/>
      <c r="CF711" s="1655"/>
      <c r="CG711" s="1655"/>
      <c r="CH711" s="1655"/>
      <c r="CI711" s="1655"/>
      <c r="CJ711" s="1655"/>
      <c r="CK711" s="1655"/>
      <c r="CL711" s="1655"/>
      <c r="CM711" s="1655"/>
      <c r="CN711" s="1655"/>
      <c r="CO711" s="1655"/>
      <c r="CP711" s="1655"/>
      <c r="CQ711" s="1655"/>
      <c r="CR711" s="1655"/>
      <c r="CS711" s="1655"/>
      <c r="CT711" s="1655"/>
      <c r="CU711" s="1655"/>
      <c r="CV711" s="1655"/>
      <c r="CW711" s="1655"/>
      <c r="CX711" s="1655"/>
      <c r="CY711" s="1655"/>
      <c r="CZ711" s="1655"/>
      <c r="DA711" s="1655"/>
      <c r="DB711" s="1655"/>
      <c r="DC711" s="1655"/>
      <c r="DD711" s="1655"/>
      <c r="DE711" s="1655"/>
      <c r="DF711" s="1655"/>
      <c r="DG711" s="1655"/>
      <c r="DH711" s="1655"/>
      <c r="DI711" s="1655"/>
      <c r="DJ711" s="1655"/>
      <c r="DK711" s="1655"/>
      <c r="DL711" s="1655"/>
      <c r="DM711" s="1655"/>
      <c r="DN711" s="1655"/>
      <c r="DO711" s="1655"/>
      <c r="DP711" s="1655"/>
      <c r="DQ711" s="1655"/>
      <c r="DR711" s="1655"/>
      <c r="DS711" s="1655"/>
      <c r="DT711" s="1655"/>
      <c r="DU711" s="1655"/>
      <c r="DV711" s="1655"/>
      <c r="DW711" s="1655"/>
      <c r="DX711" s="1655"/>
      <c r="DY711" s="1655"/>
      <c r="DZ711" s="1655"/>
      <c r="EA711" s="1655"/>
      <c r="EB711" s="1655"/>
      <c r="EC711" s="1655"/>
      <c r="ED711" s="1655"/>
      <c r="EE711" s="1655"/>
      <c r="EF711" s="1655"/>
      <c r="EG711" s="1655"/>
      <c r="EH711" s="1655"/>
      <c r="EI711" s="1655"/>
      <c r="EJ711" s="1655"/>
      <c r="EK711" s="1655"/>
      <c r="EL711" s="1655"/>
      <c r="EM711" s="1655"/>
      <c r="EN711" s="1655"/>
      <c r="EO711" s="1655"/>
      <c r="EP711" s="1655"/>
      <c r="EQ711" s="1655"/>
      <c r="ER711" s="1655"/>
      <c r="ES711" s="1655"/>
      <c r="ET711" s="1655"/>
      <c r="EU711" s="1655"/>
      <c r="EV711" s="1655"/>
      <c r="EW711" s="1655"/>
      <c r="EX711" s="1655"/>
      <c r="EY711" s="1655"/>
      <c r="EZ711" s="1655"/>
      <c r="FA711" s="1655"/>
      <c r="FB711" s="1655"/>
      <c r="FC711" s="1655"/>
      <c r="FD711" s="1655"/>
      <c r="FE711" s="1655"/>
      <c r="FF711" s="1655"/>
      <c r="FG711" s="1655"/>
      <c r="FH711" s="1655"/>
      <c r="FI711" s="1655"/>
    </row>
    <row r="712" spans="1:165">
      <c r="A712" s="1655"/>
      <c r="B712" s="1655"/>
      <c r="C712" s="1655"/>
      <c r="D712" s="1655"/>
      <c r="E712" s="1655"/>
      <c r="F712" s="1655"/>
      <c r="G712" s="1655"/>
      <c r="H712" s="1655"/>
      <c r="I712" s="1655"/>
      <c r="J712" s="1655"/>
      <c r="K712" s="1655"/>
      <c r="L712" s="1655"/>
      <c r="M712" s="1655"/>
      <c r="N712" s="1655"/>
      <c r="O712" s="1655"/>
      <c r="P712" s="1655"/>
      <c r="Q712" s="1655"/>
      <c r="R712" s="1655"/>
      <c r="S712" s="1655"/>
      <c r="T712" s="1655"/>
      <c r="U712" s="1655"/>
      <c r="V712" s="1655"/>
      <c r="W712" s="1655"/>
      <c r="X712" s="1655"/>
      <c r="Y712" s="1655"/>
      <c r="Z712" s="1655"/>
      <c r="AA712" s="1655"/>
      <c r="AB712" s="1655"/>
      <c r="AC712" s="1655"/>
      <c r="AD712" s="1655"/>
      <c r="AE712" s="1655"/>
      <c r="AF712" s="1655"/>
      <c r="AG712" s="1655"/>
      <c r="AH712" s="1655"/>
      <c r="AI712" s="1655"/>
      <c r="AJ712" s="1655"/>
      <c r="AK712" s="1655"/>
      <c r="AL712" s="1655"/>
      <c r="AM712" s="1655"/>
      <c r="AN712" s="1655"/>
      <c r="AO712" s="1655"/>
      <c r="AP712" s="1655"/>
      <c r="AQ712" s="1655"/>
      <c r="AR712" s="1655"/>
      <c r="AS712" s="1655"/>
      <c r="AT712" s="1655"/>
      <c r="AU712" s="1655"/>
      <c r="AV712" s="1655"/>
      <c r="AW712" s="1655"/>
      <c r="AX712" s="1655"/>
      <c r="AY712" s="1655"/>
      <c r="AZ712" s="1655"/>
      <c r="BA712" s="1655"/>
      <c r="BB712" s="1655"/>
      <c r="BC712" s="1655"/>
      <c r="BD712" s="1655"/>
      <c r="BE712" s="1655"/>
      <c r="BF712" s="1655"/>
      <c r="BG712" s="1655"/>
      <c r="BH712" s="1655"/>
      <c r="BI712" s="1655"/>
      <c r="BJ712" s="1655"/>
      <c r="BK712" s="1655"/>
      <c r="BL712" s="1655"/>
      <c r="BM712" s="1655"/>
      <c r="BN712" s="1655"/>
      <c r="BO712" s="1655"/>
      <c r="BP712" s="1655"/>
      <c r="BQ712" s="1655"/>
      <c r="BR712" s="1655"/>
      <c r="BS712" s="1655"/>
      <c r="BT712" s="1655"/>
      <c r="BU712" s="1655"/>
      <c r="BV712" s="1655"/>
      <c r="BW712" s="1655"/>
      <c r="BX712" s="1655"/>
      <c r="BY712" s="1655"/>
      <c r="BZ712" s="1655"/>
      <c r="CA712" s="1655"/>
      <c r="CB712" s="1655"/>
      <c r="CC712" s="1655"/>
      <c r="CD712" s="1655"/>
      <c r="CE712" s="1655"/>
      <c r="CF712" s="1655"/>
      <c r="CG712" s="1655"/>
      <c r="CH712" s="1655"/>
      <c r="CI712" s="1655"/>
      <c r="CJ712" s="1655"/>
      <c r="CK712" s="1655"/>
      <c r="CL712" s="1655"/>
      <c r="CM712" s="1655"/>
      <c r="CN712" s="1655"/>
      <c r="CO712" s="1655"/>
      <c r="CP712" s="1655"/>
      <c r="CQ712" s="1655"/>
      <c r="CR712" s="1655"/>
      <c r="CS712" s="1655"/>
      <c r="CT712" s="1655"/>
      <c r="CU712" s="1655"/>
      <c r="CV712" s="1655"/>
      <c r="CW712" s="1655"/>
      <c r="CX712" s="1655"/>
      <c r="CY712" s="1655"/>
      <c r="CZ712" s="1655"/>
      <c r="DA712" s="1655"/>
      <c r="DB712" s="1655"/>
      <c r="DC712" s="1655"/>
      <c r="DD712" s="1655"/>
      <c r="DE712" s="1655"/>
      <c r="DF712" s="1655"/>
      <c r="DG712" s="1655"/>
      <c r="DH712" s="1655"/>
      <c r="DI712" s="1655"/>
      <c r="DJ712" s="1655"/>
      <c r="DK712" s="1655"/>
      <c r="DL712" s="1655"/>
      <c r="DM712" s="1655"/>
      <c r="DN712" s="1655"/>
      <c r="DO712" s="1655"/>
      <c r="DP712" s="1655"/>
      <c r="DQ712" s="1655"/>
      <c r="DR712" s="1655"/>
      <c r="DS712" s="1655"/>
      <c r="DT712" s="1655"/>
      <c r="DU712" s="1655"/>
      <c r="DV712" s="1655"/>
      <c r="DW712" s="1655"/>
      <c r="DX712" s="1655"/>
      <c r="DY712" s="1655"/>
      <c r="DZ712" s="1655"/>
      <c r="EA712" s="1655"/>
      <c r="EB712" s="1655"/>
      <c r="EC712" s="1655"/>
      <c r="ED712" s="1655"/>
      <c r="EE712" s="1655"/>
      <c r="EF712" s="1655"/>
      <c r="EG712" s="1655"/>
      <c r="EH712" s="1655"/>
      <c r="EI712" s="1655"/>
      <c r="EJ712" s="1655"/>
      <c r="EK712" s="1655"/>
      <c r="EL712" s="1655"/>
      <c r="EM712" s="1655"/>
      <c r="EN712" s="1655"/>
      <c r="EO712" s="1655"/>
      <c r="EP712" s="1655"/>
      <c r="EQ712" s="1655"/>
      <c r="ER712" s="1655"/>
      <c r="ES712" s="1655"/>
      <c r="ET712" s="1655"/>
      <c r="EU712" s="1655"/>
      <c r="EV712" s="1655"/>
      <c r="EW712" s="1655"/>
      <c r="EX712" s="1655"/>
      <c r="EY712" s="1655"/>
      <c r="EZ712" s="1655"/>
      <c r="FA712" s="1655"/>
      <c r="FB712" s="1655"/>
      <c r="FC712" s="1655"/>
      <c r="FD712" s="1655"/>
      <c r="FE712" s="1655"/>
      <c r="FF712" s="1655"/>
      <c r="FG712" s="1655"/>
      <c r="FH712" s="1655"/>
      <c r="FI712" s="1655"/>
    </row>
    <row r="713" spans="1:165">
      <c r="A713" s="1655"/>
      <c r="B713" s="1655"/>
      <c r="C713" s="1655"/>
      <c r="D713" s="1655"/>
      <c r="E713" s="1655"/>
      <c r="F713" s="1655"/>
      <c r="G713" s="1655"/>
      <c r="H713" s="1655"/>
      <c r="I713" s="1655"/>
      <c r="J713" s="1655"/>
      <c r="K713" s="1655"/>
      <c r="L713" s="1655"/>
      <c r="M713" s="1655"/>
      <c r="N713" s="1655"/>
      <c r="O713" s="1655"/>
      <c r="P713" s="1655"/>
      <c r="Q713" s="1655"/>
      <c r="R713" s="1655"/>
      <c r="S713" s="1655"/>
      <c r="T713" s="1655"/>
      <c r="U713" s="1655"/>
      <c r="V713" s="1655"/>
      <c r="W713" s="1655"/>
      <c r="X713" s="1655"/>
      <c r="Y713" s="1655"/>
      <c r="Z713" s="1655"/>
      <c r="AA713" s="1655"/>
      <c r="AB713" s="1655"/>
      <c r="AC713" s="1655"/>
      <c r="AD713" s="1655"/>
      <c r="AE713" s="1655"/>
      <c r="AF713" s="1655"/>
      <c r="AG713" s="1655"/>
      <c r="AH713" s="1655"/>
      <c r="AI713" s="1655"/>
      <c r="AJ713" s="1655"/>
      <c r="AK713" s="1655"/>
      <c r="AL713" s="1655"/>
      <c r="AM713" s="1655"/>
      <c r="AN713" s="1655"/>
      <c r="AO713" s="1655"/>
      <c r="AP713" s="1655"/>
      <c r="AQ713" s="1655"/>
      <c r="AR713" s="1655"/>
      <c r="AS713" s="1655"/>
      <c r="AT713" s="1655"/>
      <c r="AU713" s="1655"/>
      <c r="AV713" s="1655"/>
      <c r="AW713" s="1655"/>
      <c r="AX713" s="1655"/>
      <c r="AY713" s="1655"/>
      <c r="AZ713" s="1655"/>
      <c r="BA713" s="1655"/>
      <c r="BB713" s="1655"/>
      <c r="BC713" s="1655"/>
      <c r="BD713" s="1655"/>
      <c r="BE713" s="1655"/>
      <c r="BF713" s="1655"/>
      <c r="BG713" s="1655"/>
      <c r="BH713" s="1655"/>
      <c r="BI713" s="1655"/>
      <c r="BJ713" s="1655"/>
      <c r="BK713" s="1655"/>
      <c r="BL713" s="1655"/>
      <c r="BM713" s="1655"/>
      <c r="BN713" s="1655"/>
      <c r="BO713" s="1655"/>
      <c r="BP713" s="1655"/>
      <c r="BQ713" s="1655"/>
      <c r="BR713" s="1655"/>
      <c r="BS713" s="1655"/>
      <c r="BT713" s="1655"/>
      <c r="BU713" s="1655"/>
      <c r="BV713" s="1655"/>
      <c r="BW713" s="1655"/>
      <c r="BX713" s="1655"/>
      <c r="BY713" s="1655"/>
      <c r="BZ713" s="1655"/>
      <c r="CA713" s="1655"/>
      <c r="CB713" s="1655"/>
      <c r="CC713" s="1655"/>
      <c r="CD713" s="1655"/>
      <c r="CE713" s="1655"/>
      <c r="CF713" s="1655"/>
      <c r="CG713" s="1655"/>
      <c r="CH713" s="1655"/>
      <c r="CI713" s="1655"/>
      <c r="CJ713" s="1655"/>
      <c r="CK713" s="1655"/>
      <c r="CL713" s="1655"/>
      <c r="CM713" s="1655"/>
      <c r="CN713" s="1655"/>
      <c r="CO713" s="1655"/>
      <c r="CP713" s="1655"/>
      <c r="CQ713" s="1655"/>
      <c r="CR713" s="1655"/>
      <c r="CS713" s="1655"/>
      <c r="CT713" s="1655"/>
      <c r="CU713" s="1655"/>
      <c r="CV713" s="1655"/>
      <c r="CW713" s="1655"/>
      <c r="CX713" s="1655"/>
      <c r="CY713" s="1655"/>
      <c r="CZ713" s="1655"/>
      <c r="DA713" s="1655"/>
      <c r="DB713" s="1655"/>
      <c r="DC713" s="1655"/>
      <c r="DD713" s="1655"/>
      <c r="DE713" s="1655"/>
      <c r="DF713" s="1655"/>
      <c r="DG713" s="1655"/>
      <c r="DH713" s="1655"/>
      <c r="DI713" s="1655"/>
      <c r="DJ713" s="1655"/>
      <c r="DK713" s="1655"/>
      <c r="DL713" s="1655"/>
      <c r="DM713" s="1655"/>
      <c r="DN713" s="1655"/>
      <c r="DO713" s="1655"/>
      <c r="DP713" s="1655"/>
      <c r="DQ713" s="1655"/>
      <c r="DR713" s="1655"/>
      <c r="DS713" s="1655"/>
      <c r="DT713" s="1655"/>
      <c r="DU713" s="1655"/>
      <c r="DV713" s="1655"/>
      <c r="DW713" s="1655"/>
      <c r="DX713" s="1655"/>
      <c r="DY713" s="1655"/>
      <c r="DZ713" s="1655"/>
      <c r="EA713" s="1655"/>
      <c r="EB713" s="1655"/>
      <c r="EC713" s="1655"/>
      <c r="ED713" s="1655"/>
      <c r="EE713" s="1655"/>
      <c r="EF713" s="1655"/>
      <c r="EG713" s="1655"/>
      <c r="EH713" s="1655"/>
      <c r="EI713" s="1655"/>
      <c r="EJ713" s="1655"/>
      <c r="EK713" s="1655"/>
      <c r="EL713" s="1655"/>
      <c r="EM713" s="1655"/>
      <c r="EN713" s="1655"/>
      <c r="EO713" s="1655"/>
      <c r="EP713" s="1655"/>
      <c r="EQ713" s="1655"/>
      <c r="ER713" s="1655"/>
      <c r="ES713" s="1655"/>
      <c r="ET713" s="1655"/>
      <c r="EU713" s="1655"/>
      <c r="EV713" s="1655"/>
      <c r="EW713" s="1655"/>
      <c r="EX713" s="1655"/>
      <c r="EY713" s="1655"/>
      <c r="EZ713" s="1655"/>
      <c r="FA713" s="1655"/>
      <c r="FB713" s="1655"/>
      <c r="FC713" s="1655"/>
      <c r="FD713" s="1655"/>
      <c r="FE713" s="1655"/>
      <c r="FF713" s="1655"/>
      <c r="FG713" s="1655"/>
      <c r="FH713" s="1655"/>
      <c r="FI713" s="1655"/>
    </row>
    <row r="714" spans="1:165">
      <c r="A714" s="1655"/>
      <c r="B714" s="1655"/>
      <c r="C714" s="1655"/>
      <c r="D714" s="1655"/>
      <c r="E714" s="1655"/>
      <c r="F714" s="1655"/>
      <c r="G714" s="1655"/>
      <c r="H714" s="1655"/>
      <c r="I714" s="1655"/>
      <c r="J714" s="1655"/>
      <c r="K714" s="1655"/>
      <c r="L714" s="1655"/>
      <c r="M714" s="1655"/>
      <c r="N714" s="1655"/>
      <c r="O714" s="1655"/>
      <c r="P714" s="1655"/>
      <c r="Q714" s="1655"/>
      <c r="R714" s="1655"/>
      <c r="S714" s="1655"/>
      <c r="T714" s="1655"/>
      <c r="U714" s="1655"/>
      <c r="V714" s="1655"/>
      <c r="W714" s="1655"/>
      <c r="X714" s="1655"/>
      <c r="Y714" s="1655"/>
      <c r="Z714" s="1655"/>
      <c r="AA714" s="1655"/>
      <c r="AB714" s="1655"/>
      <c r="AC714" s="1655"/>
      <c r="AD714" s="1655"/>
      <c r="AE714" s="1655"/>
      <c r="AF714" s="1655"/>
      <c r="AG714" s="1655"/>
      <c r="AH714" s="1655"/>
      <c r="AI714" s="1655"/>
      <c r="AJ714" s="1655"/>
      <c r="AK714" s="1655"/>
      <c r="AL714" s="1655"/>
      <c r="AM714" s="1655"/>
      <c r="AN714" s="1655"/>
      <c r="AO714" s="1655"/>
      <c r="AP714" s="1655"/>
      <c r="AQ714" s="1655"/>
      <c r="AR714" s="1655"/>
      <c r="AS714" s="1655"/>
      <c r="AT714" s="1655"/>
      <c r="AU714" s="1655"/>
      <c r="AV714" s="1655"/>
      <c r="AW714" s="1655"/>
      <c r="AX714" s="1655"/>
      <c r="AY714" s="1655"/>
      <c r="AZ714" s="1655"/>
      <c r="BA714" s="1655"/>
      <c r="BB714" s="1655"/>
      <c r="BC714" s="1655"/>
      <c r="BD714" s="1655"/>
      <c r="BE714" s="1655"/>
      <c r="BF714" s="1655"/>
      <c r="BG714" s="1655"/>
      <c r="BH714" s="1655"/>
      <c r="BI714" s="1655"/>
      <c r="BJ714" s="1655"/>
      <c r="BK714" s="1655"/>
      <c r="BL714" s="1655"/>
      <c r="BM714" s="1655"/>
      <c r="BN714" s="1655"/>
      <c r="BO714" s="1655"/>
      <c r="BP714" s="1655"/>
      <c r="BQ714" s="1655"/>
      <c r="BR714" s="1655"/>
      <c r="BS714" s="1655"/>
      <c r="BT714" s="1655"/>
      <c r="BU714" s="1655"/>
      <c r="BV714" s="1655"/>
      <c r="BW714" s="1655"/>
      <c r="BX714" s="1655"/>
      <c r="BY714" s="1655"/>
      <c r="BZ714" s="1655"/>
      <c r="CA714" s="1655"/>
      <c r="CB714" s="1655"/>
      <c r="CC714" s="1655"/>
      <c r="CD714" s="1655"/>
      <c r="CE714" s="1655"/>
      <c r="CF714" s="1655"/>
      <c r="CG714" s="1655"/>
      <c r="CH714" s="1655"/>
      <c r="CI714" s="1655"/>
      <c r="CJ714" s="1655"/>
      <c r="CK714" s="1655"/>
      <c r="CL714" s="1655"/>
      <c r="CM714" s="1655"/>
      <c r="CN714" s="1655"/>
      <c r="CO714" s="1655"/>
      <c r="CP714" s="1655"/>
      <c r="CQ714" s="1655"/>
      <c r="CR714" s="1655"/>
      <c r="CS714" s="1655"/>
      <c r="CT714" s="1655"/>
      <c r="CU714" s="1655"/>
      <c r="CV714" s="1655"/>
      <c r="CW714" s="1655"/>
      <c r="CX714" s="1655"/>
      <c r="CY714" s="1655"/>
      <c r="CZ714" s="1655"/>
      <c r="DA714" s="1655"/>
      <c r="DB714" s="1655"/>
      <c r="DC714" s="1655"/>
      <c r="DD714" s="1655"/>
      <c r="DE714" s="1655"/>
      <c r="DF714" s="1655"/>
      <c r="DG714" s="1655"/>
      <c r="DH714" s="1655"/>
      <c r="DI714" s="1655"/>
      <c r="DJ714" s="1655"/>
      <c r="DK714" s="1655"/>
      <c r="DL714" s="1655"/>
      <c r="DM714" s="1655"/>
      <c r="DN714" s="1655"/>
      <c r="DO714" s="1655"/>
      <c r="DP714" s="1655"/>
      <c r="DQ714" s="1655"/>
      <c r="DR714" s="1655"/>
      <c r="DS714" s="1655"/>
      <c r="DT714" s="1655"/>
      <c r="DU714" s="1655"/>
      <c r="DV714" s="1655"/>
      <c r="DW714" s="1655"/>
      <c r="DX714" s="1655"/>
      <c r="DY714" s="1655"/>
      <c r="DZ714" s="1655"/>
      <c r="EA714" s="1655"/>
      <c r="EB714" s="1655"/>
      <c r="EC714" s="1655"/>
      <c r="ED714" s="1655"/>
      <c r="EE714" s="1655"/>
      <c r="EF714" s="1655"/>
      <c r="EG714" s="1655"/>
      <c r="EH714" s="1655"/>
      <c r="EI714" s="1655"/>
      <c r="EJ714" s="1655"/>
      <c r="EK714" s="1655"/>
      <c r="EL714" s="1655"/>
      <c r="EM714" s="1655"/>
      <c r="EN714" s="1655"/>
      <c r="EO714" s="1655"/>
      <c r="EP714" s="1655"/>
      <c r="EQ714" s="1655"/>
      <c r="ER714" s="1655"/>
      <c r="ES714" s="1655"/>
      <c r="ET714" s="1655"/>
      <c r="EU714" s="1655"/>
      <c r="EV714" s="1655"/>
      <c r="EW714" s="1655"/>
      <c r="EX714" s="1655"/>
      <c r="EY714" s="1655"/>
      <c r="EZ714" s="1655"/>
      <c r="FA714" s="1655"/>
      <c r="FB714" s="1655"/>
      <c r="FC714" s="1655"/>
      <c r="FD714" s="1655"/>
      <c r="FE714" s="1655"/>
      <c r="FF714" s="1655"/>
      <c r="FG714" s="1655"/>
      <c r="FH714" s="1655"/>
      <c r="FI714" s="1655"/>
    </row>
    <row r="715" spans="1:165">
      <c r="A715" s="1655"/>
      <c r="B715" s="1655"/>
      <c r="C715" s="1655"/>
      <c r="D715" s="1655"/>
      <c r="E715" s="1655"/>
      <c r="F715" s="1655"/>
      <c r="G715" s="1655"/>
      <c r="H715" s="1655"/>
      <c r="I715" s="1655"/>
      <c r="J715" s="1655"/>
      <c r="K715" s="1655"/>
      <c r="L715" s="1655"/>
      <c r="M715" s="1655"/>
      <c r="N715" s="1655"/>
      <c r="O715" s="1655"/>
      <c r="P715" s="1655"/>
      <c r="Q715" s="1655"/>
      <c r="R715" s="1655"/>
      <c r="S715" s="1655"/>
      <c r="T715" s="1655"/>
      <c r="U715" s="1655"/>
      <c r="V715" s="1655"/>
      <c r="W715" s="1655"/>
      <c r="X715" s="1655"/>
      <c r="Y715" s="1655"/>
      <c r="Z715" s="1655"/>
      <c r="AA715" s="1655"/>
      <c r="AB715" s="1655"/>
      <c r="AC715" s="1655"/>
      <c r="AD715" s="1655"/>
      <c r="AE715" s="1655"/>
      <c r="AF715" s="1655"/>
      <c r="AG715" s="1655"/>
      <c r="AH715" s="1655"/>
      <c r="AI715" s="1655"/>
      <c r="AJ715" s="1655"/>
      <c r="AK715" s="1655"/>
      <c r="AL715" s="1655"/>
      <c r="AM715" s="1655"/>
      <c r="AN715" s="1655"/>
      <c r="AO715" s="1655"/>
      <c r="AP715" s="1655"/>
      <c r="AQ715" s="1655"/>
      <c r="AR715" s="1655"/>
      <c r="AS715" s="1655"/>
      <c r="AT715" s="1655"/>
      <c r="AU715" s="1655"/>
      <c r="AV715" s="1655"/>
      <c r="AW715" s="1655"/>
      <c r="AX715" s="1655"/>
      <c r="AY715" s="1655"/>
      <c r="AZ715" s="1655"/>
      <c r="BA715" s="1655"/>
      <c r="BB715" s="1655"/>
      <c r="BC715" s="1655"/>
      <c r="BD715" s="1655"/>
      <c r="BE715" s="1655"/>
      <c r="BF715" s="1655"/>
      <c r="BG715" s="1655"/>
      <c r="BH715" s="1655"/>
      <c r="BI715" s="1655"/>
      <c r="BJ715" s="1655"/>
      <c r="BK715" s="1655"/>
      <c r="BL715" s="1655"/>
      <c r="BM715" s="1655"/>
      <c r="BN715" s="1655"/>
      <c r="BO715" s="1655"/>
      <c r="BP715" s="1655"/>
      <c r="BQ715" s="1655"/>
      <c r="BR715" s="1655"/>
      <c r="BS715" s="1655"/>
      <c r="BT715" s="1655"/>
      <c r="BU715" s="1655"/>
      <c r="BV715" s="1655"/>
      <c r="BW715" s="1655"/>
      <c r="BX715" s="1655"/>
      <c r="BY715" s="1655"/>
      <c r="BZ715" s="1655"/>
      <c r="CA715" s="1655"/>
      <c r="CB715" s="1655"/>
      <c r="CC715" s="1655"/>
      <c r="CD715" s="1655"/>
      <c r="CE715" s="1655"/>
      <c r="CF715" s="1655"/>
      <c r="CG715" s="1655"/>
      <c r="CH715" s="1655"/>
      <c r="CI715" s="1655"/>
      <c r="CJ715" s="1655"/>
      <c r="CK715" s="1655"/>
      <c r="CL715" s="1655"/>
      <c r="CM715" s="1655"/>
      <c r="CN715" s="1655"/>
      <c r="CO715" s="1655"/>
      <c r="CP715" s="1655"/>
      <c r="CQ715" s="1655"/>
      <c r="CR715" s="1655"/>
      <c r="CS715" s="1655"/>
      <c r="CT715" s="1655"/>
      <c r="CU715" s="1655"/>
      <c r="CV715" s="1655"/>
      <c r="CW715" s="1655"/>
      <c r="CX715" s="1655"/>
      <c r="CY715" s="1655"/>
      <c r="CZ715" s="1655"/>
      <c r="DA715" s="1655"/>
      <c r="DB715" s="1655"/>
      <c r="DC715" s="1655"/>
      <c r="DD715" s="1655"/>
      <c r="DE715" s="1655"/>
      <c r="DF715" s="1655"/>
      <c r="DG715" s="1655"/>
      <c r="DH715" s="1655"/>
      <c r="DI715" s="1655"/>
      <c r="DJ715" s="1655"/>
      <c r="DK715" s="1655"/>
      <c r="DL715" s="1655"/>
      <c r="DM715" s="1655"/>
      <c r="DN715" s="1655"/>
      <c r="DO715" s="1655"/>
      <c r="DP715" s="1655"/>
      <c r="DQ715" s="1655"/>
      <c r="DR715" s="1655"/>
      <c r="DS715" s="1655"/>
      <c r="DT715" s="1655"/>
      <c r="DU715" s="1655"/>
      <c r="DV715" s="1655"/>
      <c r="DW715" s="1655"/>
      <c r="DX715" s="1655"/>
      <c r="DY715" s="1655"/>
      <c r="DZ715" s="1655"/>
      <c r="EA715" s="1655"/>
      <c r="EB715" s="1655"/>
      <c r="EC715" s="1655"/>
      <c r="ED715" s="1655"/>
      <c r="EE715" s="1655"/>
      <c r="EF715" s="1655"/>
      <c r="EG715" s="1655"/>
      <c r="EH715" s="1655"/>
      <c r="EI715" s="1655"/>
      <c r="EJ715" s="1655"/>
      <c r="EK715" s="1655"/>
      <c r="EL715" s="1655"/>
      <c r="EM715" s="1655"/>
      <c r="EN715" s="1655"/>
      <c r="EO715" s="1655"/>
      <c r="EP715" s="1655"/>
      <c r="EQ715" s="1655"/>
      <c r="ER715" s="1655"/>
      <c r="ES715" s="1655"/>
      <c r="ET715" s="1655"/>
      <c r="EU715" s="1655"/>
      <c r="EV715" s="1655"/>
      <c r="EW715" s="1655"/>
      <c r="EX715" s="1655"/>
      <c r="EY715" s="1655"/>
      <c r="EZ715" s="1655"/>
      <c r="FA715" s="1655"/>
      <c r="FB715" s="1655"/>
      <c r="FC715" s="1655"/>
      <c r="FD715" s="1655"/>
      <c r="FE715" s="1655"/>
      <c r="FF715" s="1655"/>
      <c r="FG715" s="1655"/>
      <c r="FH715" s="1655"/>
      <c r="FI715" s="1655"/>
    </row>
    <row r="716" spans="1:165">
      <c r="A716" s="1655"/>
      <c r="B716" s="1655"/>
      <c r="C716" s="1655"/>
      <c r="D716" s="1655"/>
      <c r="E716" s="1655"/>
      <c r="F716" s="1655"/>
      <c r="G716" s="1655"/>
      <c r="H716" s="1655"/>
      <c r="I716" s="1655"/>
      <c r="J716" s="1655"/>
      <c r="K716" s="1655"/>
      <c r="L716" s="1655"/>
      <c r="M716" s="1655"/>
      <c r="N716" s="1655"/>
      <c r="O716" s="1655"/>
      <c r="P716" s="1655"/>
      <c r="Q716" s="1655"/>
      <c r="R716" s="1655"/>
      <c r="S716" s="1655"/>
      <c r="T716" s="1655"/>
      <c r="U716" s="1655"/>
      <c r="V716" s="1655"/>
      <c r="W716" s="1655"/>
      <c r="X716" s="1655"/>
      <c r="Y716" s="1655"/>
      <c r="Z716" s="1655"/>
      <c r="AA716" s="1655"/>
      <c r="AB716" s="1655"/>
      <c r="AC716" s="1655"/>
      <c r="AD716" s="1655"/>
      <c r="AE716" s="1655"/>
      <c r="AF716" s="1655"/>
      <c r="AG716" s="1655"/>
      <c r="AH716" s="1655"/>
      <c r="AI716" s="1655"/>
      <c r="AJ716" s="1655"/>
      <c r="AK716" s="1655"/>
      <c r="AL716" s="1655"/>
      <c r="AM716" s="1655"/>
      <c r="AN716" s="1655"/>
      <c r="AO716" s="1655"/>
      <c r="AP716" s="1655"/>
      <c r="AQ716" s="1655"/>
      <c r="AR716" s="1655"/>
      <c r="AS716" s="1655"/>
      <c r="AT716" s="1655"/>
      <c r="AU716" s="1655"/>
      <c r="AV716" s="1655"/>
      <c r="AW716" s="1655"/>
      <c r="AX716" s="1655"/>
      <c r="AY716" s="1655"/>
      <c r="AZ716" s="1655"/>
      <c r="BA716" s="1655"/>
      <c r="BB716" s="1655"/>
      <c r="BC716" s="1655"/>
      <c r="BD716" s="1655"/>
      <c r="BE716" s="1655"/>
      <c r="BF716" s="1655"/>
      <c r="BG716" s="1655"/>
      <c r="BH716" s="1655"/>
      <c r="BI716" s="1655"/>
      <c r="BJ716" s="1655"/>
      <c r="BK716" s="1655"/>
      <c r="BL716" s="1655"/>
      <c r="BM716" s="1655"/>
      <c r="BN716" s="1655"/>
      <c r="BO716" s="1655"/>
      <c r="BP716" s="1655"/>
      <c r="BQ716" s="1655"/>
      <c r="BR716" s="1655"/>
      <c r="BS716" s="1655"/>
      <c r="BT716" s="1655"/>
      <c r="BU716" s="1655"/>
      <c r="BV716" s="1655"/>
      <c r="BW716" s="1655"/>
      <c r="BX716" s="1655"/>
      <c r="BY716" s="1655"/>
      <c r="BZ716" s="1655"/>
      <c r="CA716" s="1655"/>
      <c r="CB716" s="1655"/>
      <c r="CC716" s="1655"/>
      <c r="CD716" s="1655"/>
      <c r="CE716" s="1655"/>
      <c r="CF716" s="1655"/>
      <c r="CG716" s="1655"/>
      <c r="CH716" s="1655"/>
      <c r="CI716" s="1655"/>
      <c r="CJ716" s="1655"/>
      <c r="CK716" s="1655"/>
      <c r="CL716" s="1655"/>
      <c r="CM716" s="1655"/>
      <c r="CN716" s="1655"/>
      <c r="CO716" s="1655"/>
      <c r="CP716" s="1655"/>
      <c r="CQ716" s="1655"/>
      <c r="CR716" s="1655"/>
      <c r="CS716" s="1655"/>
      <c r="CT716" s="1655"/>
      <c r="CU716" s="1655"/>
      <c r="CV716" s="1655"/>
      <c r="CW716" s="1655"/>
      <c r="CX716" s="1655"/>
      <c r="CY716" s="1655"/>
      <c r="CZ716" s="1655"/>
      <c r="DA716" s="1655"/>
      <c r="DB716" s="1655"/>
      <c r="DC716" s="1655"/>
      <c r="DD716" s="1655"/>
      <c r="DE716" s="1655"/>
      <c r="DF716" s="1655"/>
      <c r="DG716" s="1655"/>
      <c r="DH716" s="1655"/>
      <c r="DI716" s="1655"/>
      <c r="DJ716" s="1655"/>
      <c r="DK716" s="1655"/>
      <c r="DL716" s="1655"/>
      <c r="DM716" s="1655"/>
      <c r="DN716" s="1655"/>
      <c r="DO716" s="1655"/>
      <c r="DP716" s="1655"/>
      <c r="DQ716" s="1655"/>
      <c r="DR716" s="1655"/>
      <c r="DS716" s="1655"/>
      <c r="DT716" s="1655"/>
      <c r="DU716" s="1655"/>
      <c r="DV716" s="1655"/>
      <c r="DW716" s="1655"/>
      <c r="DX716" s="1655"/>
      <c r="DY716" s="1655"/>
      <c r="DZ716" s="1655"/>
      <c r="EA716" s="1655"/>
      <c r="EB716" s="1655"/>
      <c r="EC716" s="1655"/>
      <c r="ED716" s="1655"/>
      <c r="EE716" s="1655"/>
      <c r="EF716" s="1655"/>
      <c r="EG716" s="1655"/>
      <c r="EH716" s="1655"/>
      <c r="EI716" s="1655"/>
      <c r="EJ716" s="1655"/>
      <c r="EK716" s="1655"/>
      <c r="EL716" s="1655"/>
      <c r="EM716" s="1655"/>
      <c r="EN716" s="1655"/>
      <c r="EO716" s="1655"/>
      <c r="EP716" s="1655"/>
      <c r="EQ716" s="1655"/>
      <c r="ER716" s="1655"/>
      <c r="ES716" s="1655"/>
      <c r="ET716" s="1655"/>
      <c r="EU716" s="1655"/>
      <c r="EV716" s="1655"/>
      <c r="EW716" s="1655"/>
      <c r="EX716" s="1655"/>
      <c r="EY716" s="1655"/>
      <c r="EZ716" s="1655"/>
      <c r="FA716" s="1655"/>
      <c r="FB716" s="1655"/>
      <c r="FC716" s="1655"/>
      <c r="FD716" s="1655"/>
      <c r="FE716" s="1655"/>
      <c r="FF716" s="1655"/>
      <c r="FG716" s="1655"/>
      <c r="FH716" s="1655"/>
      <c r="FI716" s="1655"/>
    </row>
    <row r="717" spans="1:165">
      <c r="A717" s="1655"/>
      <c r="B717" s="1655"/>
      <c r="C717" s="1655"/>
      <c r="D717" s="1655"/>
      <c r="E717" s="1655"/>
      <c r="F717" s="1655"/>
      <c r="G717" s="1655"/>
      <c r="H717" s="1655"/>
      <c r="I717" s="1655"/>
      <c r="J717" s="1655"/>
      <c r="K717" s="1655"/>
      <c r="L717" s="1655"/>
      <c r="M717" s="1655"/>
      <c r="N717" s="1655"/>
      <c r="O717" s="1655"/>
      <c r="P717" s="1655"/>
      <c r="Q717" s="1655"/>
      <c r="R717" s="1655"/>
      <c r="S717" s="1655"/>
      <c r="T717" s="1655"/>
      <c r="U717" s="1655"/>
      <c r="V717" s="1655"/>
      <c r="W717" s="1655"/>
      <c r="X717" s="1655"/>
      <c r="Y717" s="1655"/>
      <c r="Z717" s="1655"/>
      <c r="AA717" s="1655"/>
      <c r="AB717" s="1655"/>
      <c r="AC717" s="1655"/>
      <c r="AD717" s="1655"/>
      <c r="AE717" s="1655"/>
      <c r="AF717" s="1655"/>
      <c r="AG717" s="1655"/>
      <c r="AH717" s="1655"/>
      <c r="AI717" s="1655"/>
      <c r="AJ717" s="1655"/>
      <c r="AK717" s="1655"/>
      <c r="AL717" s="1655"/>
      <c r="AM717" s="1655"/>
      <c r="AN717" s="1655"/>
      <c r="AO717" s="1655"/>
      <c r="AP717" s="1655"/>
      <c r="AQ717" s="1655"/>
      <c r="AR717" s="1655"/>
      <c r="AS717" s="1655"/>
      <c r="AT717" s="1655"/>
      <c r="AU717" s="1655"/>
      <c r="AV717" s="1655"/>
      <c r="AW717" s="1655"/>
      <c r="AX717" s="1655"/>
      <c r="AY717" s="1655"/>
      <c r="AZ717" s="1655"/>
      <c r="BA717" s="1655"/>
      <c r="BB717" s="1655"/>
      <c r="BC717" s="1655"/>
      <c r="BD717" s="1655"/>
      <c r="BE717" s="1655"/>
      <c r="BF717" s="1655"/>
      <c r="BG717" s="1655"/>
      <c r="BH717" s="1655"/>
      <c r="BI717" s="1655"/>
      <c r="BJ717" s="1655"/>
      <c r="BK717" s="1655"/>
      <c r="BL717" s="1655"/>
      <c r="BM717" s="1655"/>
      <c r="BN717" s="1655"/>
      <c r="BO717" s="1655"/>
      <c r="BP717" s="1655"/>
      <c r="BQ717" s="1655"/>
      <c r="BR717" s="1655"/>
      <c r="BS717" s="1655"/>
      <c r="BT717" s="1655"/>
      <c r="BU717" s="1655"/>
      <c r="BV717" s="1655"/>
      <c r="BW717" s="1655"/>
      <c r="BX717" s="1655"/>
      <c r="BY717" s="1655"/>
      <c r="BZ717" s="1655"/>
      <c r="CA717" s="1655"/>
      <c r="CB717" s="1655"/>
      <c r="CC717" s="1655"/>
      <c r="CD717" s="1655"/>
      <c r="CE717" s="1655"/>
      <c r="CF717" s="1655"/>
      <c r="CG717" s="1655"/>
      <c r="CH717" s="1655"/>
      <c r="CI717" s="1655"/>
      <c r="CJ717" s="1655"/>
      <c r="CK717" s="1655"/>
      <c r="CL717" s="1655"/>
      <c r="CM717" s="1655"/>
      <c r="CN717" s="1655"/>
      <c r="CO717" s="1655"/>
      <c r="CP717" s="1655"/>
      <c r="CQ717" s="1655"/>
      <c r="CR717" s="1655"/>
      <c r="CS717" s="1655"/>
      <c r="CT717" s="1655"/>
      <c r="CU717" s="1655"/>
      <c r="CV717" s="1655"/>
      <c r="CW717" s="1655"/>
      <c r="CX717" s="1655"/>
      <c r="CY717" s="1655"/>
      <c r="CZ717" s="1655"/>
      <c r="DA717" s="1655"/>
      <c r="DB717" s="1655"/>
      <c r="DC717" s="1655"/>
      <c r="DD717" s="1655"/>
      <c r="DE717" s="1655"/>
      <c r="DF717" s="1655"/>
      <c r="DG717" s="1655"/>
      <c r="DH717" s="1655"/>
      <c r="DI717" s="1655"/>
      <c r="DJ717" s="1655"/>
      <c r="DK717" s="1655"/>
      <c r="DL717" s="1655"/>
      <c r="DM717" s="1655"/>
      <c r="DN717" s="1655"/>
      <c r="DO717" s="1655"/>
      <c r="DP717" s="1655"/>
      <c r="DQ717" s="1655"/>
      <c r="DR717" s="1655"/>
      <c r="DS717" s="1655"/>
      <c r="DT717" s="1655"/>
      <c r="DU717" s="1655"/>
      <c r="DV717" s="1655"/>
      <c r="DW717" s="1655"/>
      <c r="DX717" s="1655"/>
      <c r="DY717" s="1655"/>
      <c r="DZ717" s="1655"/>
      <c r="EA717" s="1655"/>
      <c r="EB717" s="1655"/>
      <c r="EC717" s="1655"/>
      <c r="ED717" s="1655"/>
      <c r="EE717" s="1655"/>
      <c r="EF717" s="1655"/>
      <c r="EG717" s="1655"/>
      <c r="EH717" s="1655"/>
      <c r="EI717" s="1655"/>
      <c r="EJ717" s="1655"/>
      <c r="EK717" s="1655"/>
      <c r="EL717" s="1655"/>
      <c r="EM717" s="1655"/>
      <c r="EN717" s="1655"/>
      <c r="EO717" s="1655"/>
      <c r="EP717" s="1655"/>
      <c r="EQ717" s="1655"/>
      <c r="ER717" s="1655"/>
      <c r="ES717" s="1655"/>
      <c r="ET717" s="1655"/>
      <c r="EU717" s="1655"/>
      <c r="EV717" s="1655"/>
      <c r="EW717" s="1655"/>
      <c r="EX717" s="1655"/>
      <c r="EY717" s="1655"/>
      <c r="EZ717" s="1655"/>
      <c r="FA717" s="1655"/>
      <c r="FB717" s="1655"/>
      <c r="FC717" s="1655"/>
      <c r="FD717" s="1655"/>
      <c r="FE717" s="1655"/>
      <c r="FF717" s="1655"/>
      <c r="FG717" s="1655"/>
      <c r="FH717" s="1655"/>
      <c r="FI717" s="1655"/>
    </row>
    <row r="718" spans="1:165">
      <c r="A718" s="1655"/>
      <c r="B718" s="1655"/>
      <c r="C718" s="1655"/>
      <c r="D718" s="1655"/>
      <c r="E718" s="1655"/>
      <c r="F718" s="1655"/>
      <c r="G718" s="1655"/>
      <c r="H718" s="1655"/>
      <c r="I718" s="1655"/>
      <c r="J718" s="1655"/>
      <c r="K718" s="1655"/>
      <c r="L718" s="1655"/>
      <c r="M718" s="1655"/>
      <c r="N718" s="1655"/>
      <c r="O718" s="1655"/>
      <c r="P718" s="1655"/>
      <c r="Q718" s="1655"/>
      <c r="R718" s="1655"/>
      <c r="S718" s="1655"/>
      <c r="T718" s="1655"/>
      <c r="U718" s="1655"/>
      <c r="V718" s="1655"/>
      <c r="W718" s="1655"/>
      <c r="X718" s="1655"/>
      <c r="Y718" s="1655"/>
      <c r="Z718" s="1655"/>
      <c r="AA718" s="1655"/>
      <c r="AB718" s="1655"/>
      <c r="AC718" s="1655"/>
      <c r="AD718" s="1655"/>
      <c r="AE718" s="1655"/>
      <c r="AF718" s="1655"/>
      <c r="AG718" s="1655"/>
      <c r="AH718" s="1655"/>
      <c r="AI718" s="1655"/>
      <c r="AJ718" s="1655"/>
      <c r="AK718" s="1655"/>
      <c r="AL718" s="1655"/>
      <c r="AM718" s="1655"/>
      <c r="AN718" s="1655"/>
      <c r="AO718" s="1655"/>
      <c r="AP718" s="1655"/>
      <c r="AQ718" s="1655"/>
      <c r="AR718" s="1655"/>
      <c r="AS718" s="1655"/>
      <c r="AT718" s="1655"/>
      <c r="AU718" s="1655"/>
      <c r="AV718" s="1655"/>
      <c r="AW718" s="1655"/>
      <c r="AX718" s="1655"/>
      <c r="AY718" s="1655"/>
      <c r="AZ718" s="1655"/>
      <c r="BA718" s="1655"/>
      <c r="BB718" s="1655"/>
      <c r="BC718" s="1655"/>
      <c r="BD718" s="1655"/>
      <c r="BE718" s="1655"/>
      <c r="BF718" s="1655"/>
      <c r="BG718" s="1655"/>
      <c r="BH718" s="1655"/>
      <c r="BI718" s="1655"/>
      <c r="BJ718" s="1655"/>
      <c r="BK718" s="1655"/>
      <c r="BL718" s="1655"/>
      <c r="BM718" s="1655"/>
      <c r="BN718" s="1655"/>
      <c r="BO718" s="1655"/>
      <c r="BP718" s="1655"/>
      <c r="BQ718" s="1655"/>
      <c r="BR718" s="1655"/>
      <c r="BS718" s="1655"/>
      <c r="BT718" s="1655"/>
      <c r="BU718" s="1655"/>
      <c r="BV718" s="1655"/>
      <c r="BW718" s="1655"/>
      <c r="BX718" s="1655"/>
      <c r="BY718" s="1655"/>
      <c r="BZ718" s="1655"/>
      <c r="CA718" s="1655"/>
      <c r="CB718" s="1655"/>
      <c r="CC718" s="1655"/>
      <c r="CD718" s="1655"/>
      <c r="CE718" s="1655"/>
      <c r="CF718" s="1655"/>
      <c r="CG718" s="1655"/>
      <c r="CH718" s="1655"/>
      <c r="CI718" s="1655"/>
      <c r="CJ718" s="1655"/>
      <c r="CK718" s="1655"/>
      <c r="CL718" s="1655"/>
      <c r="CM718" s="1655"/>
      <c r="CN718" s="1655"/>
      <c r="CO718" s="1655"/>
      <c r="CP718" s="1655"/>
      <c r="CQ718" s="1655"/>
      <c r="CR718" s="1655"/>
      <c r="CS718" s="1655"/>
      <c r="CT718" s="1655"/>
      <c r="CU718" s="1655"/>
      <c r="CV718" s="1655"/>
      <c r="CW718" s="1655"/>
      <c r="CX718" s="1655"/>
      <c r="CY718" s="1655"/>
      <c r="CZ718" s="1655"/>
      <c r="DA718" s="1655"/>
      <c r="DB718" s="1655"/>
      <c r="DC718" s="1655"/>
      <c r="DD718" s="1655"/>
      <c r="DE718" s="1655"/>
      <c r="DF718" s="1655"/>
      <c r="DG718" s="1655"/>
      <c r="DH718" s="1655"/>
      <c r="DI718" s="1655"/>
      <c r="DJ718" s="1655"/>
      <c r="DK718" s="1655"/>
      <c r="DL718" s="1655"/>
      <c r="DM718" s="1655"/>
      <c r="DN718" s="1655"/>
      <c r="DO718" s="1655"/>
      <c r="DP718" s="1655"/>
      <c r="DQ718" s="1655"/>
      <c r="DR718" s="1655"/>
      <c r="DS718" s="1655"/>
      <c r="DT718" s="1655"/>
      <c r="DU718" s="1655"/>
      <c r="DV718" s="1655"/>
      <c r="DW718" s="1655"/>
      <c r="DX718" s="1655"/>
      <c r="DY718" s="1655"/>
      <c r="DZ718" s="1655"/>
      <c r="EA718" s="1655"/>
      <c r="EB718" s="1655"/>
      <c r="EC718" s="1655"/>
      <c r="ED718" s="1655"/>
      <c r="EE718" s="1655"/>
      <c r="EF718" s="1655"/>
      <c r="EG718" s="1655"/>
      <c r="EH718" s="1655"/>
      <c r="EI718" s="1655"/>
      <c r="EJ718" s="1655"/>
      <c r="EK718" s="1655"/>
      <c r="EL718" s="1655"/>
      <c r="EM718" s="1655"/>
      <c r="EN718" s="1655"/>
      <c r="EO718" s="1655"/>
      <c r="EP718" s="1655"/>
      <c r="EQ718" s="1655"/>
      <c r="ER718" s="1655"/>
      <c r="ES718" s="1655"/>
      <c r="ET718" s="1655"/>
      <c r="EU718" s="1655"/>
      <c r="EV718" s="1655"/>
      <c r="EW718" s="1655"/>
      <c r="EX718" s="1655"/>
      <c r="EY718" s="1655"/>
      <c r="EZ718" s="1655"/>
      <c r="FA718" s="1655"/>
      <c r="FB718" s="1655"/>
      <c r="FC718" s="1655"/>
      <c r="FD718" s="1655"/>
      <c r="FE718" s="1655"/>
      <c r="FF718" s="1655"/>
      <c r="FG718" s="1655"/>
      <c r="FH718" s="1655"/>
      <c r="FI718" s="1655"/>
    </row>
    <row r="719" spans="1:165">
      <c r="K719" s="266"/>
      <c r="L719" s="266"/>
      <c r="M719" s="266"/>
      <c r="N719" s="266"/>
      <c r="O719" s="266"/>
      <c r="P719" s="266"/>
      <c r="Q719" s="266"/>
      <c r="BR719" s="266"/>
      <c r="BS719" s="266"/>
      <c r="BT719" s="266"/>
      <c r="BU719" s="266"/>
      <c r="BV719" s="266"/>
      <c r="CJ719" s="266"/>
      <c r="CO719" s="266"/>
      <c r="CP719" s="266"/>
      <c r="CQ719" s="266"/>
      <c r="CR719" s="266"/>
      <c r="CS719" s="266"/>
      <c r="CT719" s="266"/>
      <c r="CU719" s="266"/>
      <c r="CV719" s="266"/>
      <c r="CW719" s="266"/>
      <c r="CX719" s="266"/>
      <c r="CY719" s="266"/>
      <c r="CZ719" s="266"/>
      <c r="DA719" s="266"/>
      <c r="DB719" s="266"/>
      <c r="DC719" s="266"/>
      <c r="DD719" s="266"/>
      <c r="DE719" s="266"/>
      <c r="DF719" s="266"/>
      <c r="DG719" s="266"/>
      <c r="DH719" s="266"/>
      <c r="DI719" s="266"/>
      <c r="DJ719" s="266"/>
      <c r="DK719" s="266"/>
      <c r="DL719" s="266"/>
      <c r="DM719" s="266"/>
      <c r="DN719" s="266"/>
      <c r="DO719" s="266"/>
      <c r="DP719" s="266"/>
      <c r="DQ719" s="266"/>
      <c r="DR719" s="266"/>
      <c r="DS719" s="266"/>
    </row>
    <row r="720" spans="1:165">
      <c r="K720" s="266"/>
      <c r="L720" s="266"/>
      <c r="M720" s="266"/>
      <c r="N720" s="266"/>
      <c r="O720" s="266"/>
      <c r="P720" s="266"/>
      <c r="Q720" s="266"/>
      <c r="BR720" s="266"/>
      <c r="BS720" s="266"/>
      <c r="BT720" s="266"/>
      <c r="BU720" s="266"/>
      <c r="BV720" s="266"/>
      <c r="CJ720" s="266"/>
      <c r="CO720" s="266"/>
      <c r="CP720" s="266"/>
      <c r="CQ720" s="266"/>
      <c r="CR720" s="266"/>
      <c r="CS720" s="266"/>
      <c r="CT720" s="266"/>
      <c r="CU720" s="266"/>
      <c r="CV720" s="266"/>
      <c r="CW720" s="266"/>
      <c r="CX720" s="266"/>
      <c r="CY720" s="266"/>
      <c r="CZ720" s="266"/>
      <c r="DA720" s="266"/>
      <c r="DB720" s="266"/>
      <c r="DC720" s="266"/>
      <c r="DD720" s="266"/>
      <c r="DE720" s="266"/>
      <c r="DF720" s="266"/>
      <c r="DG720" s="266"/>
      <c r="DH720" s="266"/>
      <c r="DI720" s="266"/>
      <c r="DJ720" s="266"/>
      <c r="DK720" s="266"/>
      <c r="DL720" s="266"/>
      <c r="DM720" s="266"/>
      <c r="DN720" s="266"/>
      <c r="DO720" s="266"/>
      <c r="DP720" s="266"/>
      <c r="DQ720" s="266"/>
      <c r="DR720" s="266"/>
      <c r="DS720" s="266"/>
    </row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="266" customFormat="1"/>
    <row r="866" s="266" customFormat="1"/>
    <row r="867" s="266" customFormat="1"/>
    <row r="868" s="266" customFormat="1"/>
    <row r="869" s="266" customFormat="1"/>
    <row r="870" s="266" customFormat="1"/>
    <row r="871" s="266" customFormat="1"/>
    <row r="872" s="266" customFormat="1"/>
    <row r="873" s="266" customFormat="1"/>
    <row r="874" s="266" customFormat="1"/>
    <row r="875" s="266" customFormat="1"/>
    <row r="876" s="266" customFormat="1"/>
    <row r="877" s="266" customFormat="1"/>
    <row r="878" s="266" customFormat="1"/>
    <row r="879" s="266" customFormat="1"/>
    <row r="880" s="266" customFormat="1"/>
    <row r="881" s="266" customFormat="1"/>
    <row r="882" s="266" customFormat="1"/>
    <row r="883" s="266" customFormat="1"/>
    <row r="884" s="266" customFormat="1"/>
    <row r="885" s="266" customFormat="1"/>
    <row r="886" s="266" customFormat="1"/>
    <row r="887" s="266" customFormat="1"/>
    <row r="888" s="266" customFormat="1"/>
    <row r="889" s="266" customFormat="1"/>
    <row r="890" s="266" customFormat="1"/>
    <row r="891" s="266" customFormat="1"/>
    <row r="892" s="266" customFormat="1"/>
    <row r="893" s="266" customFormat="1"/>
    <row r="894" s="266" customFormat="1"/>
    <row r="895" s="266" customFormat="1"/>
    <row r="896" s="266" customFormat="1"/>
    <row r="897" s="266" customFormat="1"/>
    <row r="898" s="266" customFormat="1"/>
    <row r="899" s="266" customFormat="1"/>
    <row r="900" s="266" customFormat="1"/>
    <row r="901" s="266" customFormat="1"/>
    <row r="902" s="266" customFormat="1"/>
    <row r="903" s="266" customFormat="1"/>
    <row r="904" s="266" customFormat="1"/>
    <row r="905" s="266" customFormat="1"/>
    <row r="906" s="266" customFormat="1"/>
    <row r="907" s="266" customFormat="1"/>
    <row r="908" s="266" customFormat="1"/>
    <row r="909" s="266" customFormat="1"/>
    <row r="910" s="266" customFormat="1"/>
    <row r="911" s="266" customFormat="1"/>
    <row r="912" s="266" customFormat="1"/>
    <row r="913" s="266" customFormat="1"/>
    <row r="914" s="266" customFormat="1"/>
    <row r="915" s="266" customFormat="1"/>
    <row r="916" s="266" customFormat="1"/>
    <row r="917" s="266" customFormat="1"/>
    <row r="918" s="266" customFormat="1"/>
    <row r="919" s="266" customFormat="1"/>
    <row r="920" s="266" customFormat="1"/>
    <row r="921" s="266" customFormat="1"/>
    <row r="922" s="266" customFormat="1"/>
    <row r="923" s="266" customFormat="1"/>
    <row r="924" s="266" customFormat="1"/>
    <row r="925" s="266" customFormat="1"/>
    <row r="926" s="266" customFormat="1"/>
    <row r="927" s="266" customFormat="1"/>
    <row r="928" s="266" customFormat="1"/>
    <row r="929" s="266" customFormat="1"/>
    <row r="930" s="266" customFormat="1"/>
    <row r="931" s="266" customFormat="1"/>
    <row r="932" s="266" customFormat="1"/>
    <row r="933" s="266" customFormat="1"/>
    <row r="934" s="266" customFormat="1"/>
    <row r="935" s="266" customFormat="1"/>
    <row r="936" s="266" customFormat="1"/>
    <row r="937" s="266" customFormat="1"/>
    <row r="938" s="266" customFormat="1"/>
    <row r="939" s="266" customFormat="1"/>
    <row r="940" s="266" customFormat="1"/>
    <row r="941" s="266" customFormat="1"/>
    <row r="942" s="266" customFormat="1"/>
    <row r="943" s="266" customFormat="1"/>
    <row r="944" s="266" customFormat="1"/>
    <row r="945" s="266" customFormat="1"/>
    <row r="946" s="266" customFormat="1"/>
    <row r="947" s="266" customFormat="1"/>
    <row r="948" s="266" customFormat="1"/>
    <row r="949" s="266" customFormat="1"/>
    <row r="950" s="266" customFormat="1"/>
    <row r="951" s="266" customFormat="1"/>
    <row r="952" s="266" customFormat="1"/>
    <row r="953" s="266" customFormat="1"/>
    <row r="954" s="266" customFormat="1"/>
    <row r="955" s="266" customFormat="1"/>
    <row r="956" s="266" customFormat="1"/>
    <row r="957" s="266" customFormat="1"/>
    <row r="958" s="266" customFormat="1"/>
    <row r="959" s="266" customFormat="1"/>
    <row r="960" s="266" customFormat="1"/>
    <row r="961" s="266" customFormat="1"/>
    <row r="962" s="266" customFormat="1"/>
    <row r="963" s="266" customFormat="1"/>
    <row r="964" s="266" customFormat="1"/>
    <row r="965" s="266" customFormat="1"/>
    <row r="966" s="266" customFormat="1"/>
    <row r="967" s="266" customFormat="1"/>
    <row r="968" s="266" customFormat="1"/>
    <row r="969" s="266" customFormat="1"/>
    <row r="970" s="266" customFormat="1"/>
    <row r="971" s="266" customFormat="1"/>
    <row r="972" s="266" customFormat="1"/>
    <row r="973" s="266" customFormat="1"/>
    <row r="974" s="266" customFormat="1"/>
    <row r="975" s="266" customFormat="1"/>
    <row r="976" s="266" customFormat="1"/>
    <row r="977" s="266" customFormat="1"/>
    <row r="978" s="266" customFormat="1"/>
    <row r="979" s="266" customFormat="1"/>
    <row r="980" s="266" customFormat="1"/>
    <row r="981" s="266" customFormat="1"/>
    <row r="982" s="266" customFormat="1"/>
    <row r="983" s="266" customFormat="1"/>
    <row r="984" s="266" customFormat="1"/>
    <row r="985" s="266" customFormat="1"/>
    <row r="986" s="266" customFormat="1"/>
    <row r="987" s="266" customFormat="1"/>
    <row r="988" s="266" customFormat="1"/>
    <row r="989" s="266" customFormat="1"/>
    <row r="990" s="266" customFormat="1"/>
    <row r="991" s="266" customFormat="1"/>
    <row r="992" s="266" customFormat="1"/>
    <row r="993" s="266" customFormat="1"/>
    <row r="994" s="266" customFormat="1"/>
    <row r="995" s="266" customFormat="1"/>
    <row r="996" s="266" customFormat="1"/>
    <row r="997" s="266" customFormat="1"/>
    <row r="998" s="266" customFormat="1"/>
    <row r="999" s="266" customFormat="1"/>
    <row r="1000" s="266" customFormat="1"/>
    <row r="1001" s="266" customFormat="1"/>
    <row r="1002" s="266" customFormat="1"/>
    <row r="1003" s="266" customFormat="1"/>
    <row r="1004" s="266" customFormat="1"/>
    <row r="1005" s="266" customFormat="1"/>
    <row r="1006" s="266" customFormat="1"/>
    <row r="1007" s="266" customFormat="1"/>
    <row r="1008" s="266" customFormat="1"/>
    <row r="1009" s="266" customFormat="1"/>
    <row r="1010" s="266" customFormat="1"/>
    <row r="1011" s="266" customFormat="1"/>
    <row r="1012" s="266" customFormat="1"/>
    <row r="1013" s="266" customFormat="1"/>
    <row r="1014" s="266" customFormat="1"/>
    <row r="1015" s="266" customFormat="1"/>
    <row r="1016" s="266" customFormat="1"/>
    <row r="1017" s="266" customFormat="1"/>
    <row r="1018" s="266" customFormat="1"/>
    <row r="1019" s="266" customFormat="1"/>
    <row r="1020" s="266" customFormat="1"/>
    <row r="1021" s="266" customFormat="1"/>
    <row r="1022" s="266" customFormat="1"/>
    <row r="1023" s="266" customFormat="1"/>
    <row r="1024" s="266" customFormat="1"/>
    <row r="1025" s="266" customFormat="1"/>
    <row r="1026" s="266" customFormat="1"/>
    <row r="1027" s="266" customFormat="1"/>
    <row r="1028" s="266" customFormat="1"/>
    <row r="1029" s="266" customFormat="1"/>
    <row r="1030" s="266" customFormat="1"/>
    <row r="1031" s="266" customFormat="1"/>
    <row r="1032" s="266" customFormat="1"/>
    <row r="1033" s="266" customFormat="1"/>
    <row r="1034" s="266" customFormat="1"/>
    <row r="1035" s="266" customFormat="1"/>
    <row r="1036" s="266" customFormat="1"/>
    <row r="1037" s="266" customFormat="1"/>
    <row r="1038" s="266" customFormat="1"/>
    <row r="1039" s="266" customFormat="1"/>
    <row r="1040" s="266" customFormat="1"/>
    <row r="1041" s="266" customFormat="1"/>
    <row r="1042" s="266" customFormat="1"/>
    <row r="1043" s="266" customFormat="1"/>
    <row r="1044" s="266" customFormat="1"/>
    <row r="1045" s="266" customFormat="1"/>
    <row r="1046" s="266" customFormat="1"/>
    <row r="1047" s="266" customFormat="1"/>
    <row r="1048" s="266" customFormat="1"/>
    <row r="1049" s="266" customFormat="1"/>
    <row r="1050" s="266" customFormat="1"/>
    <row r="1051" s="266" customFormat="1"/>
    <row r="1052" s="266" customFormat="1"/>
    <row r="1053" s="266" customFormat="1"/>
    <row r="1054" s="266" customFormat="1"/>
    <row r="1055" s="266" customFormat="1"/>
    <row r="1056" s="266" customFormat="1"/>
    <row r="1057" s="266" customFormat="1"/>
    <row r="1058" s="266" customFormat="1"/>
    <row r="1059" s="266" customFormat="1"/>
    <row r="1060" s="266" customFormat="1"/>
    <row r="1061" s="266" customFormat="1"/>
    <row r="1062" s="266" customFormat="1"/>
    <row r="1063" s="266" customFormat="1"/>
    <row r="1064" s="266" customFormat="1"/>
    <row r="1065" s="266" customFormat="1"/>
    <row r="1066" s="266" customFormat="1"/>
    <row r="1067" s="266" customFormat="1"/>
    <row r="1068" s="266" customFormat="1"/>
    <row r="1069" s="266" customFormat="1"/>
    <row r="1070" s="266" customFormat="1"/>
    <row r="1071" s="266" customFormat="1"/>
    <row r="1072" s="266" customFormat="1"/>
    <row r="1073" s="266" customFormat="1"/>
    <row r="1074" s="266" customFormat="1"/>
    <row r="1075" s="266" customFormat="1"/>
    <row r="1076" s="266" customFormat="1"/>
    <row r="1077" s="266" customFormat="1"/>
    <row r="1078" s="266" customFormat="1"/>
    <row r="1079" s="266" customFormat="1"/>
    <row r="1080" s="266" customFormat="1"/>
    <row r="1081" s="266" customFormat="1"/>
    <row r="1082" s="266" customFormat="1"/>
    <row r="1083" s="266" customFormat="1"/>
    <row r="1084" s="266" customFormat="1"/>
    <row r="1085" s="266" customFormat="1"/>
    <row r="1086" s="266" customFormat="1"/>
    <row r="1087" s="266" customFormat="1"/>
    <row r="1088" s="266" customFormat="1"/>
    <row r="1089" s="266" customFormat="1"/>
    <row r="1090" s="266" customFormat="1"/>
    <row r="1091" s="266" customFormat="1"/>
    <row r="1092" s="266" customFormat="1"/>
    <row r="1093" s="266" customFormat="1"/>
    <row r="1094" s="266" customFormat="1"/>
    <row r="1095" s="266" customFormat="1"/>
    <row r="1096" s="266" customFormat="1"/>
    <row r="1097" s="266" customFormat="1"/>
    <row r="1098" s="266" customFormat="1"/>
    <row r="1099" s="266" customFormat="1"/>
    <row r="1100" s="266" customFormat="1"/>
    <row r="1101" s="266" customFormat="1"/>
    <row r="1102" s="266" customFormat="1"/>
    <row r="1103" s="266" customFormat="1"/>
    <row r="1104" s="266" customFormat="1"/>
    <row r="1105" s="266" customFormat="1"/>
    <row r="1106" s="266" customFormat="1"/>
    <row r="1107" s="266" customFormat="1"/>
    <row r="1108" s="266" customFormat="1"/>
    <row r="1109" s="266" customFormat="1"/>
    <row r="1110" s="266" customFormat="1"/>
    <row r="1111" s="266" customFormat="1"/>
    <row r="1112" s="266" customFormat="1"/>
    <row r="1113" s="266" customFormat="1"/>
    <row r="1114" s="266" customFormat="1"/>
    <row r="1115" s="266" customFormat="1"/>
    <row r="1116" s="266" customFormat="1"/>
    <row r="1117" s="266" customFormat="1"/>
    <row r="1118" s="266" customFormat="1"/>
    <row r="1119" s="266" customFormat="1"/>
    <row r="1120" s="266" customFormat="1"/>
    <row r="1121" s="266" customFormat="1"/>
    <row r="1122" s="266" customFormat="1"/>
    <row r="1123" s="266" customFormat="1"/>
    <row r="1124" s="266" customFormat="1"/>
    <row r="1125" s="266" customFormat="1"/>
    <row r="1126" s="266" customFormat="1"/>
    <row r="1127" s="266" customFormat="1"/>
    <row r="1128" s="266" customFormat="1"/>
    <row r="1129" s="266" customFormat="1"/>
    <row r="1130" s="266" customFormat="1"/>
    <row r="1131" s="266" customFormat="1"/>
    <row r="1132" s="266" customFormat="1"/>
    <row r="1133" s="266" customFormat="1"/>
    <row r="1134" s="266" customFormat="1"/>
    <row r="1135" s="266" customFormat="1"/>
    <row r="1136" s="266" customFormat="1"/>
    <row r="1137" s="266" customFormat="1"/>
    <row r="1138" s="266" customFormat="1"/>
    <row r="1139" s="266" customFormat="1"/>
    <row r="1140" s="266" customFormat="1"/>
    <row r="1141" s="266" customFormat="1"/>
    <row r="1142" s="266" customFormat="1"/>
    <row r="1143" s="266" customFormat="1"/>
    <row r="1144" s="266" customFormat="1"/>
    <row r="1145" s="266" customFormat="1"/>
    <row r="1146" s="266" customFormat="1"/>
    <row r="1147" s="266" customFormat="1"/>
    <row r="1148" s="266" customFormat="1"/>
    <row r="1149" s="266" customFormat="1"/>
    <row r="1150" s="266" customFormat="1"/>
    <row r="1151" s="266" customFormat="1"/>
    <row r="1152" s="266" customFormat="1"/>
    <row r="1153" s="266" customFormat="1"/>
    <row r="1154" s="266" customFormat="1"/>
    <row r="1155" s="266" customFormat="1"/>
    <row r="1156" s="266" customFormat="1"/>
    <row r="1157" s="266" customFormat="1"/>
    <row r="1158" s="266" customFormat="1"/>
    <row r="1159" s="266" customFormat="1"/>
    <row r="1160" s="266" customFormat="1"/>
    <row r="1161" s="266" customFormat="1"/>
    <row r="1162" s="266" customFormat="1"/>
    <row r="1163" s="266" customFormat="1"/>
    <row r="1164" s="266" customFormat="1"/>
    <row r="1165" s="266" customFormat="1"/>
    <row r="1166" s="266" customFormat="1"/>
    <row r="1167" s="266" customFormat="1"/>
    <row r="1168" s="266" customFormat="1"/>
    <row r="1169" s="266" customFormat="1"/>
    <row r="1170" s="266" customFormat="1"/>
    <row r="1171" s="266" customFormat="1"/>
    <row r="1172" s="266" customFormat="1"/>
    <row r="1173" s="266" customFormat="1"/>
    <row r="1174" s="266" customFormat="1"/>
    <row r="1175" s="266" customFormat="1"/>
    <row r="1176" s="266" customFormat="1"/>
    <row r="1177" s="266" customFormat="1"/>
    <row r="1178" s="266" customFormat="1"/>
    <row r="1179" s="266" customFormat="1"/>
    <row r="1180" s="266" customFormat="1"/>
    <row r="1181" s="266" customFormat="1"/>
    <row r="1182" s="266" customFormat="1"/>
    <row r="1183" s="266" customFormat="1"/>
    <row r="1184" s="266" customFormat="1"/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70"/>
  <sheetViews>
    <sheetView showGridLines="0" zoomScale="95" zoomScaleNormal="95" workbookViewId="0">
      <selection activeCell="C19" sqref="C19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65" t="s">
        <v>1159</v>
      </c>
      <c r="C1" s="1162"/>
      <c r="D1" s="1066"/>
      <c r="E1" s="1066"/>
      <c r="F1" s="1275" t="s">
        <v>952</v>
      </c>
      <c r="G1" s="1276">
        <f ca="1">LnkTXTIRTEco</f>
        <v>0.25069999999999998</v>
      </c>
    </row>
    <row r="2" spans="2:18" ht="23.25" customHeight="1">
      <c r="B2" s="138" t="str">
        <f>CAPA!C9</f>
        <v>Cerpro</v>
      </c>
      <c r="C2" s="70"/>
      <c r="D2" s="70"/>
      <c r="E2" s="70"/>
      <c r="F2" s="121" t="s">
        <v>956</v>
      </c>
      <c r="G2" s="122">
        <f ca="1">LnkTXTIRTTotal</f>
        <v>0.19489999999999999</v>
      </c>
    </row>
    <row r="3" spans="2:18" ht="16.5">
      <c r="B3" s="71" t="s">
        <v>759</v>
      </c>
      <c r="K3" s="71" t="s">
        <v>1160</v>
      </c>
      <c r="O3" s="9" t="s">
        <v>1161</v>
      </c>
    </row>
    <row r="4" spans="2:18">
      <c r="B4" s="1323" t="s">
        <v>854</v>
      </c>
      <c r="C4" s="1323" t="s">
        <v>771</v>
      </c>
      <c r="K4" s="1323" t="s">
        <v>974</v>
      </c>
      <c r="L4" s="1323" t="s">
        <v>977</v>
      </c>
      <c r="O4" s="68" t="s">
        <v>1162</v>
      </c>
    </row>
    <row r="5" spans="2:18">
      <c r="B5" s="1324" t="s">
        <v>1163</v>
      </c>
      <c r="C5" s="1325">
        <f ca="1">SUM(C6,C9)</f>
        <v>10944.528595109821</v>
      </c>
      <c r="K5" s="68" t="s">
        <v>857</v>
      </c>
      <c r="L5" s="141">
        <f ca="1">FornecimentoE</f>
        <v>10563.659</v>
      </c>
      <c r="O5" s="68" t="s">
        <v>1164</v>
      </c>
    </row>
    <row r="6" spans="2:18">
      <c r="B6" s="1326" t="s">
        <v>1165</v>
      </c>
      <c r="C6" s="1327">
        <f ca="1">SUM(C7:C8)</f>
        <v>10563.659</v>
      </c>
      <c r="E6" s="79">
        <f ca="1">C23/LnkTXTEV-1</f>
        <v>3.6054703688354728E-2</v>
      </c>
      <c r="K6" s="68" t="s">
        <v>1166</v>
      </c>
      <c r="L6" s="141">
        <f ca="1">DSUM(MercadoBase,"TE_E",INDIRECT("Mercado_Criterio"&amp;Calc_Mercado!B17))</f>
        <v>0</v>
      </c>
      <c r="O6" s="68" t="s">
        <v>1167</v>
      </c>
    </row>
    <row r="7" spans="2:18">
      <c r="B7" s="145" t="s">
        <v>857</v>
      </c>
      <c r="C7" s="146">
        <f ca="1">L5</f>
        <v>10563.659</v>
      </c>
      <c r="K7" s="68" t="s">
        <v>1168</v>
      </c>
      <c r="L7" s="141">
        <f ca="1">LivreE</f>
        <v>40537.047999999995</v>
      </c>
      <c r="O7" s="68" t="s">
        <v>1169</v>
      </c>
    </row>
    <row r="8" spans="2:18">
      <c r="B8" s="145" t="s">
        <v>866</v>
      </c>
      <c r="C8" s="146">
        <f ca="1">L6</f>
        <v>0</v>
      </c>
      <c r="K8" s="68" t="s">
        <v>957</v>
      </c>
      <c r="L8" s="141">
        <f ca="1">LivreE_A1</f>
        <v>0</v>
      </c>
      <c r="O8" s="68" t="s">
        <v>1170</v>
      </c>
    </row>
    <row r="9" spans="2:18">
      <c r="B9" s="1326" t="s">
        <v>1171</v>
      </c>
      <c r="C9" s="1327">
        <f ca="1">SUM(C10:C12)</f>
        <v>380.86959510982177</v>
      </c>
      <c r="K9" s="834" t="s">
        <v>1172</v>
      </c>
      <c r="L9" s="1328">
        <f ca="1">FornecimentoE_BT</f>
        <v>8167.2539999999999</v>
      </c>
      <c r="O9" s="68" t="s">
        <v>1173</v>
      </c>
    </row>
    <row r="10" spans="2:18">
      <c r="B10" s="145" t="s">
        <v>1174</v>
      </c>
      <c r="C10" s="146">
        <f ca="1">M16+M17</f>
        <v>380.86959510982177</v>
      </c>
      <c r="J10" s="125"/>
      <c r="O10" s="79"/>
    </row>
    <row r="11" spans="2:18">
      <c r="B11" s="145" t="s">
        <v>1175</v>
      </c>
      <c r="C11" s="479"/>
      <c r="K11" s="71" t="s">
        <v>1176</v>
      </c>
      <c r="L11" s="126"/>
      <c r="O11" s="68" t="s">
        <v>1177</v>
      </c>
      <c r="P11" s="507">
        <f ca="1">L20/(C6+L20)</f>
        <v>7.3212102767433535E-2</v>
      </c>
      <c r="Q11" s="69">
        <f ca="1">P11*($L$23+LnkTXTGPM)</f>
        <v>958.4881396966698</v>
      </c>
    </row>
    <row r="12" spans="2:18">
      <c r="B12" s="145" t="s">
        <v>1178</v>
      </c>
      <c r="C12" s="479"/>
      <c r="D12" s="72"/>
      <c r="F12" s="72"/>
      <c r="G12" s="127"/>
      <c r="K12" s="147" t="s">
        <v>854</v>
      </c>
      <c r="L12" s="1329" t="s">
        <v>1179</v>
      </c>
      <c r="M12" s="1330" t="s">
        <v>29</v>
      </c>
      <c r="O12" s="68" t="s">
        <v>1180</v>
      </c>
      <c r="P12" s="398">
        <v>0.1389</v>
      </c>
      <c r="Q12" s="69"/>
      <c r="R12" s="142"/>
    </row>
    <row r="13" spans="2:18">
      <c r="B13" s="1331" t="s">
        <v>1181</v>
      </c>
      <c r="C13" s="1332">
        <f ca="1">IFERROR(E23,0)</f>
        <v>304.21184106880389</v>
      </c>
      <c r="D13" s="92"/>
      <c r="E13" s="92"/>
      <c r="F13" s="92"/>
      <c r="G13" s="92"/>
      <c r="K13" s="68" t="s">
        <v>1182</v>
      </c>
      <c r="L13" s="398">
        <f>CAPA!H30</f>
        <v>0</v>
      </c>
      <c r="M13" s="477">
        <f ca="1">IFERROR(IF($L$21&lt;$L$20,L13,($L$20/$L$21)*L13),0)</f>
        <v>0</v>
      </c>
      <c r="O13" s="68" t="s">
        <v>1183</v>
      </c>
      <c r="P13" s="507">
        <f ca="1">IF(P11&lt;P12,P11,(IF(P11=0,0,P11*0.75+P12*0.25)))</f>
        <v>7.3212102767433535E-2</v>
      </c>
      <c r="Q13" s="69">
        <f ca="1">($L$5+$L$6-$L$8)*P13/(1-P13)</f>
        <v>834.48186000000339</v>
      </c>
    </row>
    <row r="14" spans="2:18">
      <c r="B14" s="1333" t="s">
        <v>1184</v>
      </c>
      <c r="C14" s="1334">
        <f ca="1">C13*C5</f>
        <v>3329455.1935485285</v>
      </c>
      <c r="D14" s="128"/>
      <c r="E14" s="128"/>
      <c r="F14" s="128"/>
      <c r="G14" s="129"/>
      <c r="K14" s="68" t="s">
        <v>1185</v>
      </c>
      <c r="L14" s="398">
        <f>IF(CAPA!P1="verdadeiro",IF(CAPA!H29=0,CAPA!K34,CAPA!H29),CAPA!H41)</f>
        <v>3.4799999999999998E-2</v>
      </c>
      <c r="M14" s="398">
        <f ca="1">M17/((L5+L6-L8+M16)+M17)</f>
        <v>3.4799999999999998E-2</v>
      </c>
      <c r="O14" s="68" t="s">
        <v>1186</v>
      </c>
      <c r="P14" s="507">
        <f ca="1">(L17+L16)/(L16+L17+L5+L6)</f>
        <v>3.4799999999999998E-2</v>
      </c>
      <c r="Q14" s="69">
        <f ca="1">IF(CAPA!H33="",(L5+L6-L8)/(1-L14)*L14,CAPA!H33)+IF(CAPA!H34="",L13*L9,CAPA!H34)</f>
        <v>380.86959510982177</v>
      </c>
    </row>
    <row r="15" spans="2:18">
      <c r="E15" s="79"/>
      <c r="F15" s="72"/>
      <c r="G15" s="127"/>
      <c r="K15" s="834" t="s">
        <v>1187</v>
      </c>
      <c r="L15" s="1335">
        <f>IF(CAPA!H31=0,0,CAPA!H31)</f>
        <v>0</v>
      </c>
      <c r="M15" s="1336">
        <f ca="1">IFERROR(IF($L$21&lt;$L$20,L15,($L$20/$L$21)*L15),0)</f>
        <v>0</v>
      </c>
      <c r="O15" s="68" t="s">
        <v>1188</v>
      </c>
      <c r="P15" s="79">
        <f ca="1">IF(P14&lt;P13,P14,P13)</f>
        <v>3.4799999999999998E-2</v>
      </c>
      <c r="Q15" s="69">
        <f ca="1">IF(Q14&lt;Q13,Q14,Q13)</f>
        <v>380.86959510982177</v>
      </c>
      <c r="R15" s="79">
        <f ca="1">Q15/(L5+Q15)</f>
        <v>3.4799999999999998E-2</v>
      </c>
    </row>
    <row r="16" spans="2:18">
      <c r="B16" s="130" t="s">
        <v>1189</v>
      </c>
      <c r="C16" s="131"/>
      <c r="D16" s="132"/>
      <c r="E16" s="132"/>
      <c r="F16" s="132"/>
      <c r="K16" s="1337" t="s">
        <v>1190</v>
      </c>
      <c r="L16" s="1337">
        <f ca="1">IF(CAPA!H34="",L13*L9,CAPA!H34)</f>
        <v>0</v>
      </c>
      <c r="M16" s="478">
        <f ca="1">IF(CAPA!P1="verdadeiro",IF($L$21&lt;$L$20,L16,($L$20/$L$21)*L16),L16)</f>
        <v>0</v>
      </c>
      <c r="O16" s="142" t="s">
        <v>1191</v>
      </c>
      <c r="P16" s="79">
        <f ca="1">IF(P15&gt;P12,P12,P15)</f>
        <v>3.4799999999999998E-2</v>
      </c>
      <c r="Q16" s="69">
        <f ca="1">($L$5+$L$6-$L$8+Q15)*P16</f>
        <v>380.86959510982177</v>
      </c>
    </row>
    <row r="17" spans="1:22">
      <c r="B17" s="1323" t="s">
        <v>1192</v>
      </c>
      <c r="C17" s="1323" t="s">
        <v>1193</v>
      </c>
      <c r="D17" s="1323"/>
      <c r="E17" s="1323" t="s">
        <v>1194</v>
      </c>
      <c r="F17" s="1323" t="s">
        <v>1195</v>
      </c>
      <c r="K17" s="141" t="s">
        <v>1196</v>
      </c>
      <c r="L17" s="141">
        <f ca="1">IF(CAPA!H33="",(L5+L6-L8+L16)/(1-L14)*L14,CAPA!H33)</f>
        <v>380.86959510982177</v>
      </c>
      <c r="M17" s="478">
        <f ca="1">IF(CAPA!P1="verdadeiro",IF($L$21&lt;$L$20,L17,($L$20/$L$21)*L17),L17)</f>
        <v>380.86959510982177</v>
      </c>
      <c r="N17" s="142"/>
      <c r="O17" s="68" t="s">
        <v>1197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800">
        <f ca="1">IFERROR(C56*N29,0)</f>
        <v>0</v>
      </c>
      <c r="D18" s="123"/>
      <c r="E18" s="123">
        <f>CAPA!E58</f>
        <v>0</v>
      </c>
      <c r="F18" s="77">
        <f ca="1">C18*E18</f>
        <v>0</v>
      </c>
      <c r="G18" s="801"/>
      <c r="H18" s="803"/>
      <c r="I18" s="134"/>
      <c r="K18" s="141" t="s">
        <v>1175</v>
      </c>
      <c r="L18" s="399">
        <f ca="1">(L16+L17)*L15</f>
        <v>0</v>
      </c>
      <c r="M18" s="399">
        <f ca="1">IFERROR(IF($L$21&lt;$L$20,L18,($L$20/$L$21)*L18),0)</f>
        <v>0</v>
      </c>
      <c r="O18" s="68" t="s">
        <v>1198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215.08</v>
      </c>
      <c r="D19" s="89"/>
      <c r="E19" s="89">
        <v>0</v>
      </c>
      <c r="F19" s="77">
        <v>0</v>
      </c>
      <c r="G19" s="802"/>
      <c r="H19" s="803"/>
      <c r="K19" s="1328" t="s">
        <v>1178</v>
      </c>
      <c r="L19" s="1338">
        <f ca="1">(L5+L6)*L15</f>
        <v>0</v>
      </c>
      <c r="M19" s="1338">
        <f ca="1">IFERROR(IF($L$21&lt;$L$20,L19,($L$20/$L$21)*L19),0)</f>
        <v>0</v>
      </c>
      <c r="P19" s="142"/>
    </row>
    <row r="20" spans="1:22">
      <c r="B20" s="78" t="str">
        <f>B49</f>
        <v>Angra</v>
      </c>
      <c r="C20" s="256">
        <f ca="1">C49*N29</f>
        <v>0</v>
      </c>
      <c r="D20" s="89"/>
      <c r="E20" s="89">
        <f>E49</f>
        <v>0</v>
      </c>
      <c r="F20" s="77">
        <f ca="1">E20*C20</f>
        <v>0</v>
      </c>
      <c r="G20" s="802"/>
      <c r="H20" s="803"/>
      <c r="J20" s="134"/>
      <c r="K20" s="141" t="s">
        <v>1199</v>
      </c>
      <c r="L20" s="141">
        <f ca="1">IF(L24-LnkTXTEV+LnkTXTGPM&lt;0,0,L24-LnkTXTEV+LnkTXTGPM)</f>
        <v>834.48186000000351</v>
      </c>
      <c r="M20" s="399"/>
      <c r="N20" s="142"/>
    </row>
    <row r="21" spans="1:22">
      <c r="B21" s="78" t="str">
        <f>B50</f>
        <v>CCGF</v>
      </c>
      <c r="C21" s="256">
        <f ca="1">(C50+C51)*N29</f>
        <v>0</v>
      </c>
      <c r="D21" s="89"/>
      <c r="E21" s="89">
        <f>E50</f>
        <v>0</v>
      </c>
      <c r="F21" s="77">
        <f ca="1">E21*C21</f>
        <v>0</v>
      </c>
      <c r="G21" s="802"/>
      <c r="H21" s="803"/>
      <c r="K21" s="1328" t="s">
        <v>1200</v>
      </c>
      <c r="L21" s="1328">
        <f ca="1">L16+L17</f>
        <v>380.86959510982177</v>
      </c>
      <c r="M21" s="1338"/>
    </row>
    <row r="22" spans="1:22">
      <c r="B22" s="78" t="s">
        <v>1201</v>
      </c>
      <c r="C22" s="256">
        <f ca="1">J46*N29</f>
        <v>10729.448595109821</v>
      </c>
      <c r="D22" s="89"/>
      <c r="E22" s="89">
        <f ca="1">K46</f>
        <v>310.31</v>
      </c>
      <c r="F22" s="77">
        <f ca="1">E22*C22</f>
        <v>3329455.1935485285</v>
      </c>
      <c r="G22" s="802"/>
      <c r="H22" s="803"/>
    </row>
    <row r="23" spans="1:22">
      <c r="B23" s="1339" t="s">
        <v>1202</v>
      </c>
      <c r="C23" s="1340">
        <f ca="1">SUM(C18:C22)</f>
        <v>10944.528595109821</v>
      </c>
      <c r="D23" s="1341"/>
      <c r="E23" s="1341">
        <f ca="1">IF(SUM(C18:C22)=0,0,SUM(F18:F22)/SUM(C18:C22))</f>
        <v>304.21184106880389</v>
      </c>
      <c r="F23" s="1342">
        <f ca="1">SUM(F18:F22)</f>
        <v>3329455.1935485285</v>
      </c>
      <c r="G23" s="802"/>
      <c r="H23" s="803"/>
      <c r="K23" s="1343" t="s">
        <v>1203</v>
      </c>
      <c r="L23" s="1344">
        <f ca="1">SUMIF(CUSD!F6:F30,"Energia",CUSD!G6:G30)/1000-L7</f>
        <v>13091.935670000013</v>
      </c>
      <c r="M23" s="68">
        <f ca="1">LnkTXTEV</f>
        <v>10563.659</v>
      </c>
    </row>
    <row r="24" spans="1:22" ht="27.75" customHeight="1">
      <c r="E24" s="68">
        <v>192.89</v>
      </c>
      <c r="F24" s="135"/>
      <c r="G24" s="802"/>
      <c r="H24" s="862"/>
      <c r="J24" s="72"/>
      <c r="K24" s="1343" t="s">
        <v>878</v>
      </c>
      <c r="L24" s="1345">
        <f>E35+L25+C56</f>
        <v>11398.140860000003</v>
      </c>
      <c r="M24" s="785">
        <f ca="1">L23/L24-1</f>
        <v>0.14860272660290752</v>
      </c>
    </row>
    <row r="25" spans="1:22">
      <c r="E25" s="93"/>
      <c r="F25" s="135"/>
      <c r="G25" s="127"/>
      <c r="H25" s="72"/>
      <c r="I25" s="72"/>
      <c r="J25" s="72"/>
      <c r="K25" s="1343" t="s">
        <v>1204</v>
      </c>
      <c r="L25" s="1346">
        <f>SUMIFS(Faturas!V:V,Faturas!U:U,"Proinfa*")/1000</f>
        <v>222.858</v>
      </c>
    </row>
    <row r="26" spans="1:22">
      <c r="A26" s="74"/>
      <c r="B26" s="71"/>
      <c r="F26" s="91"/>
      <c r="G26" s="72">
        <v>201</v>
      </c>
      <c r="H26" s="72"/>
      <c r="I26" s="72"/>
      <c r="K26" s="130"/>
      <c r="L26" s="858"/>
      <c r="M26" s="101"/>
      <c r="N26" s="101"/>
    </row>
    <row r="27" spans="1:22" ht="24" customHeight="1">
      <c r="B27" s="1347" t="s">
        <v>27</v>
      </c>
      <c r="C27" s="1347" t="s">
        <v>954</v>
      </c>
      <c r="D27" s="1347" t="s">
        <v>1205</v>
      </c>
      <c r="E27" s="1347" t="s">
        <v>977</v>
      </c>
      <c r="F27" s="1347" t="s">
        <v>1206</v>
      </c>
      <c r="G27" s="1348" t="s">
        <v>1207</v>
      </c>
      <c r="H27" s="1348" t="s">
        <v>1208</v>
      </c>
      <c r="I27" s="1348" t="s">
        <v>1209</v>
      </c>
      <c r="K27" s="71" t="s">
        <v>1210</v>
      </c>
    </row>
    <row r="28" spans="1:22" ht="16.5">
      <c r="A28" s="74" t="s">
        <v>2238</v>
      </c>
      <c r="B28" s="527" t="s">
        <v>2239</v>
      </c>
      <c r="C28" s="527" t="s">
        <v>2218</v>
      </c>
      <c r="D28" s="527">
        <f>IF(B28="","",SUMIFS(Faturas!V:V,Faturas!U:U,"Consumo*",Faturas!S:S,Energia!C28,Faturas!R:R,Energia!B28))</f>
        <v>11175282.860000003</v>
      </c>
      <c r="E28" s="527">
        <f>IF(B28="","",D28/1000)</f>
        <v>11175.282860000003</v>
      </c>
      <c r="F28" s="619">
        <f>I28</f>
        <v>0</v>
      </c>
      <c r="G28" s="528">
        <f>IFERROR(VLOOKUP(CONCATENATE(A28,A64),BD!$H$43:$S$59,12,FALSE),"")</f>
        <v>310.31</v>
      </c>
      <c r="H28" s="528">
        <f>IF(B28="","",IFERROR(G28*(1-F28),0))</f>
        <v>310.31</v>
      </c>
      <c r="I28" s="526">
        <f>IF(A64="","",_xlfn.IFNA(VLOOKUP(CONCATENATE($B$2,A28,A64),DescontosTE[[#All],[chave]:[2021]],8,FALSE),0))</f>
        <v>0</v>
      </c>
      <c r="K28" s="1349" t="s">
        <v>22</v>
      </c>
      <c r="L28" s="1350" t="s">
        <v>1211</v>
      </c>
      <c r="M28" s="1350" t="s">
        <v>1212</v>
      </c>
      <c r="N28" s="1351" t="s">
        <v>1213</v>
      </c>
      <c r="P28" s="68" t="s">
        <v>977</v>
      </c>
      <c r="Q28" s="68" t="s">
        <v>1206</v>
      </c>
      <c r="R28" s="68" t="s">
        <v>1207</v>
      </c>
      <c r="S28" s="68" t="s">
        <v>1208</v>
      </c>
      <c r="T28" s="68" t="s">
        <v>1209</v>
      </c>
    </row>
    <row r="29" spans="1:22">
      <c r="A29" s="74"/>
      <c r="B29" s="527"/>
      <c r="C29" s="527"/>
      <c r="D29" s="527" t="str">
        <f>IF(B29="","",SUMIFS(Faturas!V:V,Faturas!U:U,"Consumo*",Faturas!S:S,Energia!C29,Faturas!R:R,Energia!B29))</f>
        <v/>
      </c>
      <c r="E29" s="527" t="str">
        <f>IF(B29="","",D29/1000)</f>
        <v/>
      </c>
      <c r="F29" s="619" t="str">
        <f t="shared" ref="F29:F32" si="0">I29</f>
        <v/>
      </c>
      <c r="G29" s="528" t="str">
        <f>IFERROR(VLOOKUP(CONCATENATE(A29,A65),BD!$H$43:$S$59,12,FALSE),"")</f>
        <v/>
      </c>
      <c r="H29" s="528" t="str">
        <f t="shared" ref="H29:H34" si="1">IF(B29="","",IFERROR(G29*(1-F29),0))</f>
        <v/>
      </c>
      <c r="I29" s="526" t="str">
        <f>IF(A65="","",_xlfn.IFNA(VLOOKUP(CONCATENATE($B$2,A29,A65),DescontosTE[[#All],[chave]:[2021]],8,FALSE),0))</f>
        <v/>
      </c>
      <c r="K29" s="68" t="s">
        <v>1214</v>
      </c>
      <c r="L29" s="142">
        <f>J46+C49+C50+C51+C56</f>
        <v>11175.282860000003</v>
      </c>
      <c r="M29" s="93">
        <f ca="1">LnkTXTER-LnkTXTProinfa</f>
        <v>10729.448595109821</v>
      </c>
      <c r="N29" s="212">
        <f ca="1">M29/L29</f>
        <v>0.96010532614919586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8">
        <f ca="1">IF(M29="","",IFERROR(R29*(1-Q29),0))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 ht="15.75">
      <c r="A30" s="74"/>
      <c r="B30" s="527"/>
      <c r="C30" s="527"/>
      <c r="D30" s="527" t="str">
        <f>IF(B30="","",SUMIFS(Faturas!V:V,Faturas!U:U,"Consumo*",Faturas!S:S,Energia!C30,Faturas!R:R,Energia!B30))</f>
        <v/>
      </c>
      <c r="E30" s="527" t="str">
        <f>IF(B30="","",D30/1000)</f>
        <v/>
      </c>
      <c r="F30" s="619" t="str">
        <f t="shared" si="0"/>
        <v/>
      </c>
      <c r="G30" s="528" t="str">
        <f>IFERROR(VLOOKUP(CONCATENATE(A30,A66),BD!$H$43:$S$59,12,FALSE),"")</f>
        <v/>
      </c>
      <c r="H30" s="528" t="str">
        <f t="shared" si="1"/>
        <v/>
      </c>
      <c r="I30" s="526" t="str">
        <f>IF(A66="","",_xlfn.IFNA(VLOOKUP(CONCATENATE($B$2,A30,A66),DescontosTE[[#All],[chave]:[2021]],8,FALSE),0))</f>
        <v/>
      </c>
      <c r="K30" s="844"/>
      <c r="L30" s="845"/>
      <c r="M30" s="847"/>
      <c r="N30" s="847"/>
      <c r="O30" s="130"/>
      <c r="P30" s="68">
        <v>121096.97702999999</v>
      </c>
      <c r="Q30" s="68">
        <v>0.63819999999999999</v>
      </c>
      <c r="R30" s="68">
        <v>273.60000000000002</v>
      </c>
      <c r="S30" s="528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7"/>
      <c r="C31" s="527"/>
      <c r="D31" s="527" t="str">
        <f>IF(B31="","",SUMIFS(Faturas!V:V,Faturas!U:U,"Consumo*",Faturas!S:S,Energia!C31,Faturas!R:R,Energia!B31))</f>
        <v/>
      </c>
      <c r="E31" s="527" t="str">
        <f t="shared" ref="E31:E34" si="5">IF(B31="","",D31/1000)</f>
        <v/>
      </c>
      <c r="F31" s="619" t="str">
        <f t="shared" si="0"/>
        <v/>
      </c>
      <c r="G31" s="528" t="str">
        <f>IFERROR(VLOOKUP(CONCATENATE(A31,A67),BD!$H$43:$S$59,12,FALSE),"")</f>
        <v/>
      </c>
      <c r="H31" s="528" t="str">
        <f t="shared" si="1"/>
        <v/>
      </c>
      <c r="I31" s="526" t="str">
        <f>IF(A67="","",_xlfn.IFNA(VLOOKUP(CONCATENATE($B$2,A31,A67),DescontosTE[[#All],[chave]:[2021]],8,FALSE),0))</f>
        <v/>
      </c>
      <c r="K31" s="844"/>
      <c r="L31" s="847"/>
      <c r="M31" s="846"/>
      <c r="N31" s="848"/>
      <c r="O31" s="130"/>
      <c r="P31" s="68">
        <v>252593.90320000003</v>
      </c>
      <c r="Q31" s="68">
        <v>0.53600000000000003</v>
      </c>
      <c r="R31" s="68">
        <v>273.60000000000002</v>
      </c>
      <c r="S31" s="528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7"/>
      <c r="C32" s="527"/>
      <c r="D32" s="527" t="str">
        <f>IF(B32="","",SUMIFS(Faturas!V:V,Faturas!U:U,"Consumo*",Faturas!S:S,Energia!C32,Faturas!R:R,Energia!B32))</f>
        <v/>
      </c>
      <c r="E32" s="527" t="str">
        <f t="shared" si="5"/>
        <v/>
      </c>
      <c r="F32" s="619" t="str">
        <f t="shared" si="0"/>
        <v/>
      </c>
      <c r="G32" s="528" t="str">
        <f>IFERROR(VLOOKUP(CONCATENATE(A32,A68),BD!$H$43:$S$59,12,FALSE),"")</f>
        <v/>
      </c>
      <c r="H32" s="528" t="str">
        <f t="shared" si="1"/>
        <v/>
      </c>
      <c r="I32" s="526" t="str">
        <f>IF(A68="","",_xlfn.IFNA(VLOOKUP(CONCATENATE($B$2,A32,A68),DescontosTE[[#All],[chave]:[2021]],8,FALSE),0))</f>
        <v/>
      </c>
      <c r="K32" s="1724"/>
      <c r="L32" s="1724"/>
      <c r="M32" s="849"/>
      <c r="N32" s="849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7"/>
      <c r="C33" s="527"/>
      <c r="D33" s="527"/>
      <c r="E33" s="527" t="str">
        <f t="shared" si="5"/>
        <v/>
      </c>
      <c r="F33" s="619" t="str">
        <f t="shared" ref="F33:F34" si="6">IF(B33="","",I33)</f>
        <v/>
      </c>
      <c r="G33" s="528" t="str">
        <f>IFERROR(VLOOKUP(CONCATENATE(A33,A69),BD!$H$43:$S$59,12,FALSE),"")</f>
        <v/>
      </c>
      <c r="H33" s="528" t="str">
        <f t="shared" si="1"/>
        <v/>
      </c>
      <c r="I33" s="526" t="str">
        <f>IF(A69="","",_xlfn.IFNA(VLOOKUP(CONCATENATE($B$2,A33,A69),DescontosTE[[#All],[chave]:[2021]],8,FALSE),0))</f>
        <v/>
      </c>
      <c r="K33" s="850"/>
      <c r="L33" s="851"/>
      <c r="M33" s="849"/>
      <c r="N33" s="847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7"/>
      <c r="C34" s="527"/>
      <c r="D34" s="527" t="str">
        <f>IF(B34="","",SUMIFS(Faturas!V:V,Faturas!U:U,"Consumo*",Faturas!S:S,Energia!C34,Faturas!R:R,Energia!B34))</f>
        <v/>
      </c>
      <c r="E34" s="527" t="str">
        <f t="shared" si="5"/>
        <v/>
      </c>
      <c r="F34" s="619" t="str">
        <f t="shared" si="6"/>
        <v/>
      </c>
      <c r="G34" s="528" t="str">
        <f>IFERROR(VLOOKUP(CONCATENATE(A34,A70),BD!$H$43:$S$59,12,FALSE),"")</f>
        <v/>
      </c>
      <c r="H34" s="528" t="str">
        <f t="shared" si="1"/>
        <v/>
      </c>
      <c r="I34" s="526" t="str">
        <f>IF(A70="","",_xlfn.IFNA(VLOOKUP(CONCATENATE($B$2,A34,A70),DescontosTE[[#All],[chave]:[2021]],8,FALSE),0))</f>
        <v/>
      </c>
      <c r="K34" s="1031"/>
      <c r="L34" s="1031"/>
      <c r="M34" s="783"/>
      <c r="N34" s="101"/>
      <c r="O34" s="130"/>
      <c r="V34" s="142" t="e">
        <f ca="1">V32+V33</f>
        <v>#VALUE!</v>
      </c>
    </row>
    <row r="35" spans="1:22" ht="14.25" customHeight="1">
      <c r="A35" s="74"/>
      <c r="B35" s="764"/>
      <c r="C35" s="765"/>
      <c r="D35" s="766">
        <f>SUM(D28:D34)</f>
        <v>11175282.860000003</v>
      </c>
      <c r="E35" s="766">
        <f>SUM(E28:E34)</f>
        <v>11175.282860000003</v>
      </c>
      <c r="F35" s="763"/>
      <c r="G35" s="759">
        <f>IFERROR(SUMPRODUCT(G28:G34,E28:E34)/SUM(E28:E34),0)</f>
        <v>310.31</v>
      </c>
      <c r="H35" s="760">
        <f>IFERROR(SUMPRODUCT(H28:H34,E28:E34)/SUM(E28:E34),0)</f>
        <v>310.31</v>
      </c>
      <c r="I35" s="759"/>
      <c r="K35" s="101"/>
      <c r="L35" s="783"/>
      <c r="M35" s="783"/>
      <c r="N35" s="784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14.25" customHeight="1">
      <c r="A36" s="74"/>
      <c r="C36" s="68"/>
      <c r="J36" s="74"/>
      <c r="O36" s="130"/>
    </row>
    <row r="37" spans="1:22" ht="18" customHeight="1">
      <c r="A37" s="74"/>
      <c r="B37" s="917" t="s">
        <v>1215</v>
      </c>
      <c r="C37" s="69"/>
      <c r="G37" s="137"/>
      <c r="O37" s="130"/>
      <c r="V37" s="68">
        <v>59464827.420289896</v>
      </c>
    </row>
    <row r="38" spans="1:22" ht="14.25" customHeight="1">
      <c r="A38" s="74"/>
      <c r="B38" s="1352"/>
      <c r="C38" s="1353" t="s">
        <v>1216</v>
      </c>
      <c r="D38" s="1354"/>
      <c r="E38" s="1353" t="s">
        <v>62</v>
      </c>
      <c r="F38" s="1353" t="s">
        <v>61</v>
      </c>
      <c r="G38" s="1353" t="s">
        <v>1217</v>
      </c>
      <c r="H38" s="1353" t="s">
        <v>1218</v>
      </c>
      <c r="I38" s="1353" t="s">
        <v>1219</v>
      </c>
      <c r="J38" s="1353" t="s">
        <v>977</v>
      </c>
      <c r="K38" s="1353" t="s">
        <v>1220</v>
      </c>
      <c r="L38" s="1353" t="s">
        <v>1221</v>
      </c>
      <c r="M38" s="1353" t="s">
        <v>1222</v>
      </c>
      <c r="N38" s="1353" t="s">
        <v>1223</v>
      </c>
      <c r="O38" s="130"/>
      <c r="V38" s="142" t="e">
        <f ca="1">V34-V37</f>
        <v>#VALUE!</v>
      </c>
    </row>
    <row r="39" spans="1:22" ht="18" customHeight="1">
      <c r="A39" s="74"/>
      <c r="B39" s="1645" t="s">
        <v>2203</v>
      </c>
      <c r="C39" s="1645"/>
      <c r="D39" s="1645"/>
      <c r="E39" s="1646"/>
      <c r="F39" s="1647"/>
      <c r="G39" s="1648"/>
      <c r="H39" s="1649"/>
      <c r="I39" s="1646"/>
      <c r="J39" s="1656">
        <f>E35</f>
        <v>11175.282860000003</v>
      </c>
      <c r="K39" s="1650">
        <f>H28</f>
        <v>310.31</v>
      </c>
      <c r="L39" s="842">
        <f>IFERROR(J39*K39,0)</f>
        <v>3467802.0242866008</v>
      </c>
      <c r="M39" s="852">
        <f ca="1">IFERROR(J39*$N$29,0)</f>
        <v>10729.448595109821</v>
      </c>
      <c r="N39" s="842">
        <f ca="1">IFERROR(K39*M39,0)</f>
        <v>3329455.1935485285</v>
      </c>
      <c r="O39" s="136"/>
    </row>
    <row r="40" spans="1:22">
      <c r="B40" s="1645" t="s">
        <v>2204</v>
      </c>
      <c r="C40" s="1645"/>
      <c r="D40" s="1645"/>
      <c r="E40" s="1646"/>
      <c r="F40" s="1647"/>
      <c r="G40" s="1648"/>
      <c r="H40" s="1649"/>
      <c r="I40" s="1651"/>
      <c r="J40" s="1645">
        <f>I40*H40*24</f>
        <v>0</v>
      </c>
      <c r="K40" s="1650" t="str">
        <f>H29</f>
        <v/>
      </c>
      <c r="L40" s="842">
        <f>IFERROR(J40*K40,0)</f>
        <v>0</v>
      </c>
      <c r="M40" s="852">
        <f t="shared" ref="M40:M45" ca="1" si="7">IFERROR(J40*$N$29,0)</f>
        <v>0</v>
      </c>
      <c r="N40" s="842">
        <f ca="1">IFERROR(K40*M40,0)</f>
        <v>0</v>
      </c>
      <c r="V40" s="68">
        <v>7728827.6146981604</v>
      </c>
    </row>
    <row r="41" spans="1:22">
      <c r="B41" s="839"/>
      <c r="C41" s="839"/>
      <c r="D41" s="839" t="s">
        <v>138</v>
      </c>
      <c r="E41" s="1062" t="str">
        <f t="shared" ref="E41:E45" si="8">IF(B41="","",D41/1000)</f>
        <v/>
      </c>
      <c r="F41" s="840" t="str">
        <f>IF(B41="","",I41)</f>
        <v/>
      </c>
      <c r="G41" s="841" t="s">
        <v>138</v>
      </c>
      <c r="H41" s="1063">
        <v>0</v>
      </c>
      <c r="I41" s="1062">
        <v>0</v>
      </c>
      <c r="J41" s="839">
        <f>I41*H41*24</f>
        <v>0</v>
      </c>
      <c r="K41" s="1064">
        <f>IFERROR(E41*(VLOOKUP(EDATE(G41,-1),Índices!B7:D501,3,FALSE)/VLOOKUP(EDATE(F41,-1),Índices!B7:D501,3,FALSE)),0)</f>
        <v>0</v>
      </c>
      <c r="L41" s="842">
        <f t="shared" ref="L41:L45" si="9">J41*K41</f>
        <v>0</v>
      </c>
      <c r="M41" s="852">
        <f t="shared" ca="1" si="7"/>
        <v>0</v>
      </c>
      <c r="N41" s="842">
        <f t="shared" ref="N41:N45" ca="1" si="10">K41*M41</f>
        <v>0</v>
      </c>
    </row>
    <row r="42" spans="1:22">
      <c r="B42" s="839"/>
      <c r="C42" s="839"/>
      <c r="D42" s="839" t="s">
        <v>138</v>
      </c>
      <c r="E42" s="1062" t="str">
        <f t="shared" si="8"/>
        <v/>
      </c>
      <c r="F42" s="840" t="str">
        <f>IF(B42="","",I42)</f>
        <v/>
      </c>
      <c r="G42" s="841" t="s">
        <v>138</v>
      </c>
      <c r="H42" s="1063">
        <v>0</v>
      </c>
      <c r="I42" s="1062">
        <v>0</v>
      </c>
      <c r="J42" s="839">
        <f t="shared" ref="J42:J45" si="11">I42*H42*24</f>
        <v>0</v>
      </c>
      <c r="K42" s="1064">
        <f>IFERROR(E42*(VLOOKUP(EDATE(G42,-1),Índices!B8:D502,3,FALSE)/VLOOKUP(EDATE(F42,-1),Índices!B8:D502,3,FALSE)),0)</f>
        <v>0</v>
      </c>
      <c r="L42" s="842">
        <f t="shared" si="9"/>
        <v>0</v>
      </c>
      <c r="M42" s="852">
        <f t="shared" ca="1" si="7"/>
        <v>0</v>
      </c>
      <c r="N42" s="842">
        <f t="shared" ca="1" si="10"/>
        <v>0</v>
      </c>
      <c r="V42" s="142" t="e">
        <f ca="1">V38+V40</f>
        <v>#VALUE!</v>
      </c>
    </row>
    <row r="43" spans="1:22">
      <c r="B43" s="839"/>
      <c r="C43" s="839"/>
      <c r="D43" s="839" t="s">
        <v>138</v>
      </c>
      <c r="E43" s="1062" t="str">
        <f t="shared" si="8"/>
        <v/>
      </c>
      <c r="F43" s="840" t="str">
        <f>IF(B43="","",I43)</f>
        <v/>
      </c>
      <c r="G43" s="841" t="s">
        <v>138</v>
      </c>
      <c r="H43" s="1063">
        <v>0</v>
      </c>
      <c r="I43" s="1062">
        <v>0</v>
      </c>
      <c r="J43" s="839">
        <f t="shared" si="11"/>
        <v>0</v>
      </c>
      <c r="K43" s="1064">
        <f>IFERROR(E43*(VLOOKUP(EDATE(G43,-1),Índices!B9:D503,3,FALSE)/VLOOKUP(EDATE(F43,-1),Índices!B9:D503,3,FALSE)),0)</f>
        <v>0</v>
      </c>
      <c r="L43" s="842">
        <f t="shared" si="9"/>
        <v>0</v>
      </c>
      <c r="M43" s="852">
        <f t="shared" ca="1" si="7"/>
        <v>0</v>
      </c>
      <c r="N43" s="842">
        <f t="shared" ca="1" si="10"/>
        <v>0</v>
      </c>
    </row>
    <row r="44" spans="1:22">
      <c r="B44" s="839"/>
      <c r="C44" s="839"/>
      <c r="D44" s="839" t="s">
        <v>138</v>
      </c>
      <c r="E44" s="1062" t="str">
        <f t="shared" si="8"/>
        <v/>
      </c>
      <c r="F44" s="840" t="str">
        <f>IF(B44="","",I44)</f>
        <v/>
      </c>
      <c r="G44" s="841" t="s">
        <v>138</v>
      </c>
      <c r="H44" s="1063">
        <v>0</v>
      </c>
      <c r="I44" s="1062">
        <v>0</v>
      </c>
      <c r="J44" s="839">
        <f t="shared" si="11"/>
        <v>0</v>
      </c>
      <c r="K44" s="1064">
        <f>IFERROR(E44*(VLOOKUP(EDATE(G44,-1),Índices!B10:D504,3,FALSE)/VLOOKUP(EDATE(F44,-1),Índices!B10:D504,3,FALSE)),0)</f>
        <v>0</v>
      </c>
      <c r="L44" s="842">
        <f t="shared" si="9"/>
        <v>0</v>
      </c>
      <c r="M44" s="852">
        <f t="shared" ca="1" si="7"/>
        <v>0</v>
      </c>
      <c r="N44" s="842">
        <f t="shared" ca="1" si="10"/>
        <v>0</v>
      </c>
    </row>
    <row r="45" spans="1:22">
      <c r="B45" s="839"/>
      <c r="C45" s="839"/>
      <c r="D45" s="839" t="s">
        <v>138</v>
      </c>
      <c r="E45" s="1062" t="str">
        <f t="shared" si="8"/>
        <v/>
      </c>
      <c r="F45" s="840" t="str">
        <f>IF(B45="","",I45)</f>
        <v/>
      </c>
      <c r="G45" s="841" t="s">
        <v>138</v>
      </c>
      <c r="H45" s="1063">
        <v>0</v>
      </c>
      <c r="I45" s="1062">
        <v>0</v>
      </c>
      <c r="J45" s="839">
        <f t="shared" si="11"/>
        <v>0</v>
      </c>
      <c r="K45" s="1064">
        <f>IFERROR(E45*(VLOOKUP(EDATE(G45,-1),Índices!B11:D505,3,FALSE)/VLOOKUP(EDATE(F45,-1),Índices!B11:D505,3,FALSE)),0)</f>
        <v>0</v>
      </c>
      <c r="L45" s="842">
        <f t="shared" si="9"/>
        <v>0</v>
      </c>
      <c r="M45" s="852">
        <f t="shared" ca="1" si="7"/>
        <v>0</v>
      </c>
      <c r="N45" s="842">
        <f t="shared" ca="1" si="10"/>
        <v>0</v>
      </c>
    </row>
    <row r="46" spans="1:22">
      <c r="B46" s="1355" t="s">
        <v>845</v>
      </c>
      <c r="C46" s="1356"/>
      <c r="D46" s="1356"/>
      <c r="E46" s="1355"/>
      <c r="F46" s="1355"/>
      <c r="G46" s="1357"/>
      <c r="H46" s="1355"/>
      <c r="I46" s="1355"/>
      <c r="J46" s="1358">
        <f>SUM(J39:J45)</f>
        <v>11175.282860000003</v>
      </c>
      <c r="K46" s="1359">
        <f ca="1">IFERROR(SUMPRODUCT(K39:K45,M39:M45)/SUM(M39:M45),0)</f>
        <v>310.31</v>
      </c>
      <c r="L46" s="1355"/>
      <c r="M46" s="1360">
        <f ca="1">SUM(M39:M45)</f>
        <v>10729.448595109821</v>
      </c>
      <c r="N46" s="1360">
        <f ca="1">SUM(N39:N45)</f>
        <v>3329455.1935485285</v>
      </c>
    </row>
    <row r="47" spans="1:22">
      <c r="C47" s="425"/>
      <c r="D47" s="425"/>
      <c r="E47" s="425"/>
    </row>
    <row r="48" spans="1:22" ht="15.75">
      <c r="B48" s="1361" t="s">
        <v>1224</v>
      </c>
      <c r="C48" s="1362" t="s">
        <v>1225</v>
      </c>
      <c r="D48" s="1363"/>
      <c r="E48" s="1364" t="s">
        <v>1226</v>
      </c>
      <c r="F48" s="1364" t="s">
        <v>1227</v>
      </c>
      <c r="H48" s="1365" t="s">
        <v>1228</v>
      </c>
      <c r="I48" s="1366" t="s">
        <v>42</v>
      </c>
      <c r="J48" s="1367" t="s">
        <v>43</v>
      </c>
      <c r="K48" s="1368" t="s">
        <v>1195</v>
      </c>
    </row>
    <row r="49" spans="1:11" ht="15.75">
      <c r="B49" s="78" t="s">
        <v>1229</v>
      </c>
      <c r="C49" s="859">
        <f>IF(ISERROR(VLOOKUP("Angra",AngraCota[],5,FALSE)),0,VLOOKUP("Angra",AngraCota[],5,FALSE))</f>
        <v>0</v>
      </c>
      <c r="D49" s="860">
        <f t="shared" ref="D49:D51" si="12">E49</f>
        <v>0</v>
      </c>
      <c r="E49" s="839">
        <f>IFERROR(VLOOKUP("Angra",AngraCota[],4,FALSE),0)</f>
        <v>0</v>
      </c>
      <c r="F49" s="108">
        <f>C49*E49</f>
        <v>0</v>
      </c>
      <c r="H49" s="1369" t="s">
        <v>1230</v>
      </c>
      <c r="I49" s="1370" cm="1">
        <f t="array" ref="I49">GSFRH[GSF previsto]</f>
        <v>0.88508330000000002</v>
      </c>
      <c r="J49" s="1371" cm="1">
        <f t="array" ref="J49">GSFRH[PLD]</f>
        <v>169.95</v>
      </c>
      <c r="K49" s="1372">
        <f>(J49*(1-I49)*(C50+C51))</f>
        <v>0</v>
      </c>
    </row>
    <row r="50" spans="1:11" ht="15.75">
      <c r="B50" s="78" t="s">
        <v>1230</v>
      </c>
      <c r="C50" s="859">
        <f>BD!AE22</f>
        <v>0</v>
      </c>
      <c r="D50" s="860">
        <f t="shared" si="12"/>
        <v>0</v>
      </c>
      <c r="E50" s="839">
        <f>BD!AG22</f>
        <v>0</v>
      </c>
      <c r="F50" s="108">
        <f>C50*E50</f>
        <v>0</v>
      </c>
      <c r="H50" s="853" t="s">
        <v>1231</v>
      </c>
      <c r="I50" s="854">
        <f>I49</f>
        <v>0.88508330000000002</v>
      </c>
      <c r="J50" s="855">
        <f>J49</f>
        <v>169.95</v>
      </c>
      <c r="K50" s="856"/>
    </row>
    <row r="51" spans="1:11" ht="15.75">
      <c r="B51" s="78" t="s">
        <v>1230</v>
      </c>
      <c r="C51" s="859">
        <f>BD!AE23</f>
        <v>0</v>
      </c>
      <c r="D51" s="860">
        <f t="shared" si="12"/>
        <v>0</v>
      </c>
      <c r="E51" s="839">
        <f>BD!AG23</f>
        <v>0</v>
      </c>
      <c r="F51" s="108">
        <f>C51*E51</f>
        <v>0</v>
      </c>
      <c r="H51" s="857" t="s">
        <v>1232</v>
      </c>
      <c r="I51" s="854">
        <f>I50</f>
        <v>0.88508330000000002</v>
      </c>
      <c r="J51" s="855">
        <f>J50</f>
        <v>169.95</v>
      </c>
      <c r="K51" s="856">
        <f>(J51*(1-I51)*I54*K54*365*24)</f>
        <v>0</v>
      </c>
    </row>
    <row r="52" spans="1:11" ht="15.75">
      <c r="B52" s="843"/>
      <c r="C52" s="843">
        <f>SUM(C49:C51)</f>
        <v>0</v>
      </c>
      <c r="D52" s="843"/>
      <c r="E52" s="843"/>
      <c r="F52" s="843">
        <f>SUM(F49:F51)</f>
        <v>0</v>
      </c>
      <c r="H52" s="835" t="s">
        <v>1233</v>
      </c>
      <c r="I52" s="1373"/>
      <c r="J52" s="1374"/>
      <c r="K52" s="1375">
        <f>SUM(K49:K51)</f>
        <v>0</v>
      </c>
    </row>
    <row r="53" spans="1:11" ht="15.75">
      <c r="H53" s="1725" t="s">
        <v>45</v>
      </c>
      <c r="I53" s="1725"/>
      <c r="J53" s="1376"/>
      <c r="K53" s="1376" t="s">
        <v>44</v>
      </c>
    </row>
    <row r="54" spans="1:11" ht="15.75">
      <c r="C54" s="124">
        <f ca="1">+C50*N29</f>
        <v>0</v>
      </c>
      <c r="H54" s="836" t="str">
        <f>CAPA!C9</f>
        <v>Cerpro</v>
      </c>
      <c r="I54" s="861" cm="1">
        <f t="array" ref="I54">GSFRH[Fator de rateio]</f>
        <v>0</v>
      </c>
      <c r="J54" s="1011">
        <f>J49</f>
        <v>169.95</v>
      </c>
      <c r="K54" s="837" cm="1">
        <f t="array" ref="K54">GSFRH[MWm repactuado]</f>
        <v>14739.74</v>
      </c>
    </row>
    <row r="55" spans="1:11" ht="15">
      <c r="B55" s="1361" t="s">
        <v>1234</v>
      </c>
      <c r="C55" s="1362" t="s">
        <v>1225</v>
      </c>
      <c r="D55" s="1363"/>
      <c r="E55" s="1364" t="s">
        <v>1226</v>
      </c>
      <c r="F55" s="1364" t="s">
        <v>1227</v>
      </c>
    </row>
    <row r="56" spans="1:11">
      <c r="B56" s="78" t="s">
        <v>1235</v>
      </c>
      <c r="C56" s="859">
        <f>CAPA!D58</f>
        <v>0</v>
      </c>
      <c r="D56" s="860">
        <f t="shared" ref="D56" si="13">E56</f>
        <v>0</v>
      </c>
      <c r="E56" s="839">
        <v>0</v>
      </c>
      <c r="F56" s="108">
        <f>C56*E56</f>
        <v>0</v>
      </c>
    </row>
    <row r="57" spans="1:11">
      <c r="B57" s="78"/>
      <c r="C57" s="859"/>
      <c r="D57" s="860"/>
      <c r="E57" s="839"/>
      <c r="F57" s="108"/>
      <c r="J57" s="142"/>
    </row>
    <row r="58" spans="1:11">
      <c r="B58" s="843"/>
      <c r="C58" s="843">
        <f>SUM(C56:C57)</f>
        <v>0</v>
      </c>
      <c r="D58" s="843"/>
      <c r="E58" s="843"/>
      <c r="F58" s="843">
        <f>SUM(F56:F57)</f>
        <v>0</v>
      </c>
      <c r="J58" s="142"/>
    </row>
    <row r="63" spans="1:11">
      <c r="A63" s="68" t="s">
        <v>1236</v>
      </c>
    </row>
    <row r="64" spans="1:11">
      <c r="A64" s="68" t="str">
        <f>TRIM(LEFT(C28,3))</f>
        <v>A4</v>
      </c>
    </row>
    <row r="65" spans="1:1">
      <c r="A65" s="68" t="str">
        <f t="shared" ref="A65:A70" si="14">TRIM(LEFT(C29,3))</f>
        <v/>
      </c>
    </row>
    <row r="66" spans="1:1">
      <c r="A66" s="68" t="str">
        <f t="shared" si="14"/>
        <v/>
      </c>
    </row>
    <row r="67" spans="1:1">
      <c r="A67" s="68" t="str">
        <f t="shared" si="14"/>
        <v/>
      </c>
    </row>
    <row r="68" spans="1:1">
      <c r="A68" s="68" t="str">
        <f t="shared" si="14"/>
        <v/>
      </c>
    </row>
    <row r="69" spans="1:1">
      <c r="A69" s="68" t="str">
        <f t="shared" si="14"/>
        <v/>
      </c>
    </row>
    <row r="70" spans="1:1">
      <c r="A70" s="68" t="str">
        <f t="shared" si="14"/>
        <v/>
      </c>
    </row>
  </sheetData>
  <mergeCells count="2">
    <mergeCell ref="K32:L32"/>
    <mergeCell ref="H53:I53"/>
  </mergeCells>
  <conditionalFormatting sqref="L30:M30">
    <cfRule type="colorScale" priority="32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13:M21">
    <cfRule type="cellIs" dxfId="50" priority="15" operator="lessThan">
      <formula>0</formula>
    </cfRule>
  </conditionalFormatting>
  <conditionalFormatting sqref="I48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K48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J48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6 L30 N48:N1048576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9 L26:N26 T4:U6 T2:AC3 V4:AC11 S20:AB20 T12:AA19 O48:O73 O74:AC1048576 P32:AC33 P34:U34 W34:AC34 P35:AC73 P22:AA28 O23:O29 S21:Z21 N48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M30 L26:M26 O49:O1048576 N48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T12:AA19 L26:N26 V4:AC11 T4:U6 S19 S20:AB20 T2:AC3 O48:O73 O74:AC1048576 P32:AC33 P34:U34 W34:AC34 P35:AC73 P22:AA28 O23:O29 S21:Z21 N48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20:AB20 L26:N26 T2:AC11 O48:O73 O74:AC1048576 P32:AC33 P34:U34 W34:AC34 P35:AC73 P22:AA28 O23:O29 S15:AA19 S21:Z21 T12:AA14 N48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5:AA19 L26:N26 T2:AC11 O48:O73 O74:AC1048576 P32:AC33 P34:U34 W34:AC34 P35:AC73 P22:AA28 O23:O29 S21:Z21 S20:AB20 T12:AA14 N48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D13" sqref="D13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77" t="s">
        <v>703</v>
      </c>
      <c r="C1" s="1162">
        <f>Resultado!C1</f>
        <v>0</v>
      </c>
      <c r="D1" s="1378"/>
      <c r="E1" s="1379"/>
      <c r="F1" s="1380"/>
      <c r="G1" s="1275" t="s">
        <v>952</v>
      </c>
      <c r="H1" s="1381">
        <f ca="1">LnkTXTIRTEco</f>
        <v>0.25069999999999998</v>
      </c>
    </row>
    <row r="2" spans="2:27">
      <c r="B2" s="138" t="str">
        <f>CAPA!C9</f>
        <v>Cerpro</v>
      </c>
      <c r="C2" s="70"/>
      <c r="D2" s="70"/>
      <c r="G2" s="121" t="s">
        <v>956</v>
      </c>
      <c r="H2" s="148">
        <f ca="1">LnkTXTIRTTotal</f>
        <v>0.19489999999999999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82" t="s">
        <v>1237</v>
      </c>
      <c r="C6" s="1382"/>
      <c r="D6" s="1382"/>
      <c r="E6" s="1382"/>
      <c r="F6" s="1382"/>
      <c r="G6" s="1382"/>
      <c r="H6" s="1382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83" t="s">
        <v>854</v>
      </c>
      <c r="C8" s="1383" t="s">
        <v>1238</v>
      </c>
      <c r="D8" s="1383" t="s">
        <v>1239</v>
      </c>
      <c r="E8" s="1383" t="s">
        <v>1240</v>
      </c>
      <c r="H8" s="152"/>
    </row>
    <row r="9" spans="2:27">
      <c r="B9" s="158" t="s">
        <v>972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84" t="s">
        <v>1241</v>
      </c>
      <c r="C10" s="1385">
        <f>SUMIFS($M$18:$M$63,$D$18:$D$63,"Fora Ponta")</f>
        <v>0</v>
      </c>
      <c r="D10" s="1385">
        <f>SUMIFS($J$18:$J$63,$D$18:$D$63,"Fora Ponta")</f>
        <v>0</v>
      </c>
      <c r="E10" s="1385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86" t="s">
        <v>1242</v>
      </c>
      <c r="G14" s="1387"/>
      <c r="H14" s="1387"/>
      <c r="I14" s="1387"/>
      <c r="J14" s="1387"/>
      <c r="K14" s="1387"/>
      <c r="L14" s="1387"/>
      <c r="M14" s="1387"/>
      <c r="N14" s="1387"/>
      <c r="O14" s="1387"/>
      <c r="P14" s="1387"/>
      <c r="Q14" s="1387"/>
      <c r="R14" s="1388"/>
    </row>
    <row r="15" spans="2:27">
      <c r="B15" s="1736" t="s">
        <v>1243</v>
      </c>
      <c r="C15" s="1737" t="s">
        <v>1244</v>
      </c>
      <c r="D15" s="1738" t="s">
        <v>78</v>
      </c>
      <c r="E15" s="1739" t="s">
        <v>1245</v>
      </c>
      <c r="F15" s="1739"/>
      <c r="G15" s="1739"/>
      <c r="H15" s="1740"/>
      <c r="I15" s="1741" t="s">
        <v>1246</v>
      </c>
      <c r="J15" s="1742"/>
      <c r="K15" s="1742"/>
      <c r="L15" s="1742"/>
      <c r="M15" s="1726" t="s">
        <v>1247</v>
      </c>
      <c r="N15" s="1727"/>
      <c r="O15" s="1727"/>
      <c r="P15" s="1727"/>
      <c r="Q15" s="1727"/>
      <c r="R15" s="1727"/>
      <c r="S15" s="1727"/>
      <c r="T15" s="1727"/>
      <c r="U15" s="1727"/>
      <c r="V15" s="1727"/>
      <c r="W15" s="1727"/>
      <c r="X15" s="1727"/>
      <c r="Y15" s="1727"/>
      <c r="Z15" s="65"/>
      <c r="AA15" s="387"/>
    </row>
    <row r="16" spans="2:27">
      <c r="B16" s="1736"/>
      <c r="C16" s="1737"/>
      <c r="D16" s="1738"/>
      <c r="E16" s="1730" t="s">
        <v>123</v>
      </c>
      <c r="F16" s="1731"/>
      <c r="G16" s="1731" t="s">
        <v>1248</v>
      </c>
      <c r="H16" s="1732"/>
      <c r="I16" s="1733" t="s">
        <v>123</v>
      </c>
      <c r="J16" s="1734"/>
      <c r="K16" s="1734" t="s">
        <v>1248</v>
      </c>
      <c r="L16" s="1735"/>
      <c r="M16" s="1728"/>
      <c r="N16" s="1729"/>
      <c r="O16" s="1729"/>
      <c r="P16" s="1729"/>
      <c r="Q16" s="1729"/>
      <c r="R16" s="1729"/>
      <c r="S16" s="1729"/>
      <c r="T16" s="1729"/>
      <c r="U16" s="1729"/>
      <c r="V16" s="1729"/>
      <c r="W16" s="1729"/>
      <c r="X16" s="1729"/>
      <c r="Y16" s="1729"/>
      <c r="Z16" s="65"/>
      <c r="AA16" s="387"/>
    </row>
    <row r="17" spans="2:27">
      <c r="B17" s="1736"/>
      <c r="C17" s="1737"/>
      <c r="D17" s="1738"/>
      <c r="E17" s="388" t="s">
        <v>770</v>
      </c>
      <c r="F17" s="389" t="s">
        <v>771</v>
      </c>
      <c r="G17" s="389" t="s">
        <v>770</v>
      </c>
      <c r="H17" s="390" t="s">
        <v>771</v>
      </c>
      <c r="I17" s="391" t="s">
        <v>770</v>
      </c>
      <c r="J17" s="392" t="s">
        <v>771</v>
      </c>
      <c r="K17" s="392" t="s">
        <v>770</v>
      </c>
      <c r="L17" s="392" t="s">
        <v>771</v>
      </c>
      <c r="M17" s="393" t="s">
        <v>845</v>
      </c>
      <c r="N17" s="393">
        <f>SAS_RA0_DataInicio</f>
        <v>44317</v>
      </c>
      <c r="O17" s="393">
        <f>EDATE(N17,1)</f>
        <v>44348</v>
      </c>
      <c r="P17" s="393">
        <f t="shared" ref="P17:Y17" si="0">EDATE(O17,1)</f>
        <v>44378</v>
      </c>
      <c r="Q17" s="393">
        <f t="shared" si="0"/>
        <v>44409</v>
      </c>
      <c r="R17" s="393">
        <f t="shared" si="0"/>
        <v>44440</v>
      </c>
      <c r="S17" s="393">
        <f t="shared" si="0"/>
        <v>44470</v>
      </c>
      <c r="T17" s="393">
        <f t="shared" si="0"/>
        <v>44501</v>
      </c>
      <c r="U17" s="393">
        <f t="shared" si="0"/>
        <v>44531</v>
      </c>
      <c r="V17" s="393">
        <f t="shared" si="0"/>
        <v>44562</v>
      </c>
      <c r="W17" s="393">
        <f t="shared" si="0"/>
        <v>44593</v>
      </c>
      <c r="X17" s="393">
        <f t="shared" si="0"/>
        <v>44621</v>
      </c>
      <c r="Y17" s="393">
        <f t="shared" si="0"/>
        <v>44652</v>
      </c>
      <c r="Z17" s="65"/>
      <c r="AA17" s="329" t="s">
        <v>858</v>
      </c>
    </row>
    <row r="18" spans="2:27" hidden="1">
      <c r="B18" s="1389">
        <f>RBBD!B3</f>
        <v>0</v>
      </c>
      <c r="C18" s="1389">
        <f>RBBD!C3</f>
        <v>0</v>
      </c>
      <c r="D18" s="1389">
        <f>RBBD!D3</f>
        <v>0</v>
      </c>
      <c r="E18" s="1389">
        <f>RBBD!E3</f>
        <v>0</v>
      </c>
      <c r="F18" s="1389">
        <f>RBBD!F3</f>
        <v>0</v>
      </c>
      <c r="G18" s="1389">
        <f>RBBD!G3</f>
        <v>0</v>
      </c>
      <c r="H18" s="1389">
        <f>RBBD!H3</f>
        <v>0</v>
      </c>
      <c r="I18" s="1389">
        <f>E18*$M18</f>
        <v>0</v>
      </c>
      <c r="J18" s="1389">
        <f>F18*$M18</f>
        <v>0</v>
      </c>
      <c r="K18" s="1389">
        <f>G18*$M18</f>
        <v>0</v>
      </c>
      <c r="L18" s="1389">
        <f>H18*$M18</f>
        <v>0</v>
      </c>
      <c r="M18" s="1389">
        <f>SUM(N18:Y18)</f>
        <v>0</v>
      </c>
      <c r="N18" s="1389">
        <f>RBBD!I3</f>
        <v>0</v>
      </c>
      <c r="O18" s="1389">
        <f>RBBD!J3</f>
        <v>0</v>
      </c>
      <c r="P18" s="1389">
        <f>RBBD!K3</f>
        <v>0</v>
      </c>
      <c r="Q18" s="1389">
        <f>RBBD!L3</f>
        <v>0</v>
      </c>
      <c r="R18" s="1389">
        <f>RBBD!M3</f>
        <v>0</v>
      </c>
      <c r="S18" s="1389">
        <f>RBBD!N3</f>
        <v>0</v>
      </c>
      <c r="T18" s="1389">
        <f>RBBD!O3</f>
        <v>0</v>
      </c>
      <c r="U18" s="1389">
        <f>RBBD!P3</f>
        <v>0</v>
      </c>
      <c r="V18" s="1389">
        <f>RBBD!Q3</f>
        <v>0</v>
      </c>
      <c r="W18" s="1389">
        <f>RBBD!R3</f>
        <v>0</v>
      </c>
      <c r="X18" s="1389">
        <f>RBBD!S3</f>
        <v>0</v>
      </c>
      <c r="Y18" s="1389">
        <f>RBBD!T3</f>
        <v>0</v>
      </c>
      <c r="Z18" s="65"/>
      <c r="AA18" s="329">
        <f t="shared" ref="AA18:AA23" si="1">IF(B18=0,0,1)</f>
        <v>0</v>
      </c>
    </row>
    <row r="19" spans="2:27" hidden="1">
      <c r="B19" s="1389">
        <f>RBBD!B4</f>
        <v>0</v>
      </c>
      <c r="C19" s="1389">
        <f>RBBD!C4</f>
        <v>0</v>
      </c>
      <c r="D19" s="1389">
        <f>RBBD!D4</f>
        <v>0</v>
      </c>
      <c r="E19" s="1389">
        <f>RBBD!E4</f>
        <v>0</v>
      </c>
      <c r="F19" s="1389">
        <f>RBBD!F4</f>
        <v>0</v>
      </c>
      <c r="G19" s="1389">
        <f>RBBD!G4</f>
        <v>0</v>
      </c>
      <c r="H19" s="1389">
        <f>RBBD!H4</f>
        <v>0</v>
      </c>
      <c r="I19" s="1389">
        <f t="shared" ref="I19:L60" si="2">E19*$M19</f>
        <v>0</v>
      </c>
      <c r="J19" s="1389">
        <f t="shared" si="2"/>
        <v>0</v>
      </c>
      <c r="K19" s="1389">
        <f t="shared" si="2"/>
        <v>0</v>
      </c>
      <c r="L19" s="1389">
        <f t="shared" si="2"/>
        <v>0</v>
      </c>
      <c r="M19" s="1389">
        <f t="shared" ref="M19:M60" si="3">SUM(N19:Y19)</f>
        <v>0</v>
      </c>
      <c r="N19" s="1389">
        <f>RBBD!I4</f>
        <v>0</v>
      </c>
      <c r="O19" s="1389">
        <f>RBBD!J4</f>
        <v>0</v>
      </c>
      <c r="P19" s="1389">
        <f>RBBD!K4</f>
        <v>0</v>
      </c>
      <c r="Q19" s="1389">
        <f>RBBD!L4</f>
        <v>0</v>
      </c>
      <c r="R19" s="1389">
        <f>RBBD!M4</f>
        <v>0</v>
      </c>
      <c r="S19" s="1389">
        <f>RBBD!N4</f>
        <v>0</v>
      </c>
      <c r="T19" s="1389">
        <f>RBBD!O4</f>
        <v>0</v>
      </c>
      <c r="U19" s="1389">
        <f>RBBD!P4</f>
        <v>0</v>
      </c>
      <c r="V19" s="1389">
        <f>RBBD!Q4</f>
        <v>0</v>
      </c>
      <c r="W19" s="1389">
        <f>RBBD!R4</f>
        <v>0</v>
      </c>
      <c r="X19" s="1389">
        <f>RBBD!S4</f>
        <v>0</v>
      </c>
      <c r="Y19" s="1389">
        <f>RBBD!T4</f>
        <v>0</v>
      </c>
      <c r="Z19" s="65"/>
      <c r="AA19" s="329">
        <f t="shared" si="1"/>
        <v>0</v>
      </c>
    </row>
    <row r="20" spans="2:27" hidden="1">
      <c r="B20" s="1389">
        <f>RBBD!B5</f>
        <v>0</v>
      </c>
      <c r="C20" s="1389">
        <f>RBBD!C5</f>
        <v>0</v>
      </c>
      <c r="D20" s="1389">
        <f>RBBD!D5</f>
        <v>0</v>
      </c>
      <c r="E20" s="1389">
        <f>RBBD!E5</f>
        <v>0</v>
      </c>
      <c r="F20" s="1389">
        <f>RBBD!F5</f>
        <v>0</v>
      </c>
      <c r="G20" s="1389">
        <f>RBBD!G5</f>
        <v>0</v>
      </c>
      <c r="H20" s="1389">
        <f>RBBD!H5</f>
        <v>0</v>
      </c>
      <c r="I20" s="1389">
        <f t="shared" si="2"/>
        <v>0</v>
      </c>
      <c r="J20" s="1389">
        <f t="shared" si="2"/>
        <v>0</v>
      </c>
      <c r="K20" s="1389">
        <f t="shared" si="2"/>
        <v>0</v>
      </c>
      <c r="L20" s="1389">
        <f t="shared" si="2"/>
        <v>0</v>
      </c>
      <c r="M20" s="1389">
        <f t="shared" si="3"/>
        <v>0</v>
      </c>
      <c r="N20" s="1389">
        <f>RBBD!I5</f>
        <v>0</v>
      </c>
      <c r="O20" s="1389">
        <f>RBBD!J5</f>
        <v>0</v>
      </c>
      <c r="P20" s="1389">
        <f>RBBD!K5</f>
        <v>0</v>
      </c>
      <c r="Q20" s="1389">
        <f>RBBD!L5</f>
        <v>0</v>
      </c>
      <c r="R20" s="1389">
        <f>RBBD!M5</f>
        <v>0</v>
      </c>
      <c r="S20" s="1389">
        <f>RBBD!N5</f>
        <v>0</v>
      </c>
      <c r="T20" s="1389">
        <f>RBBD!O5</f>
        <v>0</v>
      </c>
      <c r="U20" s="1389">
        <f>RBBD!P5</f>
        <v>0</v>
      </c>
      <c r="V20" s="1389">
        <f>RBBD!Q5</f>
        <v>0</v>
      </c>
      <c r="W20" s="1389">
        <f>RBBD!R5</f>
        <v>0</v>
      </c>
      <c r="X20" s="1389">
        <f>RBBD!S5</f>
        <v>0</v>
      </c>
      <c r="Y20" s="1389">
        <f>RBBD!T5</f>
        <v>0</v>
      </c>
      <c r="Z20" s="65"/>
      <c r="AA20" s="329">
        <f t="shared" si="1"/>
        <v>0</v>
      </c>
    </row>
    <row r="21" spans="2:27" hidden="1">
      <c r="B21" s="1389">
        <f>RBBD!B6</f>
        <v>0</v>
      </c>
      <c r="C21" s="1389">
        <f>RBBD!C6</f>
        <v>0</v>
      </c>
      <c r="D21" s="1389">
        <f>RBBD!D6</f>
        <v>0</v>
      </c>
      <c r="E21" s="1389">
        <f>RBBD!E6</f>
        <v>0</v>
      </c>
      <c r="F21" s="1389">
        <f>RBBD!F6</f>
        <v>0</v>
      </c>
      <c r="G21" s="1389">
        <f>RBBD!G6</f>
        <v>0</v>
      </c>
      <c r="H21" s="1389">
        <f>RBBD!H6</f>
        <v>0</v>
      </c>
      <c r="I21" s="1389">
        <f t="shared" si="2"/>
        <v>0</v>
      </c>
      <c r="J21" s="1389">
        <f t="shared" si="2"/>
        <v>0</v>
      </c>
      <c r="K21" s="1389">
        <f t="shared" si="2"/>
        <v>0</v>
      </c>
      <c r="L21" s="1389">
        <f t="shared" si="2"/>
        <v>0</v>
      </c>
      <c r="M21" s="1389">
        <f t="shared" si="3"/>
        <v>0</v>
      </c>
      <c r="N21" s="1389">
        <f>RBBD!I6</f>
        <v>0</v>
      </c>
      <c r="O21" s="1389">
        <f>RBBD!J6</f>
        <v>0</v>
      </c>
      <c r="P21" s="1389">
        <f>RBBD!K6</f>
        <v>0</v>
      </c>
      <c r="Q21" s="1389">
        <f>RBBD!L6</f>
        <v>0</v>
      </c>
      <c r="R21" s="1389">
        <f>RBBD!M6</f>
        <v>0</v>
      </c>
      <c r="S21" s="1389">
        <f>RBBD!N6</f>
        <v>0</v>
      </c>
      <c r="T21" s="1389">
        <f>RBBD!O6</f>
        <v>0</v>
      </c>
      <c r="U21" s="1389">
        <f>RBBD!P6</f>
        <v>0</v>
      </c>
      <c r="V21" s="1389">
        <f>RBBD!Q6</f>
        <v>0</v>
      </c>
      <c r="W21" s="1389">
        <f>RBBD!R6</f>
        <v>0</v>
      </c>
      <c r="X21" s="1389">
        <f>RBBD!S6</f>
        <v>0</v>
      </c>
      <c r="Y21" s="1389">
        <f>RBBD!T6</f>
        <v>0</v>
      </c>
      <c r="Z21" s="65"/>
      <c r="AA21" s="329">
        <f t="shared" si="1"/>
        <v>0</v>
      </c>
    </row>
    <row r="22" spans="2:27" hidden="1">
      <c r="B22" s="1389">
        <f>RBBD!B7</f>
        <v>0</v>
      </c>
      <c r="C22" s="1389">
        <f>RBBD!C7</f>
        <v>0</v>
      </c>
      <c r="D22" s="1389">
        <f>RBBD!D7</f>
        <v>0</v>
      </c>
      <c r="E22" s="1389">
        <f>RBBD!E7</f>
        <v>0</v>
      </c>
      <c r="F22" s="1389">
        <f>RBBD!F7</f>
        <v>0</v>
      </c>
      <c r="G22" s="1389">
        <f>RBBD!G7</f>
        <v>0</v>
      </c>
      <c r="H22" s="1389">
        <f>RBBD!H7</f>
        <v>0</v>
      </c>
      <c r="I22" s="1389">
        <f t="shared" si="2"/>
        <v>0</v>
      </c>
      <c r="J22" s="1389">
        <f t="shared" si="2"/>
        <v>0</v>
      </c>
      <c r="K22" s="1389">
        <f t="shared" si="2"/>
        <v>0</v>
      </c>
      <c r="L22" s="1389">
        <f t="shared" si="2"/>
        <v>0</v>
      </c>
      <c r="M22" s="1389">
        <f t="shared" si="3"/>
        <v>0</v>
      </c>
      <c r="N22" s="1389">
        <f>RBBD!I7</f>
        <v>0</v>
      </c>
      <c r="O22" s="1389">
        <f>RBBD!J7</f>
        <v>0</v>
      </c>
      <c r="P22" s="1389">
        <f>RBBD!K7</f>
        <v>0</v>
      </c>
      <c r="Q22" s="1389">
        <f>RBBD!L7</f>
        <v>0</v>
      </c>
      <c r="R22" s="1389">
        <f>RBBD!M7</f>
        <v>0</v>
      </c>
      <c r="S22" s="1389">
        <f>RBBD!N7</f>
        <v>0</v>
      </c>
      <c r="T22" s="1389">
        <f>RBBD!O7</f>
        <v>0</v>
      </c>
      <c r="U22" s="1389">
        <f>RBBD!P7</f>
        <v>0</v>
      </c>
      <c r="V22" s="1389">
        <f>RBBD!Q7</f>
        <v>0</v>
      </c>
      <c r="W22" s="1389">
        <f>RBBD!R7</f>
        <v>0</v>
      </c>
      <c r="X22" s="1389">
        <f>RBBD!S7</f>
        <v>0</v>
      </c>
      <c r="Y22" s="1389">
        <f>RBBD!T7</f>
        <v>0</v>
      </c>
      <c r="Z22" s="65"/>
      <c r="AA22" s="329">
        <f t="shared" si="1"/>
        <v>0</v>
      </c>
    </row>
    <row r="23" spans="2:27" hidden="1">
      <c r="B23" s="1389">
        <f>RBBD!B8</f>
        <v>0</v>
      </c>
      <c r="C23" s="1389">
        <f>RBBD!C8</f>
        <v>0</v>
      </c>
      <c r="D23" s="1389">
        <f>RBBD!D8</f>
        <v>0</v>
      </c>
      <c r="E23" s="1389">
        <f>RBBD!E8</f>
        <v>0</v>
      </c>
      <c r="F23" s="1389">
        <f>RBBD!F8</f>
        <v>0</v>
      </c>
      <c r="G23" s="1389">
        <f>RBBD!G8</f>
        <v>0</v>
      </c>
      <c r="H23" s="1389">
        <f>RBBD!H8</f>
        <v>0</v>
      </c>
      <c r="I23" s="1389">
        <f t="shared" si="2"/>
        <v>0</v>
      </c>
      <c r="J23" s="1389">
        <f t="shared" si="2"/>
        <v>0</v>
      </c>
      <c r="K23" s="1389">
        <f t="shared" si="2"/>
        <v>0</v>
      </c>
      <c r="L23" s="1389">
        <f t="shared" si="2"/>
        <v>0</v>
      </c>
      <c r="M23" s="1389">
        <f t="shared" si="3"/>
        <v>0</v>
      </c>
      <c r="N23" s="1389">
        <f>RBBD!I8</f>
        <v>0</v>
      </c>
      <c r="O23" s="1389">
        <f>RBBD!J8</f>
        <v>0</v>
      </c>
      <c r="P23" s="1389">
        <f>RBBD!K8</f>
        <v>0</v>
      </c>
      <c r="Q23" s="1389">
        <f>RBBD!L8</f>
        <v>0</v>
      </c>
      <c r="R23" s="1389">
        <f>RBBD!M8</f>
        <v>0</v>
      </c>
      <c r="S23" s="1389">
        <f>RBBD!N8</f>
        <v>0</v>
      </c>
      <c r="T23" s="1389">
        <f>RBBD!O8</f>
        <v>0</v>
      </c>
      <c r="U23" s="1389">
        <f>RBBD!P8</f>
        <v>0</v>
      </c>
      <c r="V23" s="1389">
        <f>RBBD!Q8</f>
        <v>0</v>
      </c>
      <c r="W23" s="1389">
        <f>RBBD!R8</f>
        <v>0</v>
      </c>
      <c r="X23" s="1389">
        <f>RBBD!S8</f>
        <v>0</v>
      </c>
      <c r="Y23" s="1389">
        <f>RBBD!T8</f>
        <v>0</v>
      </c>
      <c r="Z23" s="65"/>
      <c r="AA23" s="329">
        <f t="shared" si="1"/>
        <v>0</v>
      </c>
    </row>
    <row r="24" spans="2:27" hidden="1">
      <c r="B24" s="1389">
        <f>RBBD!B9</f>
        <v>0</v>
      </c>
      <c r="C24" s="1389">
        <f>RBBD!C9</f>
        <v>0</v>
      </c>
      <c r="D24" s="1389">
        <f>RBBD!D9</f>
        <v>0</v>
      </c>
      <c r="E24" s="1389">
        <f>RBBD!E9</f>
        <v>0</v>
      </c>
      <c r="F24" s="1389">
        <f>RBBD!F9</f>
        <v>0</v>
      </c>
      <c r="G24" s="1389">
        <f>RBBD!G9</f>
        <v>0</v>
      </c>
      <c r="H24" s="1389">
        <f>RBBD!H9</f>
        <v>0</v>
      </c>
      <c r="I24" s="1389">
        <f t="shared" si="2"/>
        <v>0</v>
      </c>
      <c r="J24" s="1389">
        <f t="shared" si="2"/>
        <v>0</v>
      </c>
      <c r="K24" s="1389">
        <f t="shared" si="2"/>
        <v>0</v>
      </c>
      <c r="L24" s="1389">
        <f t="shared" si="2"/>
        <v>0</v>
      </c>
      <c r="M24" s="1389">
        <f t="shared" si="3"/>
        <v>0</v>
      </c>
      <c r="N24" s="1389">
        <f>RBBD!I9</f>
        <v>0</v>
      </c>
      <c r="O24" s="1389">
        <f>RBBD!J9</f>
        <v>0</v>
      </c>
      <c r="P24" s="1389">
        <f>RBBD!K9</f>
        <v>0</v>
      </c>
      <c r="Q24" s="1389">
        <f>RBBD!L9</f>
        <v>0</v>
      </c>
      <c r="R24" s="1389">
        <f>RBBD!M9</f>
        <v>0</v>
      </c>
      <c r="S24" s="1389">
        <f>RBBD!N9</f>
        <v>0</v>
      </c>
      <c r="T24" s="1389">
        <f>RBBD!O9</f>
        <v>0</v>
      </c>
      <c r="U24" s="1389">
        <f>RBBD!P9</f>
        <v>0</v>
      </c>
      <c r="V24" s="1389">
        <f>RBBD!Q9</f>
        <v>0</v>
      </c>
      <c r="W24" s="1389">
        <f>RBBD!R9</f>
        <v>0</v>
      </c>
      <c r="X24" s="1389">
        <f>RBBD!S9</f>
        <v>0</v>
      </c>
      <c r="Y24" s="1389">
        <f>RBBD!T9</f>
        <v>0</v>
      </c>
      <c r="Z24" s="65"/>
      <c r="AA24" s="329">
        <f t="shared" ref="AA24:AA38" si="4">IF(B24=0,0,1)</f>
        <v>0</v>
      </c>
    </row>
    <row r="25" spans="2:27" hidden="1">
      <c r="B25" s="1389">
        <f>RBBD!B10</f>
        <v>0</v>
      </c>
      <c r="C25" s="1389">
        <f>RBBD!C10</f>
        <v>0</v>
      </c>
      <c r="D25" s="1389">
        <f>RBBD!D10</f>
        <v>0</v>
      </c>
      <c r="E25" s="1389">
        <f>RBBD!E10</f>
        <v>0</v>
      </c>
      <c r="F25" s="1389">
        <f>RBBD!F10</f>
        <v>0</v>
      </c>
      <c r="G25" s="1389">
        <f>RBBD!G10</f>
        <v>0</v>
      </c>
      <c r="H25" s="1389">
        <f>RBBD!H10</f>
        <v>0</v>
      </c>
      <c r="I25" s="1389">
        <f t="shared" si="2"/>
        <v>0</v>
      </c>
      <c r="J25" s="1389">
        <f t="shared" si="2"/>
        <v>0</v>
      </c>
      <c r="K25" s="1389">
        <f t="shared" si="2"/>
        <v>0</v>
      </c>
      <c r="L25" s="1389">
        <f t="shared" si="2"/>
        <v>0</v>
      </c>
      <c r="M25" s="1389">
        <f t="shared" si="3"/>
        <v>0</v>
      </c>
      <c r="N25" s="1389">
        <f>RBBD!I10</f>
        <v>0</v>
      </c>
      <c r="O25" s="1389">
        <f>RBBD!J10</f>
        <v>0</v>
      </c>
      <c r="P25" s="1389">
        <f>RBBD!K10</f>
        <v>0</v>
      </c>
      <c r="Q25" s="1389">
        <f>RBBD!L10</f>
        <v>0</v>
      </c>
      <c r="R25" s="1389">
        <f>RBBD!M10</f>
        <v>0</v>
      </c>
      <c r="S25" s="1389">
        <f>RBBD!N10</f>
        <v>0</v>
      </c>
      <c r="T25" s="1389">
        <f>RBBD!O10</f>
        <v>0</v>
      </c>
      <c r="U25" s="1389">
        <f>RBBD!P10</f>
        <v>0</v>
      </c>
      <c r="V25" s="1389">
        <f>RBBD!Q10</f>
        <v>0</v>
      </c>
      <c r="W25" s="1389">
        <f>RBBD!R10</f>
        <v>0</v>
      </c>
      <c r="X25" s="1389">
        <f>RBBD!S10</f>
        <v>0</v>
      </c>
      <c r="Y25" s="1389">
        <f>RBBD!T10</f>
        <v>0</v>
      </c>
      <c r="Z25" s="65"/>
      <c r="AA25" s="329">
        <f t="shared" si="4"/>
        <v>0</v>
      </c>
    </row>
    <row r="26" spans="2:27" hidden="1">
      <c r="B26" s="1389">
        <f>RBBD!B11</f>
        <v>0</v>
      </c>
      <c r="C26" s="1389">
        <f>RBBD!C11</f>
        <v>0</v>
      </c>
      <c r="D26" s="1389">
        <f>RBBD!D11</f>
        <v>0</v>
      </c>
      <c r="E26" s="1389">
        <f>RBBD!E11</f>
        <v>0</v>
      </c>
      <c r="F26" s="1389">
        <f>RBBD!F11</f>
        <v>0</v>
      </c>
      <c r="G26" s="1389">
        <f>RBBD!G11</f>
        <v>0</v>
      </c>
      <c r="H26" s="1389">
        <f>RBBD!H11</f>
        <v>0</v>
      </c>
      <c r="I26" s="1389">
        <f t="shared" si="2"/>
        <v>0</v>
      </c>
      <c r="J26" s="1389">
        <f t="shared" si="2"/>
        <v>0</v>
      </c>
      <c r="K26" s="1389">
        <f t="shared" si="2"/>
        <v>0</v>
      </c>
      <c r="L26" s="1389">
        <f t="shared" si="2"/>
        <v>0</v>
      </c>
      <c r="M26" s="1389">
        <f t="shared" si="3"/>
        <v>0</v>
      </c>
      <c r="N26" s="1389">
        <f>RBBD!I11</f>
        <v>0</v>
      </c>
      <c r="O26" s="1389">
        <f>RBBD!J11</f>
        <v>0</v>
      </c>
      <c r="P26" s="1389">
        <f>RBBD!K11</f>
        <v>0</v>
      </c>
      <c r="Q26" s="1389">
        <f>RBBD!L11</f>
        <v>0</v>
      </c>
      <c r="R26" s="1389">
        <f>RBBD!M11</f>
        <v>0</v>
      </c>
      <c r="S26" s="1389">
        <f>RBBD!N11</f>
        <v>0</v>
      </c>
      <c r="T26" s="1389">
        <f>RBBD!O11</f>
        <v>0</v>
      </c>
      <c r="U26" s="1389">
        <f>RBBD!P11</f>
        <v>0</v>
      </c>
      <c r="V26" s="1389">
        <f>RBBD!Q11</f>
        <v>0</v>
      </c>
      <c r="W26" s="1389">
        <f>RBBD!R11</f>
        <v>0</v>
      </c>
      <c r="X26" s="1389">
        <f>RBBD!S11</f>
        <v>0</v>
      </c>
      <c r="Y26" s="1389">
        <f>RBBD!T11</f>
        <v>0</v>
      </c>
      <c r="Z26" s="65"/>
      <c r="AA26" s="329">
        <f t="shared" si="4"/>
        <v>0</v>
      </c>
    </row>
    <row r="27" spans="2:27" hidden="1">
      <c r="B27" s="1389">
        <f>RBBD!B12</f>
        <v>0</v>
      </c>
      <c r="C27" s="1389">
        <f>RBBD!C12</f>
        <v>0</v>
      </c>
      <c r="D27" s="1389">
        <f>RBBD!D12</f>
        <v>0</v>
      </c>
      <c r="E27" s="1389">
        <f>RBBD!E12</f>
        <v>0</v>
      </c>
      <c r="F27" s="1389">
        <f>RBBD!F12</f>
        <v>0</v>
      </c>
      <c r="G27" s="1389">
        <f>RBBD!G12</f>
        <v>0</v>
      </c>
      <c r="H27" s="1389">
        <f>RBBD!H12</f>
        <v>0</v>
      </c>
      <c r="I27" s="1389">
        <f t="shared" si="2"/>
        <v>0</v>
      </c>
      <c r="J27" s="1389">
        <f t="shared" si="2"/>
        <v>0</v>
      </c>
      <c r="K27" s="1389">
        <f t="shared" si="2"/>
        <v>0</v>
      </c>
      <c r="L27" s="1389">
        <f t="shared" si="2"/>
        <v>0</v>
      </c>
      <c r="M27" s="1389">
        <f t="shared" si="3"/>
        <v>0</v>
      </c>
      <c r="N27" s="1389">
        <f>RBBD!I12</f>
        <v>0</v>
      </c>
      <c r="O27" s="1389">
        <f>RBBD!J12</f>
        <v>0</v>
      </c>
      <c r="P27" s="1389">
        <f>RBBD!K12</f>
        <v>0</v>
      </c>
      <c r="Q27" s="1389">
        <f>RBBD!L12</f>
        <v>0</v>
      </c>
      <c r="R27" s="1389">
        <f>RBBD!M12</f>
        <v>0</v>
      </c>
      <c r="S27" s="1389">
        <f>RBBD!N12</f>
        <v>0</v>
      </c>
      <c r="T27" s="1389">
        <f>RBBD!O12</f>
        <v>0</v>
      </c>
      <c r="U27" s="1389">
        <f>RBBD!P12</f>
        <v>0</v>
      </c>
      <c r="V27" s="1389">
        <f>RBBD!Q12</f>
        <v>0</v>
      </c>
      <c r="W27" s="1389">
        <f>RBBD!R12</f>
        <v>0</v>
      </c>
      <c r="X27" s="1389">
        <f>RBBD!S12</f>
        <v>0</v>
      </c>
      <c r="Y27" s="1389">
        <f>RBBD!T12</f>
        <v>0</v>
      </c>
      <c r="Z27" s="65"/>
      <c r="AA27" s="329">
        <f t="shared" si="4"/>
        <v>0</v>
      </c>
    </row>
    <row r="28" spans="2:27" hidden="1">
      <c r="B28" s="1389">
        <f>RBBD!B13</f>
        <v>0</v>
      </c>
      <c r="C28" s="1389">
        <f>RBBD!C13</f>
        <v>0</v>
      </c>
      <c r="D28" s="1389">
        <f>RBBD!D13</f>
        <v>0</v>
      </c>
      <c r="E28" s="1389">
        <f>RBBD!G13</f>
        <v>0</v>
      </c>
      <c r="F28" s="1389">
        <f>RBBD!H13</f>
        <v>0</v>
      </c>
      <c r="G28" s="1389">
        <f>RBBD!E13</f>
        <v>0</v>
      </c>
      <c r="H28" s="1389">
        <f>RBBD!F13</f>
        <v>0</v>
      </c>
      <c r="I28" s="1389">
        <f t="shared" si="2"/>
        <v>0</v>
      </c>
      <c r="J28" s="1389">
        <f t="shared" si="2"/>
        <v>0</v>
      </c>
      <c r="K28" s="1389">
        <f t="shared" si="2"/>
        <v>0</v>
      </c>
      <c r="L28" s="1389">
        <f t="shared" si="2"/>
        <v>0</v>
      </c>
      <c r="M28" s="1389">
        <f t="shared" si="3"/>
        <v>0</v>
      </c>
      <c r="N28" s="1389">
        <f>RBBD!I13</f>
        <v>0</v>
      </c>
      <c r="O28" s="1389">
        <f>RBBD!J13</f>
        <v>0</v>
      </c>
      <c r="P28" s="1389">
        <f>RBBD!K13</f>
        <v>0</v>
      </c>
      <c r="Q28" s="1389">
        <f>RBBD!L13</f>
        <v>0</v>
      </c>
      <c r="R28" s="1389">
        <f>RBBD!M13</f>
        <v>0</v>
      </c>
      <c r="S28" s="1389">
        <f>RBBD!N13</f>
        <v>0</v>
      </c>
      <c r="T28" s="1389">
        <f>RBBD!O13</f>
        <v>0</v>
      </c>
      <c r="U28" s="1389">
        <f>RBBD!P13</f>
        <v>0</v>
      </c>
      <c r="V28" s="1389">
        <f>RBBD!Q13</f>
        <v>0</v>
      </c>
      <c r="W28" s="1389">
        <f>RBBD!R13</f>
        <v>0</v>
      </c>
      <c r="X28" s="1389">
        <f>RBBD!S13</f>
        <v>0</v>
      </c>
      <c r="Y28" s="1389">
        <f>RBBD!T13</f>
        <v>0</v>
      </c>
      <c r="Z28" s="65"/>
      <c r="AA28" s="329">
        <f t="shared" si="4"/>
        <v>0</v>
      </c>
    </row>
    <row r="29" spans="2:27" hidden="1">
      <c r="B29" s="1389">
        <f>RBBD!B14</f>
        <v>0</v>
      </c>
      <c r="C29" s="1389">
        <f>RBBD!C14</f>
        <v>0</v>
      </c>
      <c r="D29" s="1389">
        <f>RBBD!D14</f>
        <v>0</v>
      </c>
      <c r="E29" s="1389">
        <f>RBBD!G14</f>
        <v>0</v>
      </c>
      <c r="F29" s="1389">
        <f>RBBD!H14</f>
        <v>0</v>
      </c>
      <c r="G29" s="1389">
        <f>RBBD!E14</f>
        <v>0</v>
      </c>
      <c r="H29" s="1389">
        <f>RBBD!F14</f>
        <v>0</v>
      </c>
      <c r="I29" s="1389">
        <f t="shared" si="2"/>
        <v>0</v>
      </c>
      <c r="J29" s="1389">
        <f t="shared" si="2"/>
        <v>0</v>
      </c>
      <c r="K29" s="1389">
        <f t="shared" si="2"/>
        <v>0</v>
      </c>
      <c r="L29" s="1389">
        <f t="shared" si="2"/>
        <v>0</v>
      </c>
      <c r="M29" s="1389">
        <f t="shared" si="3"/>
        <v>0</v>
      </c>
      <c r="N29" s="1389">
        <f>RBBD!I14</f>
        <v>0</v>
      </c>
      <c r="O29" s="1389">
        <f>RBBD!J14</f>
        <v>0</v>
      </c>
      <c r="P29" s="1389">
        <f>RBBD!K14</f>
        <v>0</v>
      </c>
      <c r="Q29" s="1389">
        <f>RBBD!L14</f>
        <v>0</v>
      </c>
      <c r="R29" s="1389">
        <f>RBBD!M14</f>
        <v>0</v>
      </c>
      <c r="S29" s="1389">
        <f>RBBD!N14</f>
        <v>0</v>
      </c>
      <c r="T29" s="1389">
        <f>RBBD!O14</f>
        <v>0</v>
      </c>
      <c r="U29" s="1389">
        <f>RBBD!P14</f>
        <v>0</v>
      </c>
      <c r="V29" s="1389">
        <f>RBBD!Q14</f>
        <v>0</v>
      </c>
      <c r="W29" s="1389">
        <f>RBBD!R14</f>
        <v>0</v>
      </c>
      <c r="X29" s="1389">
        <f>RBBD!S14</f>
        <v>0</v>
      </c>
      <c r="Y29" s="1389">
        <f>RBBD!T14</f>
        <v>0</v>
      </c>
      <c r="Z29" s="65"/>
      <c r="AA29" s="329">
        <f t="shared" si="4"/>
        <v>0</v>
      </c>
    </row>
    <row r="30" spans="2:27" hidden="1">
      <c r="B30" s="1389">
        <f>RBBD!B15</f>
        <v>0</v>
      </c>
      <c r="C30" s="1389">
        <f>RBBD!C15</f>
        <v>0</v>
      </c>
      <c r="D30" s="1389">
        <f>RBBD!D15</f>
        <v>0</v>
      </c>
      <c r="E30" s="1389">
        <f>RBBD!G15</f>
        <v>0</v>
      </c>
      <c r="F30" s="1389">
        <f>RBBD!H15</f>
        <v>0</v>
      </c>
      <c r="G30" s="1389">
        <f>RBBD!E15</f>
        <v>0</v>
      </c>
      <c r="H30" s="1389">
        <f>RBBD!F15</f>
        <v>0</v>
      </c>
      <c r="I30" s="1389">
        <f t="shared" si="2"/>
        <v>0</v>
      </c>
      <c r="J30" s="1389">
        <f t="shared" si="2"/>
        <v>0</v>
      </c>
      <c r="K30" s="1389">
        <f t="shared" si="2"/>
        <v>0</v>
      </c>
      <c r="L30" s="1389">
        <f t="shared" si="2"/>
        <v>0</v>
      </c>
      <c r="M30" s="1389">
        <f t="shared" si="3"/>
        <v>0</v>
      </c>
      <c r="N30" s="1389">
        <f>RBBD!I15</f>
        <v>0</v>
      </c>
      <c r="O30" s="1389">
        <f>RBBD!J15</f>
        <v>0</v>
      </c>
      <c r="P30" s="1389">
        <f>RBBD!K15</f>
        <v>0</v>
      </c>
      <c r="Q30" s="1389">
        <f>RBBD!L15</f>
        <v>0</v>
      </c>
      <c r="R30" s="1389">
        <f>RBBD!M15</f>
        <v>0</v>
      </c>
      <c r="S30" s="1389">
        <f>RBBD!N15</f>
        <v>0</v>
      </c>
      <c r="T30" s="1389">
        <f>RBBD!O15</f>
        <v>0</v>
      </c>
      <c r="U30" s="1389">
        <f>RBBD!P15</f>
        <v>0</v>
      </c>
      <c r="V30" s="1389">
        <f>RBBD!Q15</f>
        <v>0</v>
      </c>
      <c r="W30" s="1389">
        <f>RBBD!R15</f>
        <v>0</v>
      </c>
      <c r="X30" s="1389">
        <f>RBBD!S15</f>
        <v>0</v>
      </c>
      <c r="Y30" s="1389">
        <f>RBBD!T15</f>
        <v>0</v>
      </c>
      <c r="Z30" s="65"/>
      <c r="AA30" s="329">
        <f t="shared" si="4"/>
        <v>0</v>
      </c>
    </row>
    <row r="31" spans="2:27" hidden="1">
      <c r="B31" s="1389">
        <f>RBBD!B16</f>
        <v>0</v>
      </c>
      <c r="C31" s="1389">
        <f>RBBD!C16</f>
        <v>0</v>
      </c>
      <c r="D31" s="1389">
        <f>RBBD!D16</f>
        <v>0</v>
      </c>
      <c r="E31" s="1389">
        <f>RBBD!G16</f>
        <v>0</v>
      </c>
      <c r="F31" s="1389">
        <f>RBBD!H16</f>
        <v>0</v>
      </c>
      <c r="G31" s="1389">
        <f>RBBD!E16</f>
        <v>0</v>
      </c>
      <c r="H31" s="1389">
        <f>RBBD!F16</f>
        <v>0</v>
      </c>
      <c r="I31" s="1389">
        <f t="shared" si="2"/>
        <v>0</v>
      </c>
      <c r="J31" s="1389">
        <f t="shared" si="2"/>
        <v>0</v>
      </c>
      <c r="K31" s="1389">
        <f t="shared" si="2"/>
        <v>0</v>
      </c>
      <c r="L31" s="1389">
        <f t="shared" si="2"/>
        <v>0</v>
      </c>
      <c r="M31" s="1389">
        <f t="shared" si="3"/>
        <v>0</v>
      </c>
      <c r="N31" s="1389">
        <f>RBBD!I16</f>
        <v>0</v>
      </c>
      <c r="O31" s="1389">
        <f>RBBD!J16</f>
        <v>0</v>
      </c>
      <c r="P31" s="1389">
        <f>RBBD!K16</f>
        <v>0</v>
      </c>
      <c r="Q31" s="1389">
        <f>RBBD!L16</f>
        <v>0</v>
      </c>
      <c r="R31" s="1389">
        <f>RBBD!M16</f>
        <v>0</v>
      </c>
      <c r="S31" s="1389">
        <f>RBBD!N16</f>
        <v>0</v>
      </c>
      <c r="T31" s="1389">
        <f>RBBD!O16</f>
        <v>0</v>
      </c>
      <c r="U31" s="1389">
        <f>RBBD!P16</f>
        <v>0</v>
      </c>
      <c r="V31" s="1389">
        <f>RBBD!Q16</f>
        <v>0</v>
      </c>
      <c r="W31" s="1389">
        <f>RBBD!R16</f>
        <v>0</v>
      </c>
      <c r="X31" s="1389">
        <f>RBBD!S16</f>
        <v>0</v>
      </c>
      <c r="Y31" s="1389">
        <f>RBBD!T16</f>
        <v>0</v>
      </c>
      <c r="Z31" s="65"/>
      <c r="AA31" s="329">
        <f t="shared" si="4"/>
        <v>0</v>
      </c>
    </row>
    <row r="32" spans="2:27" hidden="1">
      <c r="B32" s="1389">
        <f>RBBD!B17</f>
        <v>0</v>
      </c>
      <c r="C32" s="1389">
        <f>RBBD!C17</f>
        <v>0</v>
      </c>
      <c r="D32" s="1389">
        <f>RBBD!D17</f>
        <v>0</v>
      </c>
      <c r="E32" s="1389">
        <f>RBBD!G17</f>
        <v>0</v>
      </c>
      <c r="F32" s="1389">
        <f>RBBD!H17</f>
        <v>0</v>
      </c>
      <c r="G32" s="1389">
        <f>RBBD!E17</f>
        <v>0</v>
      </c>
      <c r="H32" s="1389">
        <f>RBBD!F17</f>
        <v>0</v>
      </c>
      <c r="I32" s="1389">
        <f t="shared" si="2"/>
        <v>0</v>
      </c>
      <c r="J32" s="1389">
        <f t="shared" si="2"/>
        <v>0</v>
      </c>
      <c r="K32" s="1389">
        <f t="shared" si="2"/>
        <v>0</v>
      </c>
      <c r="L32" s="1389">
        <f t="shared" si="2"/>
        <v>0</v>
      </c>
      <c r="M32" s="1389">
        <f t="shared" si="3"/>
        <v>0</v>
      </c>
      <c r="N32" s="1389">
        <f>RBBD!I17</f>
        <v>0</v>
      </c>
      <c r="O32" s="1389">
        <f>RBBD!J17</f>
        <v>0</v>
      </c>
      <c r="P32" s="1389">
        <f>RBBD!K17</f>
        <v>0</v>
      </c>
      <c r="Q32" s="1389">
        <f>RBBD!L17</f>
        <v>0</v>
      </c>
      <c r="R32" s="1389">
        <f>RBBD!M17</f>
        <v>0</v>
      </c>
      <c r="S32" s="1389">
        <f>RBBD!N17</f>
        <v>0</v>
      </c>
      <c r="T32" s="1389">
        <f>RBBD!O17</f>
        <v>0</v>
      </c>
      <c r="U32" s="1389">
        <f>RBBD!P17</f>
        <v>0</v>
      </c>
      <c r="V32" s="1389">
        <f>RBBD!Q17</f>
        <v>0</v>
      </c>
      <c r="W32" s="1389">
        <f>RBBD!R17</f>
        <v>0</v>
      </c>
      <c r="X32" s="1389">
        <f>RBBD!S17</f>
        <v>0</v>
      </c>
      <c r="Y32" s="1389">
        <f>RBBD!T17</f>
        <v>0</v>
      </c>
      <c r="Z32" s="65"/>
      <c r="AA32" s="329">
        <f t="shared" si="4"/>
        <v>0</v>
      </c>
    </row>
    <row r="33" spans="2:27" hidden="1">
      <c r="B33" s="1389">
        <f>RBBD!B18</f>
        <v>0</v>
      </c>
      <c r="C33" s="1389">
        <f>RBBD!C18</f>
        <v>0</v>
      </c>
      <c r="D33" s="1389">
        <f>RBBD!D18</f>
        <v>0</v>
      </c>
      <c r="E33" s="1389">
        <f>RBBD!G18</f>
        <v>0</v>
      </c>
      <c r="F33" s="1389">
        <f>RBBD!H18</f>
        <v>0</v>
      </c>
      <c r="G33" s="1389">
        <f>RBBD!E18</f>
        <v>0</v>
      </c>
      <c r="H33" s="1389">
        <f>RBBD!F18</f>
        <v>0</v>
      </c>
      <c r="I33" s="1389">
        <f t="shared" si="2"/>
        <v>0</v>
      </c>
      <c r="J33" s="1389">
        <f t="shared" si="2"/>
        <v>0</v>
      </c>
      <c r="K33" s="1389">
        <f t="shared" si="2"/>
        <v>0</v>
      </c>
      <c r="L33" s="1389">
        <f t="shared" si="2"/>
        <v>0</v>
      </c>
      <c r="M33" s="1389">
        <f t="shared" si="3"/>
        <v>0</v>
      </c>
      <c r="N33" s="1389">
        <f>RBBD!I18</f>
        <v>0</v>
      </c>
      <c r="O33" s="1389">
        <f>RBBD!J18</f>
        <v>0</v>
      </c>
      <c r="P33" s="1389">
        <f>RBBD!K18</f>
        <v>0</v>
      </c>
      <c r="Q33" s="1389">
        <f>RBBD!L18</f>
        <v>0</v>
      </c>
      <c r="R33" s="1389">
        <f>RBBD!M18</f>
        <v>0</v>
      </c>
      <c r="S33" s="1389">
        <f>RBBD!N18</f>
        <v>0</v>
      </c>
      <c r="T33" s="1389">
        <f>RBBD!O18</f>
        <v>0</v>
      </c>
      <c r="U33" s="1389">
        <f>RBBD!P18</f>
        <v>0</v>
      </c>
      <c r="V33" s="1389">
        <f>RBBD!Q18</f>
        <v>0</v>
      </c>
      <c r="W33" s="1389">
        <f>RBBD!R18</f>
        <v>0</v>
      </c>
      <c r="X33" s="1389">
        <f>RBBD!S18</f>
        <v>0</v>
      </c>
      <c r="Y33" s="1389">
        <f>RBBD!T18</f>
        <v>0</v>
      </c>
      <c r="Z33" s="65"/>
      <c r="AA33" s="329">
        <f t="shared" si="4"/>
        <v>0</v>
      </c>
    </row>
    <row r="34" spans="2:27" hidden="1">
      <c r="B34" s="1389">
        <f>RBBD!B19</f>
        <v>0</v>
      </c>
      <c r="C34" s="1389">
        <f>RBBD!C19</f>
        <v>0</v>
      </c>
      <c r="D34" s="1389">
        <f>RBBD!D19</f>
        <v>0</v>
      </c>
      <c r="E34" s="1389">
        <f>RBBD!G19</f>
        <v>0</v>
      </c>
      <c r="F34" s="1389">
        <f>RBBD!H19</f>
        <v>0</v>
      </c>
      <c r="G34" s="1389">
        <f>RBBD!E19</f>
        <v>0</v>
      </c>
      <c r="H34" s="1389">
        <f>RBBD!F19</f>
        <v>0</v>
      </c>
      <c r="I34" s="1389">
        <f t="shared" si="2"/>
        <v>0</v>
      </c>
      <c r="J34" s="1389">
        <f t="shared" si="2"/>
        <v>0</v>
      </c>
      <c r="K34" s="1389">
        <f t="shared" si="2"/>
        <v>0</v>
      </c>
      <c r="L34" s="1389">
        <f t="shared" si="2"/>
        <v>0</v>
      </c>
      <c r="M34" s="1389">
        <f t="shared" si="3"/>
        <v>0</v>
      </c>
      <c r="N34" s="1389">
        <f>RBBD!I19</f>
        <v>0</v>
      </c>
      <c r="O34" s="1389">
        <f>RBBD!J19</f>
        <v>0</v>
      </c>
      <c r="P34" s="1389">
        <f>RBBD!K19</f>
        <v>0</v>
      </c>
      <c r="Q34" s="1389">
        <f>RBBD!L19</f>
        <v>0</v>
      </c>
      <c r="R34" s="1389">
        <f>RBBD!M19</f>
        <v>0</v>
      </c>
      <c r="S34" s="1389">
        <f>RBBD!N19</f>
        <v>0</v>
      </c>
      <c r="T34" s="1389">
        <f>RBBD!O19</f>
        <v>0</v>
      </c>
      <c r="U34" s="1389">
        <f>RBBD!P19</f>
        <v>0</v>
      </c>
      <c r="V34" s="1389">
        <f>RBBD!Q19</f>
        <v>0</v>
      </c>
      <c r="W34" s="1389">
        <f>RBBD!R19</f>
        <v>0</v>
      </c>
      <c r="X34" s="1389">
        <f>RBBD!S19</f>
        <v>0</v>
      </c>
      <c r="Y34" s="1389">
        <f>RBBD!T19</f>
        <v>0</v>
      </c>
      <c r="Z34" s="65"/>
      <c r="AA34" s="329">
        <f t="shared" si="4"/>
        <v>0</v>
      </c>
    </row>
    <row r="35" spans="2:27" hidden="1">
      <c r="B35" s="1389">
        <f>RBBD!B20</f>
        <v>0</v>
      </c>
      <c r="C35" s="1389">
        <f>RBBD!C20</f>
        <v>0</v>
      </c>
      <c r="D35" s="1389">
        <f>RBBD!D20</f>
        <v>0</v>
      </c>
      <c r="E35" s="1389">
        <f>RBBD!G20</f>
        <v>0</v>
      </c>
      <c r="F35" s="1389">
        <f>RBBD!H20</f>
        <v>0</v>
      </c>
      <c r="G35" s="1389">
        <f>RBBD!E20</f>
        <v>0</v>
      </c>
      <c r="H35" s="1389">
        <f>RBBD!F20</f>
        <v>0</v>
      </c>
      <c r="I35" s="1389">
        <f t="shared" si="2"/>
        <v>0</v>
      </c>
      <c r="J35" s="1389">
        <f t="shared" si="2"/>
        <v>0</v>
      </c>
      <c r="K35" s="1389">
        <f t="shared" si="2"/>
        <v>0</v>
      </c>
      <c r="L35" s="1389">
        <f t="shared" si="2"/>
        <v>0</v>
      </c>
      <c r="M35" s="1389">
        <f t="shared" si="3"/>
        <v>0</v>
      </c>
      <c r="N35" s="1389">
        <f>RBBD!I20</f>
        <v>0</v>
      </c>
      <c r="O35" s="1389">
        <f>RBBD!J20</f>
        <v>0</v>
      </c>
      <c r="P35" s="1389">
        <f>RBBD!K20</f>
        <v>0</v>
      </c>
      <c r="Q35" s="1389">
        <f>RBBD!L20</f>
        <v>0</v>
      </c>
      <c r="R35" s="1389">
        <f>RBBD!M20</f>
        <v>0</v>
      </c>
      <c r="S35" s="1389">
        <f>RBBD!N20</f>
        <v>0</v>
      </c>
      <c r="T35" s="1389">
        <f>RBBD!O20</f>
        <v>0</v>
      </c>
      <c r="U35" s="1389">
        <f>RBBD!P20</f>
        <v>0</v>
      </c>
      <c r="V35" s="1389">
        <f>RBBD!Q20</f>
        <v>0</v>
      </c>
      <c r="W35" s="1389">
        <f>RBBD!R20</f>
        <v>0</v>
      </c>
      <c r="X35" s="1389">
        <f>RBBD!S20</f>
        <v>0</v>
      </c>
      <c r="Y35" s="1389">
        <f>RBBD!T20</f>
        <v>0</v>
      </c>
      <c r="Z35" s="65"/>
      <c r="AA35" s="329">
        <f t="shared" si="4"/>
        <v>0</v>
      </c>
    </row>
    <row r="36" spans="2:27" hidden="1">
      <c r="B36" s="1389">
        <f>RBBD!B21</f>
        <v>0</v>
      </c>
      <c r="C36" s="1389">
        <f>RBBD!C21</f>
        <v>0</v>
      </c>
      <c r="D36" s="1389">
        <f>RBBD!D21</f>
        <v>0</v>
      </c>
      <c r="E36" s="1389">
        <f>RBBD!G21</f>
        <v>0</v>
      </c>
      <c r="F36" s="1389">
        <f>RBBD!H21</f>
        <v>0</v>
      </c>
      <c r="G36" s="1389">
        <f>RBBD!E21</f>
        <v>0</v>
      </c>
      <c r="H36" s="1389">
        <f>RBBD!F21</f>
        <v>0</v>
      </c>
      <c r="I36" s="1389">
        <f t="shared" si="2"/>
        <v>0</v>
      </c>
      <c r="J36" s="1389">
        <f t="shared" si="2"/>
        <v>0</v>
      </c>
      <c r="K36" s="1389">
        <f t="shared" si="2"/>
        <v>0</v>
      </c>
      <c r="L36" s="1389">
        <f t="shared" si="2"/>
        <v>0</v>
      </c>
      <c r="M36" s="1389">
        <f t="shared" si="3"/>
        <v>0</v>
      </c>
      <c r="N36" s="1389">
        <f>RBBD!I21</f>
        <v>0</v>
      </c>
      <c r="O36" s="1389">
        <f>RBBD!J21</f>
        <v>0</v>
      </c>
      <c r="P36" s="1389">
        <f>RBBD!K21</f>
        <v>0</v>
      </c>
      <c r="Q36" s="1389">
        <f>RBBD!L21</f>
        <v>0</v>
      </c>
      <c r="R36" s="1389">
        <f>RBBD!M21</f>
        <v>0</v>
      </c>
      <c r="S36" s="1389">
        <f>RBBD!N21</f>
        <v>0</v>
      </c>
      <c r="T36" s="1389">
        <f>RBBD!O21</f>
        <v>0</v>
      </c>
      <c r="U36" s="1389">
        <f>RBBD!P21</f>
        <v>0</v>
      </c>
      <c r="V36" s="1389">
        <f>RBBD!Q21</f>
        <v>0</v>
      </c>
      <c r="W36" s="1389">
        <f>RBBD!R21</f>
        <v>0</v>
      </c>
      <c r="X36" s="1389">
        <f>RBBD!S21</f>
        <v>0</v>
      </c>
      <c r="Y36" s="1389">
        <f>RBBD!T21</f>
        <v>0</v>
      </c>
      <c r="Z36" s="65"/>
      <c r="AA36" s="329">
        <f t="shared" si="4"/>
        <v>0</v>
      </c>
    </row>
    <row r="37" spans="2:27" hidden="1">
      <c r="B37" s="1389">
        <f>RBBD!B22</f>
        <v>0</v>
      </c>
      <c r="C37" s="1389">
        <f>RBBD!C22</f>
        <v>0</v>
      </c>
      <c r="D37" s="1389">
        <f>RBBD!D22</f>
        <v>0</v>
      </c>
      <c r="E37" s="1389">
        <f>RBBD!G22</f>
        <v>0</v>
      </c>
      <c r="F37" s="1389">
        <f>RBBD!H22</f>
        <v>0</v>
      </c>
      <c r="G37" s="1389">
        <f>RBBD!E22</f>
        <v>0</v>
      </c>
      <c r="H37" s="1389">
        <f>RBBD!F22</f>
        <v>0</v>
      </c>
      <c r="I37" s="1389">
        <f t="shared" si="2"/>
        <v>0</v>
      </c>
      <c r="J37" s="1389">
        <f t="shared" si="2"/>
        <v>0</v>
      </c>
      <c r="K37" s="1389">
        <f t="shared" si="2"/>
        <v>0</v>
      </c>
      <c r="L37" s="1389">
        <f t="shared" si="2"/>
        <v>0</v>
      </c>
      <c r="M37" s="1389">
        <f t="shared" si="3"/>
        <v>0</v>
      </c>
      <c r="N37" s="1389">
        <f>RBBD!I22</f>
        <v>0</v>
      </c>
      <c r="O37" s="1389">
        <f>RBBD!J22</f>
        <v>0</v>
      </c>
      <c r="P37" s="1389">
        <f>RBBD!K22</f>
        <v>0</v>
      </c>
      <c r="Q37" s="1389">
        <f>RBBD!L22</f>
        <v>0</v>
      </c>
      <c r="R37" s="1389">
        <f>RBBD!M22</f>
        <v>0</v>
      </c>
      <c r="S37" s="1389">
        <f>RBBD!N22</f>
        <v>0</v>
      </c>
      <c r="T37" s="1389">
        <f>RBBD!O22</f>
        <v>0</v>
      </c>
      <c r="U37" s="1389">
        <f>RBBD!P22</f>
        <v>0</v>
      </c>
      <c r="V37" s="1389">
        <f>RBBD!Q22</f>
        <v>0</v>
      </c>
      <c r="W37" s="1389">
        <f>RBBD!R22</f>
        <v>0</v>
      </c>
      <c r="X37" s="1389">
        <f>RBBD!S22</f>
        <v>0</v>
      </c>
      <c r="Y37" s="1389">
        <f>RBBD!T22</f>
        <v>0</v>
      </c>
      <c r="Z37" s="65"/>
      <c r="AA37" s="329">
        <f t="shared" si="4"/>
        <v>0</v>
      </c>
    </row>
    <row r="38" spans="2:27" hidden="1">
      <c r="B38" s="1389">
        <f>RBBD!B23</f>
        <v>0</v>
      </c>
      <c r="C38" s="1389">
        <f>RBBD!C23</f>
        <v>0</v>
      </c>
      <c r="D38" s="1389">
        <f>RBBD!D23</f>
        <v>0</v>
      </c>
      <c r="E38" s="1389">
        <f>RBBD!G23</f>
        <v>0</v>
      </c>
      <c r="F38" s="1389">
        <f>RBBD!H23</f>
        <v>0</v>
      </c>
      <c r="G38" s="1389">
        <f>RBBD!E23</f>
        <v>0</v>
      </c>
      <c r="H38" s="1389">
        <f>RBBD!F23</f>
        <v>0</v>
      </c>
      <c r="I38" s="1389">
        <f t="shared" si="2"/>
        <v>0</v>
      </c>
      <c r="J38" s="1389">
        <f t="shared" si="2"/>
        <v>0</v>
      </c>
      <c r="K38" s="1389">
        <f t="shared" si="2"/>
        <v>0</v>
      </c>
      <c r="L38" s="1389">
        <f t="shared" si="2"/>
        <v>0</v>
      </c>
      <c r="M38" s="1389">
        <f t="shared" si="3"/>
        <v>0</v>
      </c>
      <c r="N38" s="1389">
        <f>RBBD!I23</f>
        <v>0</v>
      </c>
      <c r="O38" s="1389">
        <f>RBBD!J23</f>
        <v>0</v>
      </c>
      <c r="P38" s="1389">
        <f>RBBD!K23</f>
        <v>0</v>
      </c>
      <c r="Q38" s="1389">
        <f>RBBD!L23</f>
        <v>0</v>
      </c>
      <c r="R38" s="1389">
        <f>RBBD!M23</f>
        <v>0</v>
      </c>
      <c r="S38" s="1389">
        <f>RBBD!N23</f>
        <v>0</v>
      </c>
      <c r="T38" s="1389">
        <f>RBBD!O23</f>
        <v>0</v>
      </c>
      <c r="U38" s="1389">
        <f>RBBD!P23</f>
        <v>0</v>
      </c>
      <c r="V38" s="1389">
        <f>RBBD!Q23</f>
        <v>0</v>
      </c>
      <c r="W38" s="1389">
        <f>RBBD!R23</f>
        <v>0</v>
      </c>
      <c r="X38" s="1389">
        <f>RBBD!S23</f>
        <v>0</v>
      </c>
      <c r="Y38" s="1389">
        <f>RBBD!T23</f>
        <v>0</v>
      </c>
      <c r="Z38" s="65"/>
      <c r="AA38" s="329">
        <f t="shared" si="4"/>
        <v>0</v>
      </c>
    </row>
    <row r="39" spans="2:27" hidden="1">
      <c r="B39" s="1389">
        <f>RBBD!B24</f>
        <v>0</v>
      </c>
      <c r="C39" s="1389">
        <f>RBBD!C24</f>
        <v>0</v>
      </c>
      <c r="D39" s="1389">
        <f>RBBD!D24</f>
        <v>0</v>
      </c>
      <c r="E39" s="1389">
        <f>RBBD!G24</f>
        <v>0</v>
      </c>
      <c r="F39" s="1389">
        <f>RBBD!H24</f>
        <v>0</v>
      </c>
      <c r="G39" s="1389">
        <f>RBBD!E24</f>
        <v>0</v>
      </c>
      <c r="H39" s="1389">
        <f>RBBD!F24</f>
        <v>0</v>
      </c>
      <c r="I39" s="1389">
        <f t="shared" si="2"/>
        <v>0</v>
      </c>
      <c r="J39" s="1389">
        <f t="shared" si="2"/>
        <v>0</v>
      </c>
      <c r="K39" s="1389">
        <f t="shared" si="2"/>
        <v>0</v>
      </c>
      <c r="L39" s="1389">
        <f t="shared" si="2"/>
        <v>0</v>
      </c>
      <c r="M39" s="1389">
        <f t="shared" si="3"/>
        <v>0</v>
      </c>
      <c r="N39" s="1389">
        <f>RBBD!I24</f>
        <v>0</v>
      </c>
      <c r="O39" s="1389">
        <f>RBBD!J24</f>
        <v>0</v>
      </c>
      <c r="P39" s="1389">
        <f>RBBD!K24</f>
        <v>0</v>
      </c>
      <c r="Q39" s="1389">
        <f>RBBD!L24</f>
        <v>0</v>
      </c>
      <c r="R39" s="1389">
        <f>RBBD!M24</f>
        <v>0</v>
      </c>
      <c r="S39" s="1389">
        <f>RBBD!N24</f>
        <v>0</v>
      </c>
      <c r="T39" s="1389">
        <f>RBBD!O24</f>
        <v>0</v>
      </c>
      <c r="U39" s="1389">
        <f>RBBD!P24</f>
        <v>0</v>
      </c>
      <c r="V39" s="1389">
        <f>RBBD!Q24</f>
        <v>0</v>
      </c>
      <c r="W39" s="1389">
        <f>RBBD!R24</f>
        <v>0</v>
      </c>
      <c r="X39" s="1389">
        <f>RBBD!S24</f>
        <v>0</v>
      </c>
      <c r="Y39" s="1389">
        <f>RBBD!T24</f>
        <v>0</v>
      </c>
      <c r="Z39" s="65"/>
      <c r="AA39" s="329">
        <f t="shared" ref="AA39:AA60" si="5">IF(B39=0,0,1)</f>
        <v>0</v>
      </c>
    </row>
    <row r="40" spans="2:27" hidden="1">
      <c r="B40" s="1389">
        <f>RBBD!B25</f>
        <v>0</v>
      </c>
      <c r="C40" s="1389">
        <f>RBBD!C25</f>
        <v>0</v>
      </c>
      <c r="D40" s="1389">
        <f>RBBD!D25</f>
        <v>0</v>
      </c>
      <c r="E40" s="1389">
        <f>RBBD!G25</f>
        <v>0</v>
      </c>
      <c r="F40" s="1389">
        <f>RBBD!H25</f>
        <v>0</v>
      </c>
      <c r="G40" s="1389">
        <f>RBBD!E25</f>
        <v>0</v>
      </c>
      <c r="H40" s="1389">
        <f>RBBD!F25</f>
        <v>0</v>
      </c>
      <c r="I40" s="1389">
        <f t="shared" si="2"/>
        <v>0</v>
      </c>
      <c r="J40" s="1389">
        <f t="shared" si="2"/>
        <v>0</v>
      </c>
      <c r="K40" s="1389">
        <f t="shared" si="2"/>
        <v>0</v>
      </c>
      <c r="L40" s="1389">
        <f t="shared" si="2"/>
        <v>0</v>
      </c>
      <c r="M40" s="1389">
        <f t="shared" si="3"/>
        <v>0</v>
      </c>
      <c r="N40" s="1389">
        <f>RBBD!I25</f>
        <v>0</v>
      </c>
      <c r="O40" s="1389">
        <f>RBBD!J25</f>
        <v>0</v>
      </c>
      <c r="P40" s="1389">
        <f>RBBD!K25</f>
        <v>0</v>
      </c>
      <c r="Q40" s="1389">
        <f>RBBD!L25</f>
        <v>0</v>
      </c>
      <c r="R40" s="1389">
        <f>RBBD!M25</f>
        <v>0</v>
      </c>
      <c r="S40" s="1389">
        <f>RBBD!N25</f>
        <v>0</v>
      </c>
      <c r="T40" s="1389">
        <f>RBBD!O25</f>
        <v>0</v>
      </c>
      <c r="U40" s="1389">
        <f>RBBD!P25</f>
        <v>0</v>
      </c>
      <c r="V40" s="1389">
        <f>RBBD!Q25</f>
        <v>0</v>
      </c>
      <c r="W40" s="1389">
        <f>RBBD!R25</f>
        <v>0</v>
      </c>
      <c r="X40" s="1389">
        <f>RBBD!S25</f>
        <v>0</v>
      </c>
      <c r="Y40" s="1389">
        <f>RBBD!T25</f>
        <v>0</v>
      </c>
      <c r="Z40" s="65"/>
      <c r="AA40" s="329">
        <f t="shared" si="5"/>
        <v>0</v>
      </c>
    </row>
    <row r="41" spans="2:27" hidden="1">
      <c r="B41" s="1389">
        <f>RBBD!B26</f>
        <v>0</v>
      </c>
      <c r="C41" s="1389">
        <f>RBBD!C26</f>
        <v>0</v>
      </c>
      <c r="D41" s="1389">
        <f>RBBD!D26</f>
        <v>0</v>
      </c>
      <c r="E41" s="1389">
        <f>RBBD!G26</f>
        <v>0</v>
      </c>
      <c r="F41" s="1389">
        <f>RBBD!H26</f>
        <v>0</v>
      </c>
      <c r="G41" s="1389">
        <f>RBBD!E26</f>
        <v>0</v>
      </c>
      <c r="H41" s="1389">
        <f>RBBD!F26</f>
        <v>0</v>
      </c>
      <c r="I41" s="1389">
        <f t="shared" si="2"/>
        <v>0</v>
      </c>
      <c r="J41" s="1389">
        <f t="shared" si="2"/>
        <v>0</v>
      </c>
      <c r="K41" s="1389">
        <f t="shared" si="2"/>
        <v>0</v>
      </c>
      <c r="L41" s="1389">
        <f t="shared" si="2"/>
        <v>0</v>
      </c>
      <c r="M41" s="1389">
        <f t="shared" si="3"/>
        <v>0</v>
      </c>
      <c r="N41" s="1389">
        <f>RBBD!I26</f>
        <v>0</v>
      </c>
      <c r="O41" s="1389">
        <f>RBBD!J26</f>
        <v>0</v>
      </c>
      <c r="P41" s="1389">
        <f>RBBD!K26</f>
        <v>0</v>
      </c>
      <c r="Q41" s="1389">
        <f>RBBD!L26</f>
        <v>0</v>
      </c>
      <c r="R41" s="1389">
        <f>RBBD!M26</f>
        <v>0</v>
      </c>
      <c r="S41" s="1389">
        <f>RBBD!N26</f>
        <v>0</v>
      </c>
      <c r="T41" s="1389">
        <f>RBBD!O26</f>
        <v>0</v>
      </c>
      <c r="U41" s="1389">
        <f>RBBD!P26</f>
        <v>0</v>
      </c>
      <c r="V41" s="1389">
        <f>RBBD!Q26</f>
        <v>0</v>
      </c>
      <c r="W41" s="1389">
        <f>RBBD!R26</f>
        <v>0</v>
      </c>
      <c r="X41" s="1389">
        <f>RBBD!S26</f>
        <v>0</v>
      </c>
      <c r="Y41" s="1389">
        <f>RBBD!T26</f>
        <v>0</v>
      </c>
      <c r="Z41" s="65"/>
      <c r="AA41" s="329">
        <f t="shared" si="5"/>
        <v>0</v>
      </c>
    </row>
    <row r="42" spans="2:27" hidden="1">
      <c r="B42" s="1389">
        <f>RBBD!B27</f>
        <v>0</v>
      </c>
      <c r="C42" s="1389">
        <f>RBBD!C27</f>
        <v>0</v>
      </c>
      <c r="D42" s="1389">
        <f>RBBD!D27</f>
        <v>0</v>
      </c>
      <c r="E42" s="1389">
        <f>RBBD!G27</f>
        <v>0</v>
      </c>
      <c r="F42" s="1389">
        <f>RBBD!H27</f>
        <v>0</v>
      </c>
      <c r="G42" s="1389">
        <f>RBBD!E27</f>
        <v>0</v>
      </c>
      <c r="H42" s="1389">
        <f>RBBD!F27</f>
        <v>0</v>
      </c>
      <c r="I42" s="1389">
        <f t="shared" si="2"/>
        <v>0</v>
      </c>
      <c r="J42" s="1389">
        <f t="shared" si="2"/>
        <v>0</v>
      </c>
      <c r="K42" s="1389">
        <f t="shared" si="2"/>
        <v>0</v>
      </c>
      <c r="L42" s="1389">
        <f t="shared" si="2"/>
        <v>0</v>
      </c>
      <c r="M42" s="1389">
        <f t="shared" si="3"/>
        <v>0</v>
      </c>
      <c r="N42" s="1389">
        <f>RBBD!I27</f>
        <v>0</v>
      </c>
      <c r="O42" s="1389">
        <f>RBBD!J27</f>
        <v>0</v>
      </c>
      <c r="P42" s="1389">
        <f>RBBD!K27</f>
        <v>0</v>
      </c>
      <c r="Q42" s="1389">
        <f>RBBD!L27</f>
        <v>0</v>
      </c>
      <c r="R42" s="1389">
        <f>RBBD!M27</f>
        <v>0</v>
      </c>
      <c r="S42" s="1389">
        <f>RBBD!N27</f>
        <v>0</v>
      </c>
      <c r="T42" s="1389">
        <f>RBBD!O27</f>
        <v>0</v>
      </c>
      <c r="U42" s="1389">
        <f>RBBD!P27</f>
        <v>0</v>
      </c>
      <c r="V42" s="1389">
        <f>RBBD!Q27</f>
        <v>0</v>
      </c>
      <c r="W42" s="1389">
        <f>RBBD!R27</f>
        <v>0</v>
      </c>
      <c r="X42" s="1389">
        <f>RBBD!S27</f>
        <v>0</v>
      </c>
      <c r="Y42" s="1389">
        <f>RBBD!T27</f>
        <v>0</v>
      </c>
      <c r="Z42" s="65"/>
      <c r="AA42" s="329">
        <f t="shared" si="5"/>
        <v>0</v>
      </c>
    </row>
    <row r="43" spans="2:27" hidden="1">
      <c r="B43" s="1389">
        <f>RBBD!B28</f>
        <v>0</v>
      </c>
      <c r="C43" s="1389">
        <f>RBBD!C28</f>
        <v>0</v>
      </c>
      <c r="D43" s="1389">
        <f>RBBD!D28</f>
        <v>0</v>
      </c>
      <c r="E43" s="1389">
        <f>RBBD!G28</f>
        <v>0</v>
      </c>
      <c r="F43" s="1389">
        <f>RBBD!H28</f>
        <v>0</v>
      </c>
      <c r="G43" s="1389">
        <f>RBBD!E28</f>
        <v>0</v>
      </c>
      <c r="H43" s="1389">
        <f>RBBD!F28</f>
        <v>0</v>
      </c>
      <c r="I43" s="1389">
        <f t="shared" si="2"/>
        <v>0</v>
      </c>
      <c r="J43" s="1389">
        <f t="shared" si="2"/>
        <v>0</v>
      </c>
      <c r="K43" s="1389">
        <f t="shared" si="2"/>
        <v>0</v>
      </c>
      <c r="L43" s="1389">
        <f t="shared" si="2"/>
        <v>0</v>
      </c>
      <c r="M43" s="1389">
        <f t="shared" si="3"/>
        <v>0</v>
      </c>
      <c r="N43" s="1389">
        <f>RBBD!I28</f>
        <v>0</v>
      </c>
      <c r="O43" s="1389">
        <f>RBBD!J28</f>
        <v>0</v>
      </c>
      <c r="P43" s="1389">
        <f>RBBD!K28</f>
        <v>0</v>
      </c>
      <c r="Q43" s="1389">
        <f>RBBD!L28</f>
        <v>0</v>
      </c>
      <c r="R43" s="1389">
        <f>RBBD!M28</f>
        <v>0</v>
      </c>
      <c r="S43" s="1389">
        <f>RBBD!N28</f>
        <v>0</v>
      </c>
      <c r="T43" s="1389">
        <f>RBBD!O28</f>
        <v>0</v>
      </c>
      <c r="U43" s="1389">
        <f>RBBD!P28</f>
        <v>0</v>
      </c>
      <c r="V43" s="1389">
        <f>RBBD!Q28</f>
        <v>0</v>
      </c>
      <c r="W43" s="1389">
        <f>RBBD!R28</f>
        <v>0</v>
      </c>
      <c r="X43" s="1389">
        <f>RBBD!S28</f>
        <v>0</v>
      </c>
      <c r="Y43" s="1389">
        <f>RBBD!T28</f>
        <v>0</v>
      </c>
      <c r="Z43" s="65"/>
      <c r="AA43" s="329">
        <f t="shared" si="5"/>
        <v>0</v>
      </c>
    </row>
    <row r="44" spans="2:27" hidden="1">
      <c r="B44" s="1389">
        <f>RBBD!B29</f>
        <v>0</v>
      </c>
      <c r="C44" s="1389">
        <f>RBBD!C29</f>
        <v>0</v>
      </c>
      <c r="D44" s="1389">
        <f>RBBD!D29</f>
        <v>0</v>
      </c>
      <c r="E44" s="1389">
        <f>RBBD!G29</f>
        <v>0</v>
      </c>
      <c r="F44" s="1389">
        <f>RBBD!H29</f>
        <v>0</v>
      </c>
      <c r="G44" s="1389">
        <f>RBBD!E29</f>
        <v>0</v>
      </c>
      <c r="H44" s="1389">
        <f>RBBD!F29</f>
        <v>0</v>
      </c>
      <c r="I44" s="1389">
        <f t="shared" si="2"/>
        <v>0</v>
      </c>
      <c r="J44" s="1389">
        <f t="shared" si="2"/>
        <v>0</v>
      </c>
      <c r="K44" s="1389">
        <f t="shared" si="2"/>
        <v>0</v>
      </c>
      <c r="L44" s="1389">
        <f t="shared" si="2"/>
        <v>0</v>
      </c>
      <c r="M44" s="1389">
        <f t="shared" si="3"/>
        <v>0</v>
      </c>
      <c r="N44" s="1389">
        <f>RBBD!I29</f>
        <v>0</v>
      </c>
      <c r="O44" s="1389">
        <f>RBBD!J29</f>
        <v>0</v>
      </c>
      <c r="P44" s="1389">
        <f>RBBD!K29</f>
        <v>0</v>
      </c>
      <c r="Q44" s="1389">
        <f>RBBD!L29</f>
        <v>0</v>
      </c>
      <c r="R44" s="1389">
        <f>RBBD!M29</f>
        <v>0</v>
      </c>
      <c r="S44" s="1389">
        <f>RBBD!N29</f>
        <v>0</v>
      </c>
      <c r="T44" s="1389">
        <f>RBBD!O29</f>
        <v>0</v>
      </c>
      <c r="U44" s="1389">
        <f>RBBD!P29</f>
        <v>0</v>
      </c>
      <c r="V44" s="1389">
        <f>RBBD!Q29</f>
        <v>0</v>
      </c>
      <c r="W44" s="1389">
        <f>RBBD!R29</f>
        <v>0</v>
      </c>
      <c r="X44" s="1389">
        <f>RBBD!S29</f>
        <v>0</v>
      </c>
      <c r="Y44" s="1389">
        <f>RBBD!T29</f>
        <v>0</v>
      </c>
      <c r="Z44" s="65"/>
      <c r="AA44" s="329">
        <f t="shared" si="5"/>
        <v>0</v>
      </c>
    </row>
    <row r="45" spans="2:27" hidden="1">
      <c r="B45" s="1389">
        <f>RBBD!B30</f>
        <v>0</v>
      </c>
      <c r="C45" s="1389">
        <f>RBBD!C30</f>
        <v>0</v>
      </c>
      <c r="D45" s="1389">
        <f>RBBD!D30</f>
        <v>0</v>
      </c>
      <c r="E45" s="1389">
        <f>RBBD!G30</f>
        <v>0</v>
      </c>
      <c r="F45" s="1389">
        <f>RBBD!H30</f>
        <v>0</v>
      </c>
      <c r="G45" s="1389">
        <f>RBBD!E30</f>
        <v>0</v>
      </c>
      <c r="H45" s="1389">
        <f>RBBD!F30</f>
        <v>0</v>
      </c>
      <c r="I45" s="1389">
        <f t="shared" si="2"/>
        <v>0</v>
      </c>
      <c r="J45" s="1389">
        <f t="shared" si="2"/>
        <v>0</v>
      </c>
      <c r="K45" s="1389">
        <f t="shared" si="2"/>
        <v>0</v>
      </c>
      <c r="L45" s="1389">
        <f t="shared" si="2"/>
        <v>0</v>
      </c>
      <c r="M45" s="1389">
        <f t="shared" si="3"/>
        <v>0</v>
      </c>
      <c r="N45" s="1389">
        <f>RBBD!I30</f>
        <v>0</v>
      </c>
      <c r="O45" s="1389">
        <f>RBBD!J30</f>
        <v>0</v>
      </c>
      <c r="P45" s="1389">
        <f>RBBD!K30</f>
        <v>0</v>
      </c>
      <c r="Q45" s="1389">
        <f>RBBD!L30</f>
        <v>0</v>
      </c>
      <c r="R45" s="1389">
        <f>RBBD!M30</f>
        <v>0</v>
      </c>
      <c r="S45" s="1389">
        <f>RBBD!N30</f>
        <v>0</v>
      </c>
      <c r="T45" s="1389">
        <f>RBBD!O30</f>
        <v>0</v>
      </c>
      <c r="U45" s="1389">
        <f>RBBD!P30</f>
        <v>0</v>
      </c>
      <c r="V45" s="1389">
        <f>RBBD!Q30</f>
        <v>0</v>
      </c>
      <c r="W45" s="1389">
        <f>RBBD!R30</f>
        <v>0</v>
      </c>
      <c r="X45" s="1389">
        <f>RBBD!S30</f>
        <v>0</v>
      </c>
      <c r="Y45" s="1389">
        <f>RBBD!T30</f>
        <v>0</v>
      </c>
      <c r="Z45" s="65"/>
      <c r="AA45" s="329">
        <f t="shared" si="5"/>
        <v>0</v>
      </c>
    </row>
    <row r="46" spans="2:27" hidden="1">
      <c r="B46" s="1389">
        <f>RBBD!B31</f>
        <v>0</v>
      </c>
      <c r="C46" s="1389">
        <f>RBBD!C31</f>
        <v>0</v>
      </c>
      <c r="D46" s="1389">
        <f>RBBD!D31</f>
        <v>0</v>
      </c>
      <c r="E46" s="1389">
        <f>RBBD!G31</f>
        <v>0</v>
      </c>
      <c r="F46" s="1389">
        <f>RBBD!H31</f>
        <v>0</v>
      </c>
      <c r="G46" s="1389">
        <f>RBBD!E31</f>
        <v>0</v>
      </c>
      <c r="H46" s="1389">
        <f>RBBD!F31</f>
        <v>0</v>
      </c>
      <c r="I46" s="1389">
        <f t="shared" si="2"/>
        <v>0</v>
      </c>
      <c r="J46" s="1389">
        <f t="shared" si="2"/>
        <v>0</v>
      </c>
      <c r="K46" s="1389">
        <f t="shared" si="2"/>
        <v>0</v>
      </c>
      <c r="L46" s="1389">
        <f t="shared" si="2"/>
        <v>0</v>
      </c>
      <c r="M46" s="1389">
        <f t="shared" si="3"/>
        <v>0</v>
      </c>
      <c r="N46" s="1389">
        <f>RBBD!I31</f>
        <v>0</v>
      </c>
      <c r="O46" s="1389">
        <f>RBBD!J31</f>
        <v>0</v>
      </c>
      <c r="P46" s="1389">
        <f>RBBD!K31</f>
        <v>0</v>
      </c>
      <c r="Q46" s="1389">
        <f>RBBD!L31</f>
        <v>0</v>
      </c>
      <c r="R46" s="1389">
        <f>RBBD!M31</f>
        <v>0</v>
      </c>
      <c r="S46" s="1389">
        <f>RBBD!N31</f>
        <v>0</v>
      </c>
      <c r="T46" s="1389">
        <f>RBBD!O31</f>
        <v>0</v>
      </c>
      <c r="U46" s="1389">
        <f>RBBD!P31</f>
        <v>0</v>
      </c>
      <c r="V46" s="1389">
        <f>RBBD!Q31</f>
        <v>0</v>
      </c>
      <c r="W46" s="1389">
        <f>RBBD!R31</f>
        <v>0</v>
      </c>
      <c r="X46" s="1389">
        <f>RBBD!S31</f>
        <v>0</v>
      </c>
      <c r="Y46" s="1389">
        <f>RBBD!T31</f>
        <v>0</v>
      </c>
      <c r="Z46" s="65"/>
      <c r="AA46" s="329">
        <f t="shared" si="5"/>
        <v>0</v>
      </c>
    </row>
    <row r="47" spans="2:27" hidden="1">
      <c r="B47" s="1389">
        <f>RBBD!B32</f>
        <v>0</v>
      </c>
      <c r="C47" s="1389">
        <f>RBBD!C32</f>
        <v>0</v>
      </c>
      <c r="D47" s="1389">
        <f>RBBD!D32</f>
        <v>0</v>
      </c>
      <c r="E47" s="1389">
        <f>RBBD!G32</f>
        <v>0</v>
      </c>
      <c r="F47" s="1389">
        <f>RBBD!H32</f>
        <v>0</v>
      </c>
      <c r="G47" s="1389">
        <f>RBBD!E32</f>
        <v>0</v>
      </c>
      <c r="H47" s="1389">
        <f>RBBD!F32</f>
        <v>0</v>
      </c>
      <c r="I47" s="1389">
        <f t="shared" si="2"/>
        <v>0</v>
      </c>
      <c r="J47" s="1389">
        <f t="shared" si="2"/>
        <v>0</v>
      </c>
      <c r="K47" s="1389">
        <f t="shared" si="2"/>
        <v>0</v>
      </c>
      <c r="L47" s="1389">
        <f t="shared" si="2"/>
        <v>0</v>
      </c>
      <c r="M47" s="1389">
        <f t="shared" si="3"/>
        <v>0</v>
      </c>
      <c r="N47" s="1389">
        <f>RBBD!I32</f>
        <v>0</v>
      </c>
      <c r="O47" s="1389">
        <f>RBBD!J32</f>
        <v>0</v>
      </c>
      <c r="P47" s="1389">
        <f>RBBD!K32</f>
        <v>0</v>
      </c>
      <c r="Q47" s="1389">
        <f>RBBD!L32</f>
        <v>0</v>
      </c>
      <c r="R47" s="1389">
        <f>RBBD!M32</f>
        <v>0</v>
      </c>
      <c r="S47" s="1389">
        <f>RBBD!N32</f>
        <v>0</v>
      </c>
      <c r="T47" s="1389">
        <f>RBBD!O32</f>
        <v>0</v>
      </c>
      <c r="U47" s="1389">
        <f>RBBD!P32</f>
        <v>0</v>
      </c>
      <c r="V47" s="1389">
        <f>RBBD!Q32</f>
        <v>0</v>
      </c>
      <c r="W47" s="1389">
        <f>RBBD!R32</f>
        <v>0</v>
      </c>
      <c r="X47" s="1389">
        <f>RBBD!S32</f>
        <v>0</v>
      </c>
      <c r="Y47" s="1389">
        <f>RBBD!T32</f>
        <v>0</v>
      </c>
      <c r="Z47" s="65"/>
      <c r="AA47" s="329">
        <f t="shared" si="5"/>
        <v>0</v>
      </c>
    </row>
    <row r="48" spans="2:27" hidden="1">
      <c r="B48" s="1389">
        <f>RBBD!B33</f>
        <v>0</v>
      </c>
      <c r="C48" s="1389">
        <f>RBBD!C33</f>
        <v>0</v>
      </c>
      <c r="D48" s="1389">
        <f>RBBD!D33</f>
        <v>0</v>
      </c>
      <c r="E48" s="1389">
        <f>RBBD!G33</f>
        <v>0</v>
      </c>
      <c r="F48" s="1389">
        <f>RBBD!H33</f>
        <v>0</v>
      </c>
      <c r="G48" s="1389">
        <f>RBBD!E33</f>
        <v>0</v>
      </c>
      <c r="H48" s="1389">
        <f>RBBD!F33</f>
        <v>0</v>
      </c>
      <c r="I48" s="1389">
        <f t="shared" si="2"/>
        <v>0</v>
      </c>
      <c r="J48" s="1389">
        <f t="shared" si="2"/>
        <v>0</v>
      </c>
      <c r="K48" s="1389">
        <f t="shared" si="2"/>
        <v>0</v>
      </c>
      <c r="L48" s="1389">
        <f t="shared" si="2"/>
        <v>0</v>
      </c>
      <c r="M48" s="1389">
        <f t="shared" si="3"/>
        <v>0</v>
      </c>
      <c r="N48" s="1389">
        <f>RBBD!I33</f>
        <v>0</v>
      </c>
      <c r="O48" s="1389">
        <f>RBBD!J33</f>
        <v>0</v>
      </c>
      <c r="P48" s="1389">
        <f>RBBD!K33</f>
        <v>0</v>
      </c>
      <c r="Q48" s="1389">
        <f>RBBD!L33</f>
        <v>0</v>
      </c>
      <c r="R48" s="1389">
        <f>RBBD!M33</f>
        <v>0</v>
      </c>
      <c r="S48" s="1389">
        <f>RBBD!N33</f>
        <v>0</v>
      </c>
      <c r="T48" s="1389">
        <f>RBBD!O33</f>
        <v>0</v>
      </c>
      <c r="U48" s="1389">
        <f>RBBD!P33</f>
        <v>0</v>
      </c>
      <c r="V48" s="1389">
        <f>RBBD!Q33</f>
        <v>0</v>
      </c>
      <c r="W48" s="1389">
        <f>RBBD!R33</f>
        <v>0</v>
      </c>
      <c r="X48" s="1389">
        <f>RBBD!S33</f>
        <v>0</v>
      </c>
      <c r="Y48" s="1389">
        <f>RBBD!T33</f>
        <v>0</v>
      </c>
      <c r="Z48" s="65"/>
      <c r="AA48" s="329">
        <f t="shared" si="5"/>
        <v>0</v>
      </c>
    </row>
    <row r="49" spans="2:27" hidden="1">
      <c r="B49" s="1389">
        <f>RBBD!B34</f>
        <v>0</v>
      </c>
      <c r="C49" s="1389">
        <f>RBBD!C34</f>
        <v>0</v>
      </c>
      <c r="D49" s="1389">
        <f>RBBD!D34</f>
        <v>0</v>
      </c>
      <c r="E49" s="1389">
        <f>RBBD!G34</f>
        <v>0</v>
      </c>
      <c r="F49" s="1389">
        <f>RBBD!H34</f>
        <v>0</v>
      </c>
      <c r="G49" s="1389">
        <f>RBBD!E34</f>
        <v>0</v>
      </c>
      <c r="H49" s="1389">
        <f>RBBD!F34</f>
        <v>0</v>
      </c>
      <c r="I49" s="1389">
        <f t="shared" si="2"/>
        <v>0</v>
      </c>
      <c r="J49" s="1389">
        <f t="shared" si="2"/>
        <v>0</v>
      </c>
      <c r="K49" s="1389">
        <f t="shared" si="2"/>
        <v>0</v>
      </c>
      <c r="L49" s="1389">
        <f t="shared" si="2"/>
        <v>0</v>
      </c>
      <c r="M49" s="1389">
        <f t="shared" si="3"/>
        <v>0</v>
      </c>
      <c r="N49" s="1389">
        <f>RBBD!I34</f>
        <v>0</v>
      </c>
      <c r="O49" s="1389">
        <f>RBBD!J34</f>
        <v>0</v>
      </c>
      <c r="P49" s="1389">
        <f>RBBD!K34</f>
        <v>0</v>
      </c>
      <c r="Q49" s="1389">
        <f>RBBD!L34</f>
        <v>0</v>
      </c>
      <c r="R49" s="1389">
        <f>RBBD!M34</f>
        <v>0</v>
      </c>
      <c r="S49" s="1389">
        <f>RBBD!N34</f>
        <v>0</v>
      </c>
      <c r="T49" s="1389">
        <f>RBBD!O34</f>
        <v>0</v>
      </c>
      <c r="U49" s="1389">
        <f>RBBD!P34</f>
        <v>0</v>
      </c>
      <c r="V49" s="1389">
        <f>RBBD!Q34</f>
        <v>0</v>
      </c>
      <c r="W49" s="1389">
        <f>RBBD!R34</f>
        <v>0</v>
      </c>
      <c r="X49" s="1389">
        <f>RBBD!S34</f>
        <v>0</v>
      </c>
      <c r="Y49" s="1389">
        <f>RBBD!T34</f>
        <v>0</v>
      </c>
      <c r="Z49" s="65"/>
      <c r="AA49" s="329">
        <f t="shared" si="5"/>
        <v>0</v>
      </c>
    </row>
    <row r="50" spans="2:27" hidden="1">
      <c r="B50" s="1389">
        <f>RBBD!B35</f>
        <v>0</v>
      </c>
      <c r="C50" s="1389">
        <f>RBBD!C35</f>
        <v>0</v>
      </c>
      <c r="D50" s="1389">
        <f>RBBD!D35</f>
        <v>0</v>
      </c>
      <c r="E50" s="1389">
        <f>RBBD!G35</f>
        <v>0</v>
      </c>
      <c r="F50" s="1389">
        <f>RBBD!H35</f>
        <v>0</v>
      </c>
      <c r="G50" s="1389">
        <f>RBBD!E35</f>
        <v>0</v>
      </c>
      <c r="H50" s="1389">
        <f>RBBD!F35</f>
        <v>0</v>
      </c>
      <c r="I50" s="1389">
        <f t="shared" si="2"/>
        <v>0</v>
      </c>
      <c r="J50" s="1389">
        <f t="shared" si="2"/>
        <v>0</v>
      </c>
      <c r="K50" s="1389">
        <f t="shared" si="2"/>
        <v>0</v>
      </c>
      <c r="L50" s="1389">
        <f t="shared" si="2"/>
        <v>0</v>
      </c>
      <c r="M50" s="1389">
        <f t="shared" si="3"/>
        <v>0</v>
      </c>
      <c r="N50" s="1389">
        <f>RBBD!I35</f>
        <v>0</v>
      </c>
      <c r="O50" s="1389">
        <f>RBBD!J35</f>
        <v>0</v>
      </c>
      <c r="P50" s="1389">
        <f>RBBD!K35</f>
        <v>0</v>
      </c>
      <c r="Q50" s="1389">
        <f>RBBD!L35</f>
        <v>0</v>
      </c>
      <c r="R50" s="1389">
        <f>RBBD!M35</f>
        <v>0</v>
      </c>
      <c r="S50" s="1389">
        <f>RBBD!N35</f>
        <v>0</v>
      </c>
      <c r="T50" s="1389">
        <f>RBBD!O35</f>
        <v>0</v>
      </c>
      <c r="U50" s="1389">
        <f>RBBD!P35</f>
        <v>0</v>
      </c>
      <c r="V50" s="1389">
        <f>RBBD!Q35</f>
        <v>0</v>
      </c>
      <c r="W50" s="1389">
        <f>RBBD!R35</f>
        <v>0</v>
      </c>
      <c r="X50" s="1389">
        <f>RBBD!S35</f>
        <v>0</v>
      </c>
      <c r="Y50" s="1389">
        <f>RBBD!T35</f>
        <v>0</v>
      </c>
      <c r="Z50" s="65"/>
      <c r="AA50" s="329">
        <f t="shared" si="5"/>
        <v>0</v>
      </c>
    </row>
    <row r="51" spans="2:27" hidden="1">
      <c r="B51" s="1389">
        <f>RBBD!B36</f>
        <v>0</v>
      </c>
      <c r="C51" s="1389">
        <f>RBBD!C36</f>
        <v>0</v>
      </c>
      <c r="D51" s="1389">
        <f>RBBD!D36</f>
        <v>0</v>
      </c>
      <c r="E51" s="1389">
        <f>RBBD!G36</f>
        <v>0</v>
      </c>
      <c r="F51" s="1389">
        <f>RBBD!H36</f>
        <v>0</v>
      </c>
      <c r="G51" s="1389">
        <f>RBBD!E36</f>
        <v>0</v>
      </c>
      <c r="H51" s="1389">
        <f>RBBD!F36</f>
        <v>0</v>
      </c>
      <c r="I51" s="1389">
        <f t="shared" si="2"/>
        <v>0</v>
      </c>
      <c r="J51" s="1389">
        <f t="shared" si="2"/>
        <v>0</v>
      </c>
      <c r="K51" s="1389">
        <f t="shared" si="2"/>
        <v>0</v>
      </c>
      <c r="L51" s="1389">
        <f t="shared" si="2"/>
        <v>0</v>
      </c>
      <c r="M51" s="1389">
        <f t="shared" si="3"/>
        <v>0</v>
      </c>
      <c r="N51" s="1389">
        <f>RBBD!I36</f>
        <v>0</v>
      </c>
      <c r="O51" s="1389">
        <f>RBBD!J36</f>
        <v>0</v>
      </c>
      <c r="P51" s="1389">
        <f>RBBD!K36</f>
        <v>0</v>
      </c>
      <c r="Q51" s="1389">
        <f>RBBD!L36</f>
        <v>0</v>
      </c>
      <c r="R51" s="1389">
        <f>RBBD!M36</f>
        <v>0</v>
      </c>
      <c r="S51" s="1389">
        <f>RBBD!N36</f>
        <v>0</v>
      </c>
      <c r="T51" s="1389">
        <f>RBBD!O36</f>
        <v>0</v>
      </c>
      <c r="U51" s="1389">
        <f>RBBD!P36</f>
        <v>0</v>
      </c>
      <c r="V51" s="1389">
        <f>RBBD!Q36</f>
        <v>0</v>
      </c>
      <c r="W51" s="1389">
        <f>RBBD!R36</f>
        <v>0</v>
      </c>
      <c r="X51" s="1389">
        <f>RBBD!S36</f>
        <v>0</v>
      </c>
      <c r="Y51" s="1389">
        <f>RBBD!T36</f>
        <v>0</v>
      </c>
      <c r="Z51" s="65"/>
      <c r="AA51" s="329">
        <f t="shared" si="5"/>
        <v>0</v>
      </c>
    </row>
    <row r="52" spans="2:27" hidden="1">
      <c r="B52" s="1389">
        <f>RBBD!B37</f>
        <v>0</v>
      </c>
      <c r="C52" s="1389">
        <f>RBBD!C37</f>
        <v>0</v>
      </c>
      <c r="D52" s="1389">
        <f>RBBD!D37</f>
        <v>0</v>
      </c>
      <c r="E52" s="1389">
        <f>RBBD!G37</f>
        <v>0</v>
      </c>
      <c r="F52" s="1389">
        <f>RBBD!H37</f>
        <v>0</v>
      </c>
      <c r="G52" s="1389">
        <f>RBBD!E37</f>
        <v>0</v>
      </c>
      <c r="H52" s="1389">
        <f>RBBD!F37</f>
        <v>0</v>
      </c>
      <c r="I52" s="1389">
        <f t="shared" si="2"/>
        <v>0</v>
      </c>
      <c r="J52" s="1389">
        <f t="shared" si="2"/>
        <v>0</v>
      </c>
      <c r="K52" s="1389">
        <f t="shared" si="2"/>
        <v>0</v>
      </c>
      <c r="L52" s="1389">
        <f t="shared" si="2"/>
        <v>0</v>
      </c>
      <c r="M52" s="1389">
        <f t="shared" si="3"/>
        <v>0</v>
      </c>
      <c r="N52" s="1389">
        <f>RBBD!I37</f>
        <v>0</v>
      </c>
      <c r="O52" s="1389">
        <f>RBBD!J37</f>
        <v>0</v>
      </c>
      <c r="P52" s="1389">
        <f>RBBD!K37</f>
        <v>0</v>
      </c>
      <c r="Q52" s="1389">
        <f>RBBD!L37</f>
        <v>0</v>
      </c>
      <c r="R52" s="1389">
        <f>RBBD!M37</f>
        <v>0</v>
      </c>
      <c r="S52" s="1389">
        <f>RBBD!N37</f>
        <v>0</v>
      </c>
      <c r="T52" s="1389">
        <f>RBBD!O37</f>
        <v>0</v>
      </c>
      <c r="U52" s="1389">
        <f>RBBD!P37</f>
        <v>0</v>
      </c>
      <c r="V52" s="1389">
        <f>RBBD!Q37</f>
        <v>0</v>
      </c>
      <c r="W52" s="1389">
        <f>RBBD!R37</f>
        <v>0</v>
      </c>
      <c r="X52" s="1389">
        <f>RBBD!S37</f>
        <v>0</v>
      </c>
      <c r="Y52" s="1389">
        <f>RBBD!T37</f>
        <v>0</v>
      </c>
      <c r="Z52" s="65"/>
      <c r="AA52" s="329">
        <f t="shared" si="5"/>
        <v>0</v>
      </c>
    </row>
    <row r="53" spans="2:27" hidden="1">
      <c r="B53" s="1389">
        <f>RBBD!B38</f>
        <v>0</v>
      </c>
      <c r="C53" s="1389">
        <f>RBBD!C38</f>
        <v>0</v>
      </c>
      <c r="D53" s="1389">
        <f>RBBD!D38</f>
        <v>0</v>
      </c>
      <c r="E53" s="1389">
        <f>RBBD!G38</f>
        <v>0</v>
      </c>
      <c r="F53" s="1389">
        <f>RBBD!H38</f>
        <v>0</v>
      </c>
      <c r="G53" s="1389">
        <f>RBBD!E38</f>
        <v>0</v>
      </c>
      <c r="H53" s="1389">
        <f>RBBD!F38</f>
        <v>0</v>
      </c>
      <c r="I53" s="1389">
        <f t="shared" si="2"/>
        <v>0</v>
      </c>
      <c r="J53" s="1389">
        <f t="shared" si="2"/>
        <v>0</v>
      </c>
      <c r="K53" s="1389">
        <f t="shared" si="2"/>
        <v>0</v>
      </c>
      <c r="L53" s="1389">
        <f t="shared" si="2"/>
        <v>0</v>
      </c>
      <c r="M53" s="1389">
        <f t="shared" si="3"/>
        <v>0</v>
      </c>
      <c r="N53" s="1389">
        <f>RBBD!I38</f>
        <v>0</v>
      </c>
      <c r="O53" s="1389">
        <f>RBBD!J38</f>
        <v>0</v>
      </c>
      <c r="P53" s="1389">
        <f>RBBD!K38</f>
        <v>0</v>
      </c>
      <c r="Q53" s="1389">
        <f>RBBD!L38</f>
        <v>0</v>
      </c>
      <c r="R53" s="1389">
        <f>RBBD!M38</f>
        <v>0</v>
      </c>
      <c r="S53" s="1389">
        <f>RBBD!N38</f>
        <v>0</v>
      </c>
      <c r="T53" s="1389">
        <f>RBBD!O38</f>
        <v>0</v>
      </c>
      <c r="U53" s="1389">
        <f>RBBD!P38</f>
        <v>0</v>
      </c>
      <c r="V53" s="1389">
        <f>RBBD!Q38</f>
        <v>0</v>
      </c>
      <c r="W53" s="1389">
        <f>RBBD!R38</f>
        <v>0</v>
      </c>
      <c r="X53" s="1389">
        <f>RBBD!S38</f>
        <v>0</v>
      </c>
      <c r="Y53" s="1389">
        <f>RBBD!T38</f>
        <v>0</v>
      </c>
      <c r="Z53" s="65"/>
      <c r="AA53" s="329">
        <f t="shared" si="5"/>
        <v>0</v>
      </c>
    </row>
    <row r="54" spans="2:27" hidden="1">
      <c r="B54" s="1389">
        <f>RBBD!B39</f>
        <v>0</v>
      </c>
      <c r="C54" s="1389">
        <f>RBBD!C39</f>
        <v>0</v>
      </c>
      <c r="D54" s="1389">
        <f>RBBD!D39</f>
        <v>0</v>
      </c>
      <c r="E54" s="1389">
        <f>RBBD!G39</f>
        <v>0</v>
      </c>
      <c r="F54" s="1389">
        <f>RBBD!H39</f>
        <v>0</v>
      </c>
      <c r="G54" s="1389">
        <f>RBBD!E39</f>
        <v>0</v>
      </c>
      <c r="H54" s="1389">
        <f>RBBD!F39</f>
        <v>0</v>
      </c>
      <c r="I54" s="1389">
        <f t="shared" si="2"/>
        <v>0</v>
      </c>
      <c r="J54" s="1389">
        <f t="shared" si="2"/>
        <v>0</v>
      </c>
      <c r="K54" s="1389">
        <f t="shared" si="2"/>
        <v>0</v>
      </c>
      <c r="L54" s="1389">
        <f t="shared" si="2"/>
        <v>0</v>
      </c>
      <c r="M54" s="1389">
        <f t="shared" si="3"/>
        <v>0</v>
      </c>
      <c r="N54" s="1389">
        <f>RBBD!I39</f>
        <v>0</v>
      </c>
      <c r="O54" s="1389">
        <f>RBBD!J39</f>
        <v>0</v>
      </c>
      <c r="P54" s="1389">
        <f>RBBD!K39</f>
        <v>0</v>
      </c>
      <c r="Q54" s="1389">
        <f>RBBD!L39</f>
        <v>0</v>
      </c>
      <c r="R54" s="1389">
        <f>RBBD!M39</f>
        <v>0</v>
      </c>
      <c r="S54" s="1389">
        <f>RBBD!N39</f>
        <v>0</v>
      </c>
      <c r="T54" s="1389">
        <f>RBBD!O39</f>
        <v>0</v>
      </c>
      <c r="U54" s="1389">
        <f>RBBD!P39</f>
        <v>0</v>
      </c>
      <c r="V54" s="1389">
        <f>RBBD!Q39</f>
        <v>0</v>
      </c>
      <c r="W54" s="1389">
        <f>RBBD!R39</f>
        <v>0</v>
      </c>
      <c r="X54" s="1389">
        <f>RBBD!S39</f>
        <v>0</v>
      </c>
      <c r="Y54" s="1389">
        <f>RBBD!T39</f>
        <v>0</v>
      </c>
      <c r="Z54" s="65"/>
      <c r="AA54" s="329">
        <f t="shared" si="5"/>
        <v>0</v>
      </c>
    </row>
    <row r="55" spans="2:27" hidden="1">
      <c r="B55" s="1389">
        <f>RBBD!B40</f>
        <v>0</v>
      </c>
      <c r="C55" s="1389">
        <f>RBBD!C40</f>
        <v>0</v>
      </c>
      <c r="D55" s="1389">
        <f>RBBD!D40</f>
        <v>0</v>
      </c>
      <c r="E55" s="1389">
        <f>RBBD!G40</f>
        <v>0</v>
      </c>
      <c r="F55" s="1389">
        <f>RBBD!H40</f>
        <v>0</v>
      </c>
      <c r="G55" s="1389">
        <f>RBBD!E40</f>
        <v>0</v>
      </c>
      <c r="H55" s="1389">
        <f>RBBD!F40</f>
        <v>0</v>
      </c>
      <c r="I55" s="1389">
        <f t="shared" si="2"/>
        <v>0</v>
      </c>
      <c r="J55" s="1389">
        <f t="shared" si="2"/>
        <v>0</v>
      </c>
      <c r="K55" s="1389">
        <f t="shared" si="2"/>
        <v>0</v>
      </c>
      <c r="L55" s="1389">
        <f t="shared" si="2"/>
        <v>0</v>
      </c>
      <c r="M55" s="1389">
        <f t="shared" si="3"/>
        <v>0</v>
      </c>
      <c r="N55" s="1389">
        <f>RBBD!I40</f>
        <v>0</v>
      </c>
      <c r="O55" s="1389">
        <f>RBBD!J40</f>
        <v>0</v>
      </c>
      <c r="P55" s="1389">
        <f>RBBD!K40</f>
        <v>0</v>
      </c>
      <c r="Q55" s="1389">
        <f>RBBD!L40</f>
        <v>0</v>
      </c>
      <c r="R55" s="1389">
        <f>RBBD!M40</f>
        <v>0</v>
      </c>
      <c r="S55" s="1389">
        <f>RBBD!N40</f>
        <v>0</v>
      </c>
      <c r="T55" s="1389">
        <f>RBBD!O40</f>
        <v>0</v>
      </c>
      <c r="U55" s="1389">
        <f>RBBD!P40</f>
        <v>0</v>
      </c>
      <c r="V55" s="1389">
        <f>RBBD!Q40</f>
        <v>0</v>
      </c>
      <c r="W55" s="1389">
        <f>RBBD!R40</f>
        <v>0</v>
      </c>
      <c r="X55" s="1389">
        <f>RBBD!S40</f>
        <v>0</v>
      </c>
      <c r="Y55" s="1389">
        <f>RBBD!T40</f>
        <v>0</v>
      </c>
      <c r="Z55" s="65"/>
      <c r="AA55" s="329">
        <f t="shared" si="5"/>
        <v>0</v>
      </c>
    </row>
    <row r="56" spans="2:27" hidden="1">
      <c r="B56" s="1389">
        <f>RBBD!B41</f>
        <v>0</v>
      </c>
      <c r="C56" s="1389">
        <f>RBBD!C41</f>
        <v>0</v>
      </c>
      <c r="D56" s="1389">
        <f>RBBD!D41</f>
        <v>0</v>
      </c>
      <c r="E56" s="1389">
        <f>RBBD!G41</f>
        <v>0</v>
      </c>
      <c r="F56" s="1389">
        <f>RBBD!H41</f>
        <v>0</v>
      </c>
      <c r="G56" s="1389">
        <f>RBBD!E41</f>
        <v>0</v>
      </c>
      <c r="H56" s="1389">
        <f>RBBD!F41</f>
        <v>0</v>
      </c>
      <c r="I56" s="1389">
        <f t="shared" si="2"/>
        <v>0</v>
      </c>
      <c r="J56" s="1389">
        <f t="shared" si="2"/>
        <v>0</v>
      </c>
      <c r="K56" s="1389">
        <f t="shared" si="2"/>
        <v>0</v>
      </c>
      <c r="L56" s="1389">
        <f t="shared" si="2"/>
        <v>0</v>
      </c>
      <c r="M56" s="1389">
        <f t="shared" si="3"/>
        <v>0</v>
      </c>
      <c r="N56" s="1389">
        <f>RBBD!I41</f>
        <v>0</v>
      </c>
      <c r="O56" s="1389">
        <f>RBBD!J41</f>
        <v>0</v>
      </c>
      <c r="P56" s="1389">
        <f>RBBD!K41</f>
        <v>0</v>
      </c>
      <c r="Q56" s="1389">
        <f>RBBD!L41</f>
        <v>0</v>
      </c>
      <c r="R56" s="1389">
        <f>RBBD!M41</f>
        <v>0</v>
      </c>
      <c r="S56" s="1389">
        <f>RBBD!N41</f>
        <v>0</v>
      </c>
      <c r="T56" s="1389">
        <f>RBBD!O41</f>
        <v>0</v>
      </c>
      <c r="U56" s="1389">
        <f>RBBD!P41</f>
        <v>0</v>
      </c>
      <c r="V56" s="1389">
        <f>RBBD!Q41</f>
        <v>0</v>
      </c>
      <c r="W56" s="1389">
        <f>RBBD!R41</f>
        <v>0</v>
      </c>
      <c r="X56" s="1389">
        <f>RBBD!S41</f>
        <v>0</v>
      </c>
      <c r="Y56" s="1389">
        <f>RBBD!T41</f>
        <v>0</v>
      </c>
      <c r="Z56" s="65"/>
      <c r="AA56" s="329">
        <f t="shared" si="5"/>
        <v>0</v>
      </c>
    </row>
    <row r="57" spans="2:27" hidden="1">
      <c r="B57" s="1389">
        <f>RBBD!B42</f>
        <v>0</v>
      </c>
      <c r="C57" s="1389">
        <f>RBBD!C42</f>
        <v>0</v>
      </c>
      <c r="D57" s="1389">
        <f>RBBD!D42</f>
        <v>0</v>
      </c>
      <c r="E57" s="1389">
        <f>RBBD!G42</f>
        <v>0</v>
      </c>
      <c r="F57" s="1389">
        <f>RBBD!H42</f>
        <v>0</v>
      </c>
      <c r="G57" s="1389">
        <f>RBBD!E42</f>
        <v>0</v>
      </c>
      <c r="H57" s="1389">
        <f>RBBD!F42</f>
        <v>0</v>
      </c>
      <c r="I57" s="1389">
        <f t="shared" si="2"/>
        <v>0</v>
      </c>
      <c r="J57" s="1389">
        <f t="shared" si="2"/>
        <v>0</v>
      </c>
      <c r="K57" s="1389">
        <f t="shared" si="2"/>
        <v>0</v>
      </c>
      <c r="L57" s="1389">
        <f t="shared" si="2"/>
        <v>0</v>
      </c>
      <c r="M57" s="1389">
        <f t="shared" si="3"/>
        <v>0</v>
      </c>
      <c r="N57" s="1389">
        <f>RBBD!I42</f>
        <v>0</v>
      </c>
      <c r="O57" s="1389">
        <f>RBBD!J42</f>
        <v>0</v>
      </c>
      <c r="P57" s="1389">
        <f>RBBD!K42</f>
        <v>0</v>
      </c>
      <c r="Q57" s="1389">
        <f>RBBD!L42</f>
        <v>0</v>
      </c>
      <c r="R57" s="1389">
        <f>RBBD!M42</f>
        <v>0</v>
      </c>
      <c r="S57" s="1389">
        <f>RBBD!N42</f>
        <v>0</v>
      </c>
      <c r="T57" s="1389">
        <f>RBBD!O42</f>
        <v>0</v>
      </c>
      <c r="U57" s="1389">
        <f>RBBD!P42</f>
        <v>0</v>
      </c>
      <c r="V57" s="1389">
        <f>RBBD!Q42</f>
        <v>0</v>
      </c>
      <c r="W57" s="1389">
        <f>RBBD!R42</f>
        <v>0</v>
      </c>
      <c r="X57" s="1389">
        <f>RBBD!S42</f>
        <v>0</v>
      </c>
      <c r="Y57" s="1389">
        <f>RBBD!T42</f>
        <v>0</v>
      </c>
      <c r="Z57" s="65"/>
      <c r="AA57" s="329">
        <f t="shared" si="5"/>
        <v>0</v>
      </c>
    </row>
    <row r="58" spans="2:27" hidden="1">
      <c r="B58" s="1389">
        <f>RBBD!B43</f>
        <v>0</v>
      </c>
      <c r="C58" s="1389">
        <f>RBBD!C43</f>
        <v>0</v>
      </c>
      <c r="D58" s="1389">
        <f>RBBD!D43</f>
        <v>0</v>
      </c>
      <c r="E58" s="1389">
        <f>RBBD!G43</f>
        <v>0</v>
      </c>
      <c r="F58" s="1389">
        <f>RBBD!H43</f>
        <v>0</v>
      </c>
      <c r="G58" s="1389">
        <f>RBBD!E43</f>
        <v>0</v>
      </c>
      <c r="H58" s="1389">
        <f>RBBD!F43</f>
        <v>0</v>
      </c>
      <c r="I58" s="1389">
        <f t="shared" si="2"/>
        <v>0</v>
      </c>
      <c r="J58" s="1389">
        <f t="shared" si="2"/>
        <v>0</v>
      </c>
      <c r="K58" s="1389">
        <f t="shared" si="2"/>
        <v>0</v>
      </c>
      <c r="L58" s="1389">
        <f t="shared" si="2"/>
        <v>0</v>
      </c>
      <c r="M58" s="1389">
        <f t="shared" si="3"/>
        <v>0</v>
      </c>
      <c r="N58" s="1389">
        <f>RBBD!I43</f>
        <v>0</v>
      </c>
      <c r="O58" s="1389">
        <f>RBBD!J43</f>
        <v>0</v>
      </c>
      <c r="P58" s="1389">
        <f>RBBD!K43</f>
        <v>0</v>
      </c>
      <c r="Q58" s="1389">
        <f>RBBD!L43</f>
        <v>0</v>
      </c>
      <c r="R58" s="1389">
        <f>RBBD!M43</f>
        <v>0</v>
      </c>
      <c r="S58" s="1389">
        <f>RBBD!N43</f>
        <v>0</v>
      </c>
      <c r="T58" s="1389">
        <f>RBBD!O43</f>
        <v>0</v>
      </c>
      <c r="U58" s="1389">
        <f>RBBD!P43</f>
        <v>0</v>
      </c>
      <c r="V58" s="1389">
        <f>RBBD!Q43</f>
        <v>0</v>
      </c>
      <c r="W58" s="1389">
        <f>RBBD!R43</f>
        <v>0</v>
      </c>
      <c r="X58" s="1389">
        <f>RBBD!S43</f>
        <v>0</v>
      </c>
      <c r="Y58" s="1389">
        <f>RBBD!T43</f>
        <v>0</v>
      </c>
      <c r="Z58" s="65"/>
      <c r="AA58" s="329">
        <f t="shared" si="5"/>
        <v>0</v>
      </c>
    </row>
    <row r="59" spans="2:27" hidden="1">
      <c r="B59" s="1389">
        <f>RBBD!B44</f>
        <v>0</v>
      </c>
      <c r="C59" s="1389">
        <f>RBBD!C44</f>
        <v>0</v>
      </c>
      <c r="D59" s="1389">
        <f>RBBD!D44</f>
        <v>0</v>
      </c>
      <c r="E59" s="1389">
        <f>RBBD!G44</f>
        <v>0</v>
      </c>
      <c r="F59" s="1389">
        <f>RBBD!H44</f>
        <v>0</v>
      </c>
      <c r="G59" s="1389">
        <f>RBBD!E44</f>
        <v>0</v>
      </c>
      <c r="H59" s="1389">
        <f>RBBD!F44</f>
        <v>0</v>
      </c>
      <c r="I59" s="1389">
        <f t="shared" si="2"/>
        <v>0</v>
      </c>
      <c r="J59" s="1389">
        <f t="shared" si="2"/>
        <v>0</v>
      </c>
      <c r="K59" s="1389">
        <f t="shared" si="2"/>
        <v>0</v>
      </c>
      <c r="L59" s="1389">
        <f t="shared" si="2"/>
        <v>0</v>
      </c>
      <c r="M59" s="1389">
        <f t="shared" si="3"/>
        <v>0</v>
      </c>
      <c r="N59" s="1389">
        <f>RBBD!I44</f>
        <v>0</v>
      </c>
      <c r="O59" s="1389">
        <f>RBBD!J44</f>
        <v>0</v>
      </c>
      <c r="P59" s="1389">
        <f>RBBD!K44</f>
        <v>0</v>
      </c>
      <c r="Q59" s="1389">
        <f>RBBD!L44</f>
        <v>0</v>
      </c>
      <c r="R59" s="1389">
        <f>RBBD!M44</f>
        <v>0</v>
      </c>
      <c r="S59" s="1389">
        <f>RBBD!N44</f>
        <v>0</v>
      </c>
      <c r="T59" s="1389">
        <f>RBBD!O44</f>
        <v>0</v>
      </c>
      <c r="U59" s="1389">
        <f>RBBD!P44</f>
        <v>0</v>
      </c>
      <c r="V59" s="1389">
        <f>RBBD!Q44</f>
        <v>0</v>
      </c>
      <c r="W59" s="1389">
        <f>RBBD!R44</f>
        <v>0</v>
      </c>
      <c r="X59" s="1389">
        <f>RBBD!S44</f>
        <v>0</v>
      </c>
      <c r="Y59" s="1389">
        <f>RBBD!T44</f>
        <v>0</v>
      </c>
      <c r="Z59" s="65"/>
      <c r="AA59" s="329">
        <f t="shared" si="5"/>
        <v>0</v>
      </c>
    </row>
    <row r="60" spans="2:27" hidden="1">
      <c r="B60" s="1389">
        <f>RBBD!B45</f>
        <v>0</v>
      </c>
      <c r="C60" s="1389">
        <f>RBBD!C45</f>
        <v>0</v>
      </c>
      <c r="D60" s="1389">
        <f>RBBD!D45</f>
        <v>0</v>
      </c>
      <c r="E60" s="1389">
        <f>RBBD!G45</f>
        <v>0</v>
      </c>
      <c r="F60" s="1389">
        <f>RBBD!H45</f>
        <v>0</v>
      </c>
      <c r="G60" s="1389">
        <f>RBBD!E45</f>
        <v>0</v>
      </c>
      <c r="H60" s="1389">
        <f>RBBD!F45</f>
        <v>0</v>
      </c>
      <c r="I60" s="1389">
        <f t="shared" si="2"/>
        <v>0</v>
      </c>
      <c r="J60" s="1389">
        <f t="shared" si="2"/>
        <v>0</v>
      </c>
      <c r="K60" s="1389">
        <f t="shared" si="2"/>
        <v>0</v>
      </c>
      <c r="L60" s="1389">
        <f t="shared" si="2"/>
        <v>0</v>
      </c>
      <c r="M60" s="1389">
        <f t="shared" si="3"/>
        <v>0</v>
      </c>
      <c r="N60" s="1389">
        <f>RBBD!I45</f>
        <v>0</v>
      </c>
      <c r="O60" s="1389">
        <f>RBBD!J45</f>
        <v>0</v>
      </c>
      <c r="P60" s="1389">
        <f>RBBD!K45</f>
        <v>0</v>
      </c>
      <c r="Q60" s="1389">
        <f>RBBD!L45</f>
        <v>0</v>
      </c>
      <c r="R60" s="1389">
        <f>RBBD!M45</f>
        <v>0</v>
      </c>
      <c r="S60" s="1389">
        <f>RBBD!N45</f>
        <v>0</v>
      </c>
      <c r="T60" s="1389">
        <f>RBBD!O45</f>
        <v>0</v>
      </c>
      <c r="U60" s="1389">
        <f>RBBD!P45</f>
        <v>0</v>
      </c>
      <c r="V60" s="1389">
        <f>RBBD!Q45</f>
        <v>0</v>
      </c>
      <c r="W60" s="1389">
        <f>RBBD!R45</f>
        <v>0</v>
      </c>
      <c r="X60" s="1389">
        <f>RBBD!S45</f>
        <v>0</v>
      </c>
      <c r="Y60" s="1389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90" t="s">
        <v>1249</v>
      </c>
      <c r="D62" s="1391"/>
      <c r="E62" s="1391" t="e">
        <f>SUM(I18:I61)/SUM(M18:M61)</f>
        <v>#DIV/0!</v>
      </c>
      <c r="F62" s="1391" t="e">
        <f>SUM(J18:J61)/SUM(M18:M61)</f>
        <v>#DIV/0!</v>
      </c>
      <c r="G62" s="1391" t="e">
        <f>SUM(K18:K61)/SUM(M18:M61)</f>
        <v>#DIV/0!</v>
      </c>
      <c r="H62" s="1391" t="e">
        <f>SUM(L18:L61)/SUM(M18:M61)</f>
        <v>#DIV/0!</v>
      </c>
      <c r="I62" s="1392">
        <f>SUM(I16:I61)</f>
        <v>0</v>
      </c>
      <c r="J62" s="1392">
        <f>SUM(J16:J61)</f>
        <v>0</v>
      </c>
      <c r="K62" s="1392">
        <f>SUM(K16:K61)</f>
        <v>0</v>
      </c>
      <c r="L62" s="1392">
        <f>SUM(L16:L61)</f>
        <v>0</v>
      </c>
      <c r="M62" s="1392">
        <f>SUM(M17:M61)</f>
        <v>0</v>
      </c>
      <c r="N62" s="1392">
        <f>SUM(N18:N61)</f>
        <v>0</v>
      </c>
      <c r="O62" s="1392">
        <f t="shared" ref="O62:Y62" si="6">SUM(O18:O61)</f>
        <v>0</v>
      </c>
      <c r="P62" s="1392">
        <f t="shared" si="6"/>
        <v>0</v>
      </c>
      <c r="Q62" s="1392">
        <f t="shared" si="6"/>
        <v>0</v>
      </c>
      <c r="R62" s="1392">
        <f t="shared" si="6"/>
        <v>0</v>
      </c>
      <c r="S62" s="1392">
        <f t="shared" si="6"/>
        <v>0</v>
      </c>
      <c r="T62" s="1392">
        <f t="shared" si="6"/>
        <v>0</v>
      </c>
      <c r="U62" s="1392">
        <f t="shared" si="6"/>
        <v>0</v>
      </c>
      <c r="V62" s="1392">
        <f t="shared" si="6"/>
        <v>0</v>
      </c>
      <c r="W62" s="1392">
        <f t="shared" si="6"/>
        <v>0</v>
      </c>
      <c r="X62" s="1392">
        <f t="shared" si="6"/>
        <v>0</v>
      </c>
      <c r="Y62" s="1392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82" t="s">
        <v>1250</v>
      </c>
      <c r="C67" s="1382"/>
      <c r="D67" s="1382"/>
      <c r="E67" s="1382"/>
      <c r="F67" s="1382"/>
      <c r="G67" s="1382"/>
      <c r="H67" s="1382"/>
      <c r="I67" s="1382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40"/>
      <c r="E69" s="1393">
        <f>IF(MONTH(E70)=7,E70,0)</f>
        <v>0</v>
      </c>
      <c r="F69" s="1393">
        <f t="shared" ref="F69:P69" si="7">IF(MONTH(F70)=7,F70,0)</f>
        <v>0</v>
      </c>
      <c r="G69" s="1393">
        <f t="shared" si="7"/>
        <v>44378</v>
      </c>
      <c r="H69" s="1393">
        <f t="shared" si="7"/>
        <v>0</v>
      </c>
      <c r="I69" s="1393">
        <f t="shared" si="7"/>
        <v>0</v>
      </c>
      <c r="J69" s="1393">
        <f t="shared" si="7"/>
        <v>0</v>
      </c>
      <c r="K69" s="1393">
        <f t="shared" si="7"/>
        <v>0</v>
      </c>
      <c r="L69" s="1393">
        <f t="shared" si="7"/>
        <v>0</v>
      </c>
      <c r="M69" s="1393">
        <f t="shared" si="7"/>
        <v>0</v>
      </c>
      <c r="N69" s="1393">
        <f t="shared" si="7"/>
        <v>0</v>
      </c>
      <c r="O69" s="1393">
        <f t="shared" si="7"/>
        <v>0</v>
      </c>
      <c r="P69" s="1393">
        <f t="shared" si="7"/>
        <v>0</v>
      </c>
      <c r="Q69" s="809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1251</v>
      </c>
      <c r="E70" s="1394">
        <f>G76</f>
        <v>44317</v>
      </c>
      <c r="F70" s="1394">
        <f>G77</f>
        <v>44348</v>
      </c>
      <c r="G70" s="1394">
        <f>G78</f>
        <v>44378</v>
      </c>
      <c r="H70" s="1394">
        <f>G79</f>
        <v>44409</v>
      </c>
      <c r="I70" s="1394">
        <f>G80</f>
        <v>44440</v>
      </c>
      <c r="J70" s="1394">
        <f>G81</f>
        <v>44470</v>
      </c>
      <c r="K70" s="1394">
        <f>G82</f>
        <v>44501</v>
      </c>
      <c r="L70" s="1394">
        <f>G83</f>
        <v>44531</v>
      </c>
      <c r="M70" s="1394">
        <f>G84</f>
        <v>44562</v>
      </c>
      <c r="N70" s="1394">
        <f>G85</f>
        <v>44593</v>
      </c>
      <c r="O70" s="1394">
        <f>G86</f>
        <v>44621</v>
      </c>
      <c r="P70" s="1394">
        <f>G87</f>
        <v>44652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95" t="s">
        <v>1252</v>
      </c>
      <c r="D71" s="1396">
        <f>SUM(E71:P71)</f>
        <v>0</v>
      </c>
      <c r="E71" s="1397">
        <f>SUMIF($G$76:$G$420,E70,$N$76:$N$420)</f>
        <v>0</v>
      </c>
      <c r="F71" s="1397">
        <f t="shared" ref="F71:P71" si="8">SUMIF($G$76:$G$420,F70,$N$76:$N$420)</f>
        <v>0</v>
      </c>
      <c r="G71" s="1397">
        <f t="shared" si="8"/>
        <v>0</v>
      </c>
      <c r="H71" s="1397">
        <f t="shared" si="8"/>
        <v>0</v>
      </c>
      <c r="I71" s="1397">
        <f t="shared" si="8"/>
        <v>0</v>
      </c>
      <c r="J71" s="1397">
        <f t="shared" si="8"/>
        <v>0</v>
      </c>
      <c r="K71" s="1397">
        <f t="shared" si="8"/>
        <v>0</v>
      </c>
      <c r="L71" s="1397">
        <f t="shared" si="8"/>
        <v>0</v>
      </c>
      <c r="M71" s="1397">
        <f t="shared" si="8"/>
        <v>0</v>
      </c>
      <c r="N71" s="1397">
        <f t="shared" si="8"/>
        <v>0</v>
      </c>
      <c r="O71" s="1397">
        <f t="shared" si="8"/>
        <v>0</v>
      </c>
      <c r="P71" s="1397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95" t="s">
        <v>1253</v>
      </c>
      <c r="D72" s="1396">
        <f>SUM(E72:P72)</f>
        <v>0</v>
      </c>
      <c r="E72" s="1397">
        <f>SUMIF(Indexador!$B$25:$B$48,'Rede Básica + Ajuste'!E70,Indexador!$J$25:$J$48)</f>
        <v>0</v>
      </c>
      <c r="F72" s="1397">
        <f>SUMIF(Indexador!$B$25:$B$48,'Rede Básica + Ajuste'!F70,Indexador!$J$25:$J$48)</f>
        <v>0</v>
      </c>
      <c r="G72" s="1397">
        <f>SUMIF(Indexador!$B$25:$B$48,'Rede Básica + Ajuste'!G70,Indexador!$J$25:$J$48)</f>
        <v>0</v>
      </c>
      <c r="H72" s="1397">
        <f>SUMIF(Indexador!$B$25:$B$48,'Rede Básica + Ajuste'!H70,Indexador!$J$25:$J$48)</f>
        <v>0</v>
      </c>
      <c r="I72" s="1397">
        <f>SUMIF(Indexador!$B$25:$B$48,'Rede Básica + Ajuste'!I70,Indexador!$J$25:$J$48)</f>
        <v>0</v>
      </c>
      <c r="J72" s="1397">
        <f>SUMIF(Indexador!$B$25:$B$48,'Rede Básica + Ajuste'!J70,Indexador!$J$25:$J$48)</f>
        <v>0</v>
      </c>
      <c r="K72" s="1397">
        <f>SUMIF(Indexador!$B$25:$B$48,'Rede Básica + Ajuste'!K70,Indexador!$J$25:$J$48)</f>
        <v>0</v>
      </c>
      <c r="L72" s="1397">
        <f>SUMIF(Indexador!$B$25:$B$48,'Rede Básica + Ajuste'!L70,Indexador!$J$25:$J$48)</f>
        <v>0</v>
      </c>
      <c r="M72" s="1397">
        <f>SUMIF(Indexador!$B$25:$B$48,'Rede Básica + Ajuste'!M70,Indexador!$J$25:$J$48)</f>
        <v>0</v>
      </c>
      <c r="N72" s="1397">
        <f>SUMIF(Indexador!$B$25:$B$48,'Rede Básica + Ajuste'!N70,Indexador!$J$25:$J$48)</f>
        <v>0</v>
      </c>
      <c r="O72" s="1397">
        <f>SUMIF(Indexador!$B$25:$B$48,'Rede Básica + Ajuste'!O70,Indexador!$J$25:$J$48)</f>
        <v>0</v>
      </c>
      <c r="P72" s="1397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43" t="s">
        <v>1254</v>
      </c>
      <c r="K74" s="1744"/>
      <c r="L74" s="1745" t="s">
        <v>1255</v>
      </c>
      <c r="M74" s="1745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46" t="s">
        <v>1237</v>
      </c>
      <c r="D75" s="1747"/>
      <c r="F75" s="275"/>
      <c r="G75" s="1398" t="s">
        <v>714</v>
      </c>
      <c r="H75" s="1399" t="s">
        <v>1256</v>
      </c>
      <c r="I75" s="1399" t="s">
        <v>1257</v>
      </c>
      <c r="J75" s="1400" t="s">
        <v>1258</v>
      </c>
      <c r="K75" s="1400" t="s">
        <v>1259</v>
      </c>
      <c r="L75" s="1400" t="s">
        <v>1258</v>
      </c>
      <c r="M75" s="1400" t="s">
        <v>1259</v>
      </c>
      <c r="N75" s="282" t="s">
        <v>1260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95" t="s">
        <v>1261</v>
      </c>
      <c r="D76" s="1401">
        <f>IF(D18="Ponta",B18,0)</f>
        <v>0</v>
      </c>
      <c r="E76" s="18"/>
      <c r="F76" s="275"/>
      <c r="G76" s="1402">
        <f>DATE(YEAR(CAPA!C14),MONTH(CAPA!C14),1)</f>
        <v>44317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403">
        <f>IF(MONTH(DataRevRea)=7,'Rede Básica + Ajuste'!J76,IF(G76&lt;$Q$69,(SUMIFS($E$18:$E$60,$B$18:$B$60,$D$76,$D$18:$D$60,"Ponta")),(SUMIFS($F$18:$F$60,$B$18:$B$60,$D$76,$D$18:$D$60,"Ponta"))))</f>
        <v>0</v>
      </c>
      <c r="M76" s="1403">
        <f>IF(MONTH(DataRevRea)=7,'Rede Básica + Ajuste'!K76,IF(G76&lt;$Q$69,(SUMIFS($E$18:$E$60,$B$18:$B$60,$D$76,$D$18:$D$60,"Fora Ponta")),(SUMIFS($F$18:$F$60,$B$18:$B$60,$D$76,$D$18:$D$60,"Fora Ponta"))))</f>
        <v>0</v>
      </c>
      <c r="N76" s="1404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44348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405" t="s">
        <v>1262</v>
      </c>
      <c r="E78" s="1406" t="s">
        <v>1263</v>
      </c>
      <c r="F78" s="275"/>
      <c r="G78" s="276">
        <f t="shared" ref="G78:G87" si="12">DATE(YEAR(G77),MONTH(G77)+1,1)</f>
        <v>44378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407" t="str">
        <f>"Cobertura "&amp;YEAR(CAPA!C14)</f>
        <v>Cobertura 2021</v>
      </c>
      <c r="D79" s="1408">
        <f>SUMPRODUCT(H76:H87,J76:J87)</f>
        <v>0</v>
      </c>
      <c r="E79" s="1408">
        <f>SUMPRODUCT(I76:I87,K76:K87)</f>
        <v>0</v>
      </c>
      <c r="F79" s="275"/>
      <c r="G79" s="276">
        <f t="shared" si="12"/>
        <v>44409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407" t="s">
        <v>1264</v>
      </c>
      <c r="D80" s="1408">
        <f>SUMPRODUCT(H76:H87,L76:L87)</f>
        <v>0</v>
      </c>
      <c r="E80" s="1408">
        <f>SUMPRODUCT(I76:I87,M76:M87)</f>
        <v>0</v>
      </c>
      <c r="F80" s="275"/>
      <c r="G80" s="276">
        <f t="shared" si="12"/>
        <v>44440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44470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44501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44531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44562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44593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44621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409">
        <f t="shared" si="12"/>
        <v>44652</v>
      </c>
      <c r="H87" s="1410">
        <f>SUMIFS($Y$18:$Y$60,$B$18:$B$60,$D$76,$D$18:$D$60,"Ponta")</f>
        <v>0</v>
      </c>
      <c r="I87" s="1410">
        <f>SUMIFS($Y$18:$Y$60,$B$18:$B$60,$D$76,$D$18:$D$60,"Fora Ponta")</f>
        <v>0</v>
      </c>
      <c r="J87" s="1410">
        <f t="shared" si="9"/>
        <v>0</v>
      </c>
      <c r="K87" s="1410">
        <f t="shared" si="10"/>
        <v>0</v>
      </c>
      <c r="L87" s="1410">
        <f>IF(MONTH(DataRevRea)=7,'Rede Básica + Ajuste'!J87,IF(G87&lt;$Q$69,(SUMIFS($E$18:$E$60,$B$18:$B$60,$D$76,$D$18:$D$60,"Ponta")),(SUMIFS($F$18:$F$60,$B$18:$B$60,$D$76,$D$18:$D$60,"Ponta"))))</f>
        <v>0</v>
      </c>
      <c r="M87" s="1410">
        <f>IF(MONTH(DataRevRea)=7,'Rede Básica + Ajuste'!K87,IF(G87&lt;$Q$69,(SUMIFS($E$18:$E$60,$B$18:$B$60,$D$76,$D$18:$D$60,"Fora Ponta")),(SUMIFS($F$18:$F$60,$B$18:$B$60,$D$76,$D$18:$D$60,"Fora Ponta"))))</f>
        <v>0</v>
      </c>
      <c r="N87" s="1411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43" t="s">
        <v>1254</v>
      </c>
      <c r="K89" s="1744"/>
      <c r="L89" s="1745" t="s">
        <v>1255</v>
      </c>
      <c r="M89" s="1745"/>
      <c r="N89" s="283"/>
    </row>
    <row r="90" spans="2:50" ht="15.75">
      <c r="C90" s="1746" t="s">
        <v>1265</v>
      </c>
      <c r="D90" s="1747"/>
      <c r="F90" s="275"/>
      <c r="G90" s="1398" t="s">
        <v>714</v>
      </c>
      <c r="H90" s="1399" t="s">
        <v>1256</v>
      </c>
      <c r="I90" s="1399" t="s">
        <v>1257</v>
      </c>
      <c r="J90" s="1400" t="s">
        <v>1258</v>
      </c>
      <c r="K90" s="1400" t="s">
        <v>1259</v>
      </c>
      <c r="L90" s="1400" t="s">
        <v>1258</v>
      </c>
      <c r="M90" s="1400" t="s">
        <v>1259</v>
      </c>
      <c r="N90" s="282" t="s">
        <v>1260</v>
      </c>
    </row>
    <row r="91" spans="2:50" ht="15.75">
      <c r="C91" s="1395" t="s">
        <v>1261</v>
      </c>
      <c r="D91" s="1401">
        <f>IF(D18="Ponta",B18,0)</f>
        <v>0</v>
      </c>
      <c r="E91" s="18"/>
      <c r="F91" s="275"/>
      <c r="G91" s="1402">
        <f>G76</f>
        <v>44317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403">
        <f>IF(MONTH(DataRevRea)=7,'Rede Básica + Ajuste'!J91,IF(G91&lt;$Q$69,(SUMIFS($G$18:$G$60,$B$18:$B$60,$D$91,$D$18:$D$60,"Ponta")),(SUMIFS($H$18:$H$60,$B$18:$B$60,$D$91,$D$18:$D$60,"Ponta"))))</f>
        <v>0</v>
      </c>
      <c r="M91" s="1403">
        <f>IF(MONTH(DataRevRea)=7,'Rede Básica + Ajuste'!K91,IF(G91&lt;$Q$69,(SUMIFS($G$18:$G$60,$B$18:$B$60,$D$91,$D$18:$D$60,"Fora Ponta")),(SUMIFS($H$18:$H$60,$B$18:$B$60,$D$91,$D$18:$D$60,"Fora Ponta"))))</f>
        <v>0</v>
      </c>
      <c r="N91" s="1404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44348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405" t="s">
        <v>1262</v>
      </c>
      <c r="E93" s="1406" t="s">
        <v>1263</v>
      </c>
      <c r="F93" s="275"/>
      <c r="G93" s="276">
        <f t="shared" si="13"/>
        <v>44378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407" t="str">
        <f>C79</f>
        <v>Cobertura 2021</v>
      </c>
      <c r="D94" s="1408">
        <f>SUMPRODUCT(H91:H102,J91:J102)</f>
        <v>0</v>
      </c>
      <c r="E94" s="1408">
        <f>SUMPRODUCT(I91:I102,K91:K102)</f>
        <v>0</v>
      </c>
      <c r="F94" s="275"/>
      <c r="G94" s="276">
        <f t="shared" si="13"/>
        <v>44409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407" t="s">
        <v>1264</v>
      </c>
      <c r="D95" s="1408">
        <f>SUMPRODUCT(H91:H102,L91:L102)</f>
        <v>0</v>
      </c>
      <c r="E95" s="1408">
        <f>SUMPRODUCT(I91:I102,M91:M102)</f>
        <v>0</v>
      </c>
      <c r="F95" s="275"/>
      <c r="G95" s="276">
        <f t="shared" si="13"/>
        <v>44440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44470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44501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44531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44562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44593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44621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409">
        <f t="shared" si="13"/>
        <v>44652</v>
      </c>
      <c r="H102" s="1410">
        <f t="shared" si="13"/>
        <v>0</v>
      </c>
      <c r="I102" s="1410">
        <f t="shared" si="13"/>
        <v>0</v>
      </c>
      <c r="J102" s="1410">
        <f t="shared" si="14"/>
        <v>0</v>
      </c>
      <c r="K102" s="1410">
        <f t="shared" si="15"/>
        <v>0</v>
      </c>
      <c r="L102" s="1410">
        <f>IF(MONTH(DataRevRea)=7,'Rede Básica + Ajuste'!J102,IF(G102&lt;$Q$69,(SUMIFS($G$18:$G$60,$B$18:$B$60,$D$91,$D$18:$D$60,"Ponta")),(SUMIFS($H$18:$H$60,$B$18:$B$60,$D$91,$D$18:$D$60,"Ponta"))))</f>
        <v>0</v>
      </c>
      <c r="M102" s="1410">
        <f>IF(MONTH(DataRevRea)=7,'Rede Básica + Ajuste'!K102,IF(G102&lt;$Q$69,(SUMIFS($G$18:$G$60,$B$18:$B$60,$D$91,$D$18:$D$60,"Fora Ponta")),(SUMIFS($H$18:$H$60,$B$18:$B$60,$D$91,$D$18:$D$60,"Fora Ponta"))))</f>
        <v>0</v>
      </c>
      <c r="N102" s="1411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43" t="s">
        <v>1254</v>
      </c>
      <c r="K104" s="1744"/>
      <c r="L104" s="1745" t="s">
        <v>1255</v>
      </c>
      <c r="M104" s="1745"/>
      <c r="N104" s="283"/>
    </row>
    <row r="105" spans="3:14" ht="15.75">
      <c r="C105" s="1746" t="s">
        <v>1237</v>
      </c>
      <c r="D105" s="1747"/>
      <c r="F105" s="275"/>
      <c r="G105" s="1398" t="s">
        <v>714</v>
      </c>
      <c r="H105" s="1399" t="s">
        <v>1256</v>
      </c>
      <c r="I105" s="1399" t="s">
        <v>1257</v>
      </c>
      <c r="J105" s="1400" t="s">
        <v>1258</v>
      </c>
      <c r="K105" s="1400" t="s">
        <v>1259</v>
      </c>
      <c r="L105" s="1400" t="s">
        <v>1258</v>
      </c>
      <c r="M105" s="1400" t="s">
        <v>1259</v>
      </c>
      <c r="N105" s="282" t="s">
        <v>1260</v>
      </c>
    </row>
    <row r="106" spans="3:14" ht="15.75">
      <c r="C106" s="1395" t="s">
        <v>1261</v>
      </c>
      <c r="D106" s="1412">
        <f>IF(D19="Ponta",B19,0)</f>
        <v>0</v>
      </c>
      <c r="E106" s="18"/>
      <c r="F106" s="275"/>
      <c r="G106" s="1402">
        <f>G91</f>
        <v>44317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403">
        <f>IF(MONTH(DataRevRea)=7,'Rede Básica + Ajuste'!J106,IF(G106&lt;$Q$69,(SUMIFS($E$18:$E$60,$B$18:$B$60,$D$106,$D$18:$D$60,"Ponta")),(SUMIFS($F$18:$F$60,$B$18:$B$60,$D$106,$D$18:$D$60,"Ponta"))))</f>
        <v>0</v>
      </c>
      <c r="M106" s="1403">
        <f>IF(MONTH(DataRevRea)=7,'Rede Básica + Ajuste'!K106,IF(G106&lt;$Q$69,(SUMIFS($E$18:$E$60,$B$18:$B$60,$D$106,$D$18:$D$60,"Fora Ponta")),(SUMIFS($F$18:$F$60,$B$18:$B$60,$D$106,$D$18:$D$60,"Fora Ponta"))))</f>
        <v>0</v>
      </c>
      <c r="N106" s="1404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44348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405" t="s">
        <v>1262</v>
      </c>
      <c r="E108" s="1406" t="s">
        <v>1263</v>
      </c>
      <c r="F108" s="275"/>
      <c r="G108" s="276">
        <f t="shared" si="17"/>
        <v>44378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407" t="str">
        <f>C94</f>
        <v>Cobertura 2021</v>
      </c>
      <c r="D109" s="1408">
        <f>SUMPRODUCT(H106:H117,J106:J117)</f>
        <v>0</v>
      </c>
      <c r="E109" s="1408">
        <f>SUMPRODUCT(I106:I117,K106:K117)</f>
        <v>0</v>
      </c>
      <c r="F109" s="275"/>
      <c r="G109" s="276">
        <f t="shared" si="17"/>
        <v>44409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407" t="s">
        <v>1264</v>
      </c>
      <c r="D110" s="1408">
        <f>SUMPRODUCT(H106:H117,L106:L117)</f>
        <v>0</v>
      </c>
      <c r="E110" s="1408">
        <f>SUMPRODUCT(I106:I117,M106:M117)</f>
        <v>0</v>
      </c>
      <c r="F110" s="275"/>
      <c r="G110" s="276">
        <f t="shared" si="17"/>
        <v>44440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44470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44501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44531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44562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44593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44621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409">
        <f t="shared" si="17"/>
        <v>44652</v>
      </c>
      <c r="H117" s="1410">
        <f>SUMIFS($Y$18:$Y$60,$B$18:$B$60,$D$106,$D$18:$D$60,"Ponta")</f>
        <v>0</v>
      </c>
      <c r="I117" s="1410">
        <f>SUMIFS($Y$18:$Y$60,$B$18:$B$60,$D$106,$D$18:$D$60,"Fora Ponta")</f>
        <v>0</v>
      </c>
      <c r="J117" s="1410">
        <f t="shared" si="18"/>
        <v>0</v>
      </c>
      <c r="K117" s="1410">
        <f t="shared" si="19"/>
        <v>0</v>
      </c>
      <c r="L117" s="1410">
        <f>IF(MONTH(DataRevRea)=7,'Rede Básica + Ajuste'!J117,IF(G117&lt;$Q$69,(SUMIFS($E$18:$E$60,$B$18:$B$60,$D$106,$D$18:$D$60,"Ponta")),(SUMIFS($F$18:$F$60,$B$18:$B$60,$D$106,$D$18:$D$60,"Ponta"))))</f>
        <v>0</v>
      </c>
      <c r="M117" s="1410">
        <f>IF(MONTH(DataRevRea)=7,'Rede Básica + Ajuste'!K117,IF(G117&lt;$Q$69,(SUMIFS($E$18:$E$60,$B$18:$B$60,$D$106,$D$18:$D$60,"Fora Ponta")),(SUMIFS($F$18:$F$60,$B$18:$B$60,$D$106,$D$18:$D$60,"Fora Ponta"))))</f>
        <v>0</v>
      </c>
      <c r="N117" s="1411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43" t="s">
        <v>1254</v>
      </c>
      <c r="K119" s="1744"/>
      <c r="L119" s="1745" t="s">
        <v>1255</v>
      </c>
      <c r="M119" s="1745"/>
      <c r="N119" s="283"/>
    </row>
    <row r="120" spans="3:14" ht="15.75">
      <c r="C120" s="1746" t="s">
        <v>1265</v>
      </c>
      <c r="D120" s="1747"/>
      <c r="F120" s="275"/>
      <c r="G120" s="1398" t="s">
        <v>714</v>
      </c>
      <c r="H120" s="1399" t="s">
        <v>1256</v>
      </c>
      <c r="I120" s="1399" t="s">
        <v>1257</v>
      </c>
      <c r="J120" s="1400" t="s">
        <v>1258</v>
      </c>
      <c r="K120" s="1400" t="s">
        <v>1259</v>
      </c>
      <c r="L120" s="1400" t="s">
        <v>1258</v>
      </c>
      <c r="M120" s="1400" t="s">
        <v>1259</v>
      </c>
      <c r="N120" s="282" t="s">
        <v>1260</v>
      </c>
    </row>
    <row r="121" spans="3:14" ht="15.75">
      <c r="C121" s="1395" t="s">
        <v>1261</v>
      </c>
      <c r="D121" s="1412">
        <f>IF(D19="Ponta",B19,0)</f>
        <v>0</v>
      </c>
      <c r="E121" s="18"/>
      <c r="F121" s="275"/>
      <c r="G121" s="1402">
        <f>G106</f>
        <v>44317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403">
        <f>IF(MONTH(DataRevRea)=7,'Rede Básica + Ajuste'!J121,IF(G121&lt;$Q$69,(SUMIFS($G$18:$G$60,$B$18:$B$60,$D$121,$D$18:$D$60,"Ponta")),(SUMIFS($H$18:$H$60,$B$18:$B$60,$D$121,$D$18:$D$60,"Ponta"))))</f>
        <v>0</v>
      </c>
      <c r="M121" s="1403">
        <f>IF(MONTH(DataRevRea)=7,'Rede Básica + Ajuste'!K121,IF(G121&lt;$Q$69,(SUMIFS($G$18:$G$60,$B$18:$B$60,$D$121,$D$18:$D$60,"Fora Ponta")),(SUMIFS($H$18:$H$60,$B$18:$B$60,$D$121,$D$18:$D$60,"Fora Ponta"))))</f>
        <v>0</v>
      </c>
      <c r="N121" s="1404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44348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405" t="s">
        <v>1262</v>
      </c>
      <c r="E123" s="1406" t="s">
        <v>1263</v>
      </c>
      <c r="F123" s="275"/>
      <c r="G123" s="276">
        <f t="shared" si="21"/>
        <v>44378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407" t="str">
        <f>C109</f>
        <v>Cobertura 2021</v>
      </c>
      <c r="D124" s="1408">
        <f>SUMPRODUCT(H121:H132,J121:J132)</f>
        <v>0</v>
      </c>
      <c r="E124" s="1408">
        <f>SUMPRODUCT(I121:I132,K121:K132)</f>
        <v>0</v>
      </c>
      <c r="F124" s="275"/>
      <c r="G124" s="276">
        <f t="shared" si="21"/>
        <v>44409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407" t="s">
        <v>1264</v>
      </c>
      <c r="D125" s="1408">
        <f>SUMPRODUCT(H121:H132,L121:L132)</f>
        <v>0</v>
      </c>
      <c r="E125" s="1408">
        <f>SUMPRODUCT(I121:I132,M121:M132)</f>
        <v>0</v>
      </c>
      <c r="F125" s="275"/>
      <c r="G125" s="276">
        <f t="shared" si="21"/>
        <v>44440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44470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44501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44531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44562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44593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44621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409">
        <f t="shared" si="21"/>
        <v>44652</v>
      </c>
      <c r="H132" s="1410">
        <f t="shared" si="21"/>
        <v>0</v>
      </c>
      <c r="I132" s="1410">
        <f t="shared" si="21"/>
        <v>0</v>
      </c>
      <c r="J132" s="1410">
        <f t="shared" si="22"/>
        <v>0</v>
      </c>
      <c r="K132" s="1410">
        <f t="shared" si="23"/>
        <v>0</v>
      </c>
      <c r="L132" s="1410">
        <f>IF(MONTH(DataRevRea)=7,'Rede Básica + Ajuste'!J132,IF(G132&lt;$Q$69,(SUMIFS($G$18:$G$60,$B$18:$B$60,$D$121,$D$18:$D$60,"Ponta")),(SUMIFS($H$18:$H$60,$B$18:$B$60,$D$121,$D$18:$D$60,"Ponta"))))</f>
        <v>0</v>
      </c>
      <c r="M132" s="1410">
        <f>IF(MONTH(DataRevRea)=7,'Rede Básica + Ajuste'!K132,IF(G132&lt;$Q$69,(SUMIFS($G$18:$G$60,$B$18:$B$60,$D$121,$D$18:$D$60,"Fora Ponta")),(SUMIFS($H$18:$H$60,$B$18:$B$60,$D$121,$D$18:$D$60,"Fora Ponta"))))</f>
        <v>0</v>
      </c>
      <c r="N132" s="1411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43" t="s">
        <v>1254</v>
      </c>
      <c r="K134" s="1744"/>
      <c r="L134" s="1745" t="s">
        <v>1255</v>
      </c>
      <c r="M134" s="1745"/>
      <c r="N134" s="283"/>
    </row>
    <row r="135" spans="3:14" ht="15.75">
      <c r="C135" s="1746" t="s">
        <v>1237</v>
      </c>
      <c r="D135" s="1747"/>
      <c r="F135" s="275"/>
      <c r="G135" s="1398" t="s">
        <v>714</v>
      </c>
      <c r="H135" s="1399" t="s">
        <v>1256</v>
      </c>
      <c r="I135" s="1399" t="s">
        <v>1257</v>
      </c>
      <c r="J135" s="1400" t="s">
        <v>1258</v>
      </c>
      <c r="K135" s="1400" t="s">
        <v>1259</v>
      </c>
      <c r="L135" s="1400" t="s">
        <v>1258</v>
      </c>
      <c r="M135" s="1400" t="s">
        <v>1259</v>
      </c>
      <c r="N135" s="282" t="s">
        <v>1260</v>
      </c>
    </row>
    <row r="136" spans="3:14" ht="15.75">
      <c r="C136" s="1395" t="s">
        <v>1261</v>
      </c>
      <c r="D136" s="1412">
        <f>IF(D20="Ponta",B20,0)</f>
        <v>0</v>
      </c>
      <c r="E136" s="18"/>
      <c r="F136" s="275"/>
      <c r="G136" s="1402">
        <f>G121</f>
        <v>44317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403">
        <f>IF(MONTH(DataRevRea)=7,'Rede Básica + Ajuste'!J136,IF(G136&lt;$Q$69,(SUMIFS($E$18:$E$60,$B$18:$B$60,$D$136,$D$18:$D$60,"Ponta")),(SUMIFS($F$18:$F$60,$B$18:$B$60,$D$136,$D$18:$D$60,"Ponta"))))</f>
        <v>0</v>
      </c>
      <c r="M136" s="1403">
        <f>IF(MONTH(DataRevRea)=7,'Rede Básica + Ajuste'!K136,IF(G136&lt;$Q$69,(SUMIFS($E$18:$E$60,$B$18:$B$60,$D$136,$D$18:$D$60,"Fora Ponta")),(SUMIFS($F$18:$F$60,$B$18:$B$60,$D$136,$D$18:$D$60,"Fora Ponta"))))</f>
        <v>0</v>
      </c>
      <c r="N136" s="1404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44348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405" t="s">
        <v>1262</v>
      </c>
      <c r="E138" s="1406" t="s">
        <v>1263</v>
      </c>
      <c r="F138" s="275"/>
      <c r="G138" s="276">
        <f t="shared" si="25"/>
        <v>44378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407" t="str">
        <f>C124</f>
        <v>Cobertura 2021</v>
      </c>
      <c r="D139" s="1408">
        <f>SUMPRODUCT(H136:H147,J136:J147)</f>
        <v>0</v>
      </c>
      <c r="E139" s="1408">
        <f>SUMPRODUCT(I136:I147,K136:K147)</f>
        <v>0</v>
      </c>
      <c r="F139" s="275"/>
      <c r="G139" s="276">
        <f t="shared" si="25"/>
        <v>44409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407" t="s">
        <v>1264</v>
      </c>
      <c r="D140" s="1408">
        <f>SUMPRODUCT(H136:H147,L136:L147)</f>
        <v>0</v>
      </c>
      <c r="E140" s="1408">
        <f>SUMPRODUCT(I136:I147,M136:M147)</f>
        <v>0</v>
      </c>
      <c r="F140" s="275"/>
      <c r="G140" s="276">
        <f t="shared" si="25"/>
        <v>44440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44470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44501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44531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44562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44593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44621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409">
        <f t="shared" si="25"/>
        <v>44652</v>
      </c>
      <c r="H147" s="1410">
        <f>SUMIFS($Y$18:$Y$60,$B$18:$B$60,$D$136,$D$18:$D$60,"Ponta")</f>
        <v>0</v>
      </c>
      <c r="I147" s="1410">
        <f>SUMIFS($Y$18:$Y$60,$B$18:$B$60,$D$136,$D$18:$D$60,"Fora Ponta")</f>
        <v>0</v>
      </c>
      <c r="J147" s="1410">
        <f t="shared" si="26"/>
        <v>0</v>
      </c>
      <c r="K147" s="1410">
        <f t="shared" si="27"/>
        <v>0</v>
      </c>
      <c r="L147" s="1410">
        <f>IF(MONTH(DataRevRea)=7,'Rede Básica + Ajuste'!J147,IF(G147&lt;$Q$69,(SUMIFS($E$18:$E$60,$B$18:$B$60,$D$136,$D$18:$D$60,"Ponta")),(SUMIFS($F$18:$F$60,$B$18:$B$60,$D$136,$D$18:$D$60,"Ponta"))))</f>
        <v>0</v>
      </c>
      <c r="M147" s="1410">
        <f>IF(MONTH(DataRevRea)=7,'Rede Básica + Ajuste'!K147,IF(G147&lt;$Q$69,(SUMIFS($E$18:$E$60,$B$18:$B$60,$D$136,$D$18:$D$60,"Fora Ponta")),(SUMIFS($F$18:$F$60,$B$18:$B$60,$D$136,$D$18:$D$60,"Fora Ponta"))))</f>
        <v>0</v>
      </c>
      <c r="N147" s="1411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43" t="s">
        <v>1254</v>
      </c>
      <c r="K149" s="1744"/>
      <c r="L149" s="1745" t="s">
        <v>1255</v>
      </c>
      <c r="M149" s="1745"/>
      <c r="N149" s="283"/>
    </row>
    <row r="150" spans="3:14" ht="15.75">
      <c r="C150" s="1746" t="s">
        <v>1265</v>
      </c>
      <c r="D150" s="1747"/>
      <c r="F150" s="275"/>
      <c r="G150" s="1398" t="s">
        <v>714</v>
      </c>
      <c r="H150" s="1399" t="s">
        <v>1256</v>
      </c>
      <c r="I150" s="1399" t="s">
        <v>1257</v>
      </c>
      <c r="J150" s="1400" t="s">
        <v>1258</v>
      </c>
      <c r="K150" s="1400" t="s">
        <v>1259</v>
      </c>
      <c r="L150" s="1400" t="s">
        <v>1258</v>
      </c>
      <c r="M150" s="1400" t="s">
        <v>1259</v>
      </c>
      <c r="N150" s="282" t="s">
        <v>1260</v>
      </c>
    </row>
    <row r="151" spans="3:14" ht="15.75">
      <c r="C151" s="1395" t="s">
        <v>1261</v>
      </c>
      <c r="D151" s="1412">
        <f>IF(D20="Ponta",B20,0)</f>
        <v>0</v>
      </c>
      <c r="E151" s="18"/>
      <c r="F151" s="275"/>
      <c r="G151" s="1402">
        <f>G136</f>
        <v>44317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403">
        <f>IF(MONTH(DataRevRea)=7,'Rede Básica + Ajuste'!J151,IF(G151&lt;$Q$69,(SUMIFS($G$18:$G$60,$B$18:$B$60,$D$151,$D$18:$D$60,"Ponta")),(SUMIFS($H$18:$H$60,$B$18:$B$60,$D$151,$D$18:$D$60,"Ponta"))))</f>
        <v>0</v>
      </c>
      <c r="M151" s="1403">
        <f>IF(MONTH(DataRevRea)=7,'Rede Básica + Ajuste'!K151,IF(G151&lt;$Q$69,(SUMIFS($G$18:$G$60,$B$18:$B$60,$D$151,$D$18:$D$60,"Fora Ponta")),(SUMIFS($H$18:$H$60,$B$18:$B$60,$D$151,$D$18:$D$60,"Fora Ponta"))))</f>
        <v>0</v>
      </c>
      <c r="N151" s="1404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44348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405" t="s">
        <v>1262</v>
      </c>
      <c r="E153" s="1406" t="s">
        <v>1263</v>
      </c>
      <c r="F153" s="275"/>
      <c r="G153" s="276">
        <f t="shared" si="29"/>
        <v>44378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407" t="str">
        <f>C139</f>
        <v>Cobertura 2021</v>
      </c>
      <c r="D154" s="1408">
        <f>SUMPRODUCT(H151:H162,J151:J162)</f>
        <v>0</v>
      </c>
      <c r="E154" s="1408">
        <f>SUMPRODUCT(I151:I162,K151:K162)</f>
        <v>0</v>
      </c>
      <c r="F154" s="275"/>
      <c r="G154" s="276">
        <f t="shared" si="29"/>
        <v>44409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407" t="s">
        <v>1264</v>
      </c>
      <c r="D155" s="1408">
        <f>SUMPRODUCT(H151:H162,L151:L162)</f>
        <v>0</v>
      </c>
      <c r="E155" s="1408">
        <f>SUMPRODUCT(I151:I162,M151:M162)</f>
        <v>0</v>
      </c>
      <c r="F155" s="275"/>
      <c r="G155" s="276">
        <f t="shared" si="29"/>
        <v>44440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44470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44501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44531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44562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44593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44621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409">
        <f t="shared" si="29"/>
        <v>44652</v>
      </c>
      <c r="H162" s="1410">
        <f t="shared" si="29"/>
        <v>0</v>
      </c>
      <c r="I162" s="1410">
        <f t="shared" si="29"/>
        <v>0</v>
      </c>
      <c r="J162" s="1410">
        <f t="shared" si="30"/>
        <v>0</v>
      </c>
      <c r="K162" s="1410">
        <f t="shared" si="31"/>
        <v>0</v>
      </c>
      <c r="L162" s="1410">
        <f>IF(MONTH(DataRevRea)=7,'Rede Básica + Ajuste'!J162,IF(G162&lt;$Q$69,(SUMIFS($G$18:$G$60,$B$18:$B$60,$D$151,$D$18:$D$60,"Ponta")),(SUMIFS($H$18:$H$60,$B$18:$B$60,$D$151,$D$18:$D$60,"Ponta"))))</f>
        <v>0</v>
      </c>
      <c r="M162" s="1410">
        <f>IF(MONTH(DataRevRea)=7,'Rede Básica + Ajuste'!K162,IF(G162&lt;$Q$69,(SUMIFS($G$18:$G$60,$B$18:$B$60,$D$151,$D$18:$D$60,"Fora Ponta")),(SUMIFS($H$18:$H$60,$B$18:$B$60,$D$151,$D$18:$D$60,"Fora Ponta"))))</f>
        <v>0</v>
      </c>
      <c r="N162" s="1411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43" t="s">
        <v>1254</v>
      </c>
      <c r="K164" s="1744"/>
      <c r="L164" s="1745" t="s">
        <v>1255</v>
      </c>
      <c r="M164" s="1745"/>
      <c r="N164" s="283"/>
    </row>
    <row r="165" spans="3:14" ht="15.75">
      <c r="C165" s="1746" t="s">
        <v>1237</v>
      </c>
      <c r="D165" s="1747"/>
      <c r="F165" s="275"/>
      <c r="G165" s="1398" t="s">
        <v>714</v>
      </c>
      <c r="H165" s="1399" t="s">
        <v>1256</v>
      </c>
      <c r="I165" s="1399" t="s">
        <v>1257</v>
      </c>
      <c r="J165" s="1400" t="s">
        <v>1258</v>
      </c>
      <c r="K165" s="1400" t="s">
        <v>1259</v>
      </c>
      <c r="L165" s="1400" t="s">
        <v>1258</v>
      </c>
      <c r="M165" s="1400" t="s">
        <v>1259</v>
      </c>
      <c r="N165" s="282" t="s">
        <v>1260</v>
      </c>
    </row>
    <row r="166" spans="3:14" ht="15.75">
      <c r="C166" s="1395" t="s">
        <v>1261</v>
      </c>
      <c r="D166" s="1412">
        <f>IF(D21="Ponta",B21,0)</f>
        <v>0</v>
      </c>
      <c r="E166" s="18"/>
      <c r="F166" s="275"/>
      <c r="G166" s="1402">
        <f>G151</f>
        <v>44317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403">
        <f>IF(MONTH(DataRevRea)=7,'Rede Básica + Ajuste'!J166,IF(G166&lt;$Q$69,(SUMIFS($E$18:$E$60,$B$18:$B$60,$D$166,$D$18:$D$60,"Ponta")),(SUMIFS($F$18:$F$60,$B$18:$B$60,$D$166,$D$18:$D$60,"Ponta"))))</f>
        <v>0</v>
      </c>
      <c r="M166" s="1403">
        <f>IF(MONTH(DataRevRea)=7,'Rede Básica + Ajuste'!K166,IF(G166&lt;$Q$69,(SUMIFS($E$18:$E$60,$B$18:$B$60,$D$166,$D$18:$D$60,"Fora Ponta")),(SUMIFS($F$18:$F$60,$B$18:$B$60,$D$166,$D$18:$D$60,"Fora Ponta"))))</f>
        <v>0</v>
      </c>
      <c r="N166" s="1404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44348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405" t="s">
        <v>1262</v>
      </c>
      <c r="E168" s="1406" t="s">
        <v>1263</v>
      </c>
      <c r="F168" s="275"/>
      <c r="G168" s="276">
        <f t="shared" si="33"/>
        <v>44378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407" t="str">
        <f>C154</f>
        <v>Cobertura 2021</v>
      </c>
      <c r="D169" s="1408">
        <f>SUMPRODUCT(H166:H177,J166:J177)</f>
        <v>0</v>
      </c>
      <c r="E169" s="1408">
        <f>SUMPRODUCT(I166:I177,K166:K177)</f>
        <v>0</v>
      </c>
      <c r="F169" s="275"/>
      <c r="G169" s="276">
        <f t="shared" si="33"/>
        <v>44409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407" t="s">
        <v>1264</v>
      </c>
      <c r="D170" s="1408">
        <f>SUMPRODUCT(H166:H177,L166:L177)</f>
        <v>0</v>
      </c>
      <c r="E170" s="1408">
        <f>SUMPRODUCT(I166:I177,M166:M177)</f>
        <v>0</v>
      </c>
      <c r="F170" s="275"/>
      <c r="G170" s="276">
        <f t="shared" si="33"/>
        <v>44440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44470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44501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44531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44562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44593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44621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409">
        <f t="shared" si="33"/>
        <v>44652</v>
      </c>
      <c r="H177" s="1410">
        <f>SUMIFS($Y$18:$Y$60,$B$18:$B$60,$D$166,$D$18:$D$60,"Ponta")</f>
        <v>0</v>
      </c>
      <c r="I177" s="1410">
        <f>SUMIFS($Y$18:$Y$60,$B$18:$B$60,$D$166,$D$18:$D$60,"Fora Ponta")</f>
        <v>0</v>
      </c>
      <c r="J177" s="1410">
        <f t="shared" si="34"/>
        <v>0</v>
      </c>
      <c r="K177" s="1410">
        <f t="shared" si="35"/>
        <v>0</v>
      </c>
      <c r="L177" s="1410">
        <f>IF(MONTH(DataRevRea)=7,'Rede Básica + Ajuste'!J177,IF(G177&lt;$Q$69,(SUMIFS($E$18:$E$60,$B$18:$B$60,$D$166,$D$18:$D$60,"Ponta")),(SUMIFS($F$18:$F$60,$B$18:$B$60,$D$166,$D$18:$D$60,"Ponta"))))</f>
        <v>0</v>
      </c>
      <c r="M177" s="1410">
        <f>IF(MONTH(DataRevRea)=7,'Rede Básica + Ajuste'!K177,IF(G177&lt;$Q$69,(SUMIFS($E$18:$E$60,$B$18:$B$60,$D$166,$D$18:$D$60,"Fora Ponta")),(SUMIFS($F$18:$F$60,$B$18:$B$60,$D$166,$D$18:$D$60,"Fora Ponta"))))</f>
        <v>0</v>
      </c>
      <c r="N177" s="1411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43" t="s">
        <v>1254</v>
      </c>
      <c r="K179" s="1744"/>
      <c r="L179" s="1745" t="s">
        <v>1255</v>
      </c>
      <c r="M179" s="1745"/>
      <c r="N179" s="283"/>
    </row>
    <row r="180" spans="3:14" ht="15.75">
      <c r="C180" s="1746" t="s">
        <v>1265</v>
      </c>
      <c r="D180" s="1747"/>
      <c r="F180" s="275"/>
      <c r="G180" s="1398" t="s">
        <v>714</v>
      </c>
      <c r="H180" s="1399" t="s">
        <v>1256</v>
      </c>
      <c r="I180" s="1399" t="s">
        <v>1257</v>
      </c>
      <c r="J180" s="1400" t="s">
        <v>1258</v>
      </c>
      <c r="K180" s="1400" t="s">
        <v>1259</v>
      </c>
      <c r="L180" s="1400" t="s">
        <v>1258</v>
      </c>
      <c r="M180" s="1400" t="s">
        <v>1259</v>
      </c>
      <c r="N180" s="282" t="s">
        <v>1260</v>
      </c>
    </row>
    <row r="181" spans="3:14" ht="15.75">
      <c r="C181" s="1395" t="s">
        <v>1261</v>
      </c>
      <c r="D181" s="1412">
        <f>IF(D21="Ponta",B21,0)</f>
        <v>0</v>
      </c>
      <c r="E181" s="18"/>
      <c r="F181" s="275"/>
      <c r="G181" s="1402">
        <f>G166</f>
        <v>44317</v>
      </c>
      <c r="H181" s="277">
        <f>H166</f>
        <v>0</v>
      </c>
      <c r="I181" s="277">
        <f>I166</f>
        <v>0</v>
      </c>
      <c r="J181" s="1403">
        <f>SUMIFS($G$18:$G$60,$B$18:$B$60,$D$181,$D$18:$D$60,"Ponta")</f>
        <v>0</v>
      </c>
      <c r="K181" s="1403">
        <f>SUMIFS($G$18:$G$60,$B$18:$B$60,$D$181,$D$18:$D$60,"Fora Ponta")</f>
        <v>0</v>
      </c>
      <c r="L181" s="1403">
        <f>IF(MONTH(DataRevRea)=7,'Rede Básica + Ajuste'!J181,IF(G181&lt;$Q$69,(SUMIFS($G$18:$G$60,$B$18:$B$60,$D$181,$D$18:$D$60,"Ponta")),(SUMIFS($H$18:$H$60,$B$18:$B$60,$D$181,$D$18:$D$60,"Ponta"))))</f>
        <v>0</v>
      </c>
      <c r="M181" s="1403">
        <f>IF(MONTH(DataRevRea)=7,'Rede Básica + Ajuste'!K181,IF(G181&lt;$Q$69,(SUMIFS($G$18:$G$60,$B$18:$B$60,$D$181,$D$18:$D$60,"Fora Ponta")),(SUMIFS($H$18:$H$60,$B$18:$B$60,$D$181,$D$18:$D$60,"Fora Ponta"))))</f>
        <v>0</v>
      </c>
      <c r="N181" s="1404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44348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405" t="s">
        <v>1262</v>
      </c>
      <c r="E183" s="1406" t="s">
        <v>1263</v>
      </c>
      <c r="F183" s="275"/>
      <c r="G183" s="276">
        <f t="shared" si="37"/>
        <v>44378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407" t="str">
        <f>C169</f>
        <v>Cobertura 2021</v>
      </c>
      <c r="D184" s="1408">
        <f>SUMPRODUCT(H181:H192,J181:J192)</f>
        <v>0</v>
      </c>
      <c r="E184" s="1408">
        <f>SUMPRODUCT(I181:I192,K181:K192)</f>
        <v>0</v>
      </c>
      <c r="F184" s="275"/>
      <c r="G184" s="276">
        <f t="shared" si="37"/>
        <v>44409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407" t="s">
        <v>1264</v>
      </c>
      <c r="D185" s="1408">
        <f>SUMPRODUCT(H181:H192,L181:L192)</f>
        <v>0</v>
      </c>
      <c r="E185" s="1408">
        <f>SUMPRODUCT(I181:I192,M181:M192)</f>
        <v>0</v>
      </c>
      <c r="F185" s="275"/>
      <c r="G185" s="276">
        <f t="shared" si="37"/>
        <v>44440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44470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44501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44531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44562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44593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44621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409">
        <f t="shared" si="37"/>
        <v>44652</v>
      </c>
      <c r="H192" s="1410">
        <f t="shared" si="37"/>
        <v>0</v>
      </c>
      <c r="I192" s="1410">
        <f t="shared" si="37"/>
        <v>0</v>
      </c>
      <c r="J192" s="1410">
        <f t="shared" si="38"/>
        <v>0</v>
      </c>
      <c r="K192" s="1410">
        <f t="shared" si="39"/>
        <v>0</v>
      </c>
      <c r="L192" s="1410">
        <f>IF(MONTH(DataRevRea)=7,'Rede Básica + Ajuste'!J192,IF(G192&lt;$Q$69,(SUMIFS($G$18:$G$60,$B$18:$B$60,$D$181,$D$18:$D$60,"Ponta")),(SUMIFS($H$18:$H$60,$B$18:$B$60,$D$181,$D$18:$D$60,"Ponta"))))</f>
        <v>0</v>
      </c>
      <c r="M192" s="1410">
        <f>IF(MONTH(DataRevRea)=7,'Rede Básica + Ajuste'!K192,IF(G192&lt;$Q$69,(SUMIFS($G$18:$G$60,$B$18:$B$60,$D$181,$D$18:$D$60,"Fora Ponta")),(SUMIFS($H$18:$H$60,$B$18:$B$60,$D$181,$D$18:$D$60,"Fora Ponta"))))</f>
        <v>0</v>
      </c>
      <c r="N192" s="1411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43" t="s">
        <v>1254</v>
      </c>
      <c r="K194" s="1744"/>
      <c r="L194" s="1745" t="s">
        <v>1255</v>
      </c>
      <c r="M194" s="1745"/>
      <c r="N194" s="283"/>
    </row>
    <row r="195" spans="3:14" ht="15.75">
      <c r="C195" s="1746" t="s">
        <v>1237</v>
      </c>
      <c r="D195" s="1747"/>
      <c r="F195" s="275"/>
      <c r="G195" s="1398" t="s">
        <v>714</v>
      </c>
      <c r="H195" s="1399" t="s">
        <v>1256</v>
      </c>
      <c r="I195" s="1399" t="s">
        <v>1257</v>
      </c>
      <c r="J195" s="1400" t="s">
        <v>1258</v>
      </c>
      <c r="K195" s="1400" t="s">
        <v>1259</v>
      </c>
      <c r="L195" s="1400" t="s">
        <v>1258</v>
      </c>
      <c r="M195" s="1400" t="s">
        <v>1259</v>
      </c>
      <c r="N195" s="282" t="s">
        <v>1260</v>
      </c>
    </row>
    <row r="196" spans="3:14" ht="15.75">
      <c r="C196" s="1395" t="s">
        <v>1261</v>
      </c>
      <c r="D196" s="1412">
        <f>IF(D22="Ponta",B22,0)</f>
        <v>0</v>
      </c>
      <c r="E196" s="18"/>
      <c r="F196" s="275"/>
      <c r="G196" s="1402">
        <f>G181</f>
        <v>44317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403">
        <f>SUMIFS($E$18:$E$60,$B$18:$B$60,$D$196,$D$18:$D$60,"Ponta")</f>
        <v>0</v>
      </c>
      <c r="K196" s="1403">
        <f>SUMIFS($E$18:$E$60,$B$18:$B$60,$D$196,$D$18:$D$60,"Fora Ponta")</f>
        <v>0</v>
      </c>
      <c r="L196" s="1403">
        <f>IF(MONTH(DataRevRea)=7,'Rede Básica + Ajuste'!J196,IF(G196&lt;$Q$69,(SUMIFS($E$18:$E$60,$B$18:$B$60,$D$196,$D$18:$D$60,"Ponta")),(SUMIFS($F$18:$F$60,$B$18:$B$60,$D$196,$D$18:$D$60,"Ponta"))))</f>
        <v>0</v>
      </c>
      <c r="M196" s="1403">
        <f>IF(MONTH(DataRevRea)=7,'Rede Básica + Ajuste'!K196,IF(G196&lt;$Q$69,(SUMIFS($E$18:$E$60,$B$18:$B$60,$D$196,$D$18:$D$60,"Fora Ponta")),(SUMIFS($F$18:$F$60,$B$18:$B$60,$D$196,$D$18:$D$60,"Fora Ponta"))))</f>
        <v>0</v>
      </c>
      <c r="N196" s="1404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44348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405" t="s">
        <v>1262</v>
      </c>
      <c r="E198" s="1406" t="s">
        <v>1263</v>
      </c>
      <c r="F198" s="275"/>
      <c r="G198" s="276">
        <f t="shared" si="41"/>
        <v>44378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407" t="str">
        <f>C184</f>
        <v>Cobertura 2021</v>
      </c>
      <c r="D199" s="1408">
        <f>SUMPRODUCT(H196:H207,J196:J207)</f>
        <v>0</v>
      </c>
      <c r="E199" s="1408">
        <f>SUMPRODUCT(I196:I207,K196:K207)</f>
        <v>0</v>
      </c>
      <c r="F199" s="275"/>
      <c r="G199" s="276">
        <f t="shared" si="41"/>
        <v>44409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407" t="s">
        <v>1264</v>
      </c>
      <c r="D200" s="1408">
        <f>SUMPRODUCT(H196:H207,L196:L207)</f>
        <v>0</v>
      </c>
      <c r="E200" s="1408">
        <f>SUMPRODUCT(I196:I207,M196:M207)</f>
        <v>0</v>
      </c>
      <c r="F200" s="275"/>
      <c r="G200" s="276">
        <f t="shared" si="41"/>
        <v>44440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44470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44501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44531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44562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44593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44621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409">
        <f t="shared" si="41"/>
        <v>44652</v>
      </c>
      <c r="H207" s="1410">
        <f>SUMIFS($Y$18:$Y$60,$B$18:$B$60,$D$196,$D$18:$D$60,"Ponta")</f>
        <v>0</v>
      </c>
      <c r="I207" s="1410">
        <f>SUMIFS($Y$18:$Y$60,$B$18:$B$60,$D$196,$D$18:$D$60,"Fora Ponta")</f>
        <v>0</v>
      </c>
      <c r="J207" s="1410">
        <f t="shared" si="42"/>
        <v>0</v>
      </c>
      <c r="K207" s="1410">
        <f t="shared" si="43"/>
        <v>0</v>
      </c>
      <c r="L207" s="1410">
        <f>IF(MONTH(DataRevRea)=7,'Rede Básica + Ajuste'!J207,IF(G207&lt;$Q$69,(SUMIFS($E$18:$E$60,$B$18:$B$60,$D$196,$D$18:$D$60,"Ponta")),(SUMIFS($F$18:$F$60,$B$18:$B$60,$D$196,$D$18:$D$60,"Ponta"))))</f>
        <v>0</v>
      </c>
      <c r="M207" s="1410">
        <f>IF(MONTH(DataRevRea)=7,'Rede Básica + Ajuste'!K207,IF(G207&lt;$Q$69,(SUMIFS($E$18:$E$60,$B$18:$B$60,$D$196,$D$18:$D$60,"Fora Ponta")),(SUMIFS($F$18:$F$60,$B$18:$B$60,$D$196,$D$18:$D$60,"Fora Ponta"))))</f>
        <v>0</v>
      </c>
      <c r="N207" s="1411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43" t="s">
        <v>1254</v>
      </c>
      <c r="K209" s="1744"/>
      <c r="L209" s="1745" t="s">
        <v>1255</v>
      </c>
      <c r="M209" s="1745"/>
      <c r="N209" s="283"/>
    </row>
    <row r="210" spans="3:14" ht="15.75">
      <c r="C210" s="1746" t="s">
        <v>1265</v>
      </c>
      <c r="D210" s="1747"/>
      <c r="F210" s="275"/>
      <c r="G210" s="1398" t="s">
        <v>714</v>
      </c>
      <c r="H210" s="1399" t="s">
        <v>1256</v>
      </c>
      <c r="I210" s="1399" t="s">
        <v>1257</v>
      </c>
      <c r="J210" s="1400" t="s">
        <v>1258</v>
      </c>
      <c r="K210" s="1400" t="s">
        <v>1259</v>
      </c>
      <c r="L210" s="1400" t="s">
        <v>1258</v>
      </c>
      <c r="M210" s="1400" t="s">
        <v>1259</v>
      </c>
      <c r="N210" s="282" t="s">
        <v>1260</v>
      </c>
    </row>
    <row r="211" spans="3:14" ht="15.75">
      <c r="C211" s="1395" t="s">
        <v>1261</v>
      </c>
      <c r="D211" s="1412">
        <f>IF(D22="Ponta",B22,0)</f>
        <v>0</v>
      </c>
      <c r="E211" s="18"/>
      <c r="F211" s="275"/>
      <c r="G211" s="1402">
        <f>G196</f>
        <v>44317</v>
      </c>
      <c r="H211" s="277">
        <f>H196</f>
        <v>0</v>
      </c>
      <c r="I211" s="277">
        <f>I196</f>
        <v>0</v>
      </c>
      <c r="J211" s="1403">
        <f>SUMIFS($G$18:$G$60,$B$18:$B$60,$D$211,$D$18:$D$60,"Ponta")</f>
        <v>0</v>
      </c>
      <c r="K211" s="1403">
        <f>SUMIFS($G$18:$G$60,$B$18:$B$60,$D$211,$D$18:$D$60,"Fora Ponta")</f>
        <v>0</v>
      </c>
      <c r="L211" s="1403">
        <f>IF(MONTH(DataRevRea)=7,'Rede Básica + Ajuste'!J211,IF(G211&lt;$Q$69,(SUMIFS($G$18:$G$60,$B$18:$B$60,$D$211,$D$18:$D$60,"Ponta")),(SUMIFS($H$18:$H$60,$B$18:$B$60,$D$211,$D$18:$D$60,"Ponta"))))</f>
        <v>0</v>
      </c>
      <c r="M211" s="1403">
        <f>IF(MONTH(DataRevRea)=7,'Rede Básica + Ajuste'!K211,IF(G211&lt;$Q$69,(SUMIFS($G$18:$G$60,$B$18:$B$60,$D$211,$D$18:$D$60,"Fora Ponta")),(SUMIFS($H$18:$H$60,$B$18:$B$60,$D$211,$D$18:$D$60,"Fora Ponta"))))</f>
        <v>0</v>
      </c>
      <c r="N211" s="1404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44348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405" t="s">
        <v>1262</v>
      </c>
      <c r="E213" s="1406" t="s">
        <v>1263</v>
      </c>
      <c r="F213" s="275"/>
      <c r="G213" s="276">
        <f t="shared" si="45"/>
        <v>44378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407" t="str">
        <f>C199</f>
        <v>Cobertura 2021</v>
      </c>
      <c r="D214" s="1408">
        <f>SUMPRODUCT(H211:H222,J211:J222)</f>
        <v>0</v>
      </c>
      <c r="E214" s="1408">
        <f>SUMPRODUCT(I211:I222,K211:K222)</f>
        <v>0</v>
      </c>
      <c r="F214" s="275"/>
      <c r="G214" s="276">
        <f t="shared" si="45"/>
        <v>44409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407" t="s">
        <v>1264</v>
      </c>
      <c r="D215" s="1408">
        <f>SUMPRODUCT(H211:H222,L211:L222)</f>
        <v>0</v>
      </c>
      <c r="E215" s="1408">
        <f>SUMPRODUCT(I211:I222,M211:M222)</f>
        <v>0</v>
      </c>
      <c r="F215" s="275"/>
      <c r="G215" s="276">
        <f t="shared" si="45"/>
        <v>44440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44470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44501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44531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44562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44593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44621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409">
        <f t="shared" si="45"/>
        <v>44652</v>
      </c>
      <c r="H222" s="1410">
        <f t="shared" si="45"/>
        <v>0</v>
      </c>
      <c r="I222" s="1410">
        <f t="shared" si="45"/>
        <v>0</v>
      </c>
      <c r="J222" s="1410">
        <f t="shared" si="46"/>
        <v>0</v>
      </c>
      <c r="K222" s="1410">
        <f t="shared" si="47"/>
        <v>0</v>
      </c>
      <c r="L222" s="1410">
        <f>IF(MONTH(DataRevRea)=7,'Rede Básica + Ajuste'!J222,IF(G222&lt;$Q$69,(SUMIFS($G$18:$G$60,$B$18:$B$60,$D$211,$D$18:$D$60,"Ponta")),(SUMIFS($H$18:$H$60,$B$18:$B$60,$D$211,$D$18:$D$60,"Ponta"))))</f>
        <v>0</v>
      </c>
      <c r="M222" s="1410">
        <f>IF(MONTH(DataRevRea)=7,'Rede Básica + Ajuste'!K222,IF(G222&lt;$Q$69,(SUMIFS($G$18:$G$60,$B$18:$B$60,$D$211,$D$18:$D$60,"Fora Ponta")),(SUMIFS($H$18:$H$60,$B$18:$B$60,$D$211,$D$18:$D$60,"Fora Ponta"))))</f>
        <v>0</v>
      </c>
      <c r="N222" s="1411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65" t="s">
        <v>706</v>
      </c>
      <c r="C1" s="1162"/>
      <c r="D1" s="1066"/>
      <c r="E1" s="1379"/>
      <c r="F1" s="1379"/>
      <c r="G1" s="1275" t="s">
        <v>952</v>
      </c>
      <c r="H1" s="1276">
        <f ca="1">LnkTXTIRTEco</f>
        <v>0.25069999999999998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1266</v>
      </c>
      <c r="AL1" s="185">
        <v>7947</v>
      </c>
      <c r="AM1" s="184" t="s">
        <v>1267</v>
      </c>
    </row>
    <row r="2" spans="2:39" ht="15" thickBot="1">
      <c r="B2" s="138" t="str">
        <f>CAPA!C9</f>
        <v>Cerpro</v>
      </c>
      <c r="C2" s="70"/>
      <c r="D2" s="70"/>
      <c r="G2" s="121" t="s">
        <v>956</v>
      </c>
      <c r="H2" s="122">
        <f ca="1">LnkTXTIRTTotal</f>
        <v>0.19489999999999999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1268</v>
      </c>
      <c r="AL2" s="187">
        <v>7959</v>
      </c>
      <c r="AM2" s="188" t="s">
        <v>1269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1270</v>
      </c>
      <c r="AL4" s="171">
        <v>7972</v>
      </c>
      <c r="AM4" s="172" t="s">
        <v>1271</v>
      </c>
    </row>
    <row r="5" spans="2:39" ht="29.25" thickBot="1">
      <c r="B5" s="1383" t="s">
        <v>1272</v>
      </c>
      <c r="C5" s="1383" t="s">
        <v>1273</v>
      </c>
      <c r="D5" s="1383" t="s">
        <v>1274</v>
      </c>
      <c r="E5" s="1383" t="s">
        <v>1275</v>
      </c>
      <c r="F5" s="1383" t="s">
        <v>1276</v>
      </c>
      <c r="G5" s="1383" t="s">
        <v>1277</v>
      </c>
      <c r="J5" s="158" t="s">
        <v>1278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1279</v>
      </c>
      <c r="AL5" s="171">
        <v>7973</v>
      </c>
      <c r="AM5" s="172" t="s">
        <v>1280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848</v>
      </c>
      <c r="K6" s="169">
        <v>3</v>
      </c>
      <c r="AK6" s="170" t="s">
        <v>1281</v>
      </c>
      <c r="AL6" s="171">
        <v>7974</v>
      </c>
      <c r="AM6" s="172" t="s">
        <v>1282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1283</v>
      </c>
      <c r="AL7" s="171">
        <v>7977</v>
      </c>
      <c r="AM7" s="172" t="s">
        <v>1284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1285</v>
      </c>
      <c r="AL8" s="171">
        <v>7978</v>
      </c>
      <c r="AM8" s="172" t="s">
        <v>1286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1287</v>
      </c>
      <c r="AL9" s="171">
        <v>7979</v>
      </c>
      <c r="AM9" s="172" t="s">
        <v>1288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1289</v>
      </c>
      <c r="AL10" s="171">
        <v>8047</v>
      </c>
      <c r="AM10" s="172" t="s">
        <v>1290</v>
      </c>
    </row>
    <row r="11" spans="2:39" ht="15" thickBot="1">
      <c r="B11" s="1413" t="s">
        <v>836</v>
      </c>
      <c r="C11" s="1414">
        <f>SUM(C6:C10)</f>
        <v>0</v>
      </c>
      <c r="D11" s="1414">
        <f>SUM(D6:D10)</f>
        <v>0</v>
      </c>
      <c r="E11" s="1415">
        <f>SUM(E6:E10)</f>
        <v>0</v>
      </c>
      <c r="F11" s="1416"/>
      <c r="G11" s="1417">
        <f>SUM(G6:G10)</f>
        <v>0</v>
      </c>
      <c r="AK11" s="170" t="s">
        <v>1291</v>
      </c>
      <c r="AL11" s="171">
        <v>8049</v>
      </c>
      <c r="AM11" s="172" t="s">
        <v>1292</v>
      </c>
    </row>
    <row r="12" spans="2:39" ht="15" thickBot="1">
      <c r="B12" s="166"/>
      <c r="C12" s="165"/>
      <c r="D12" s="1418" t="s">
        <v>1293</v>
      </c>
      <c r="E12" s="1418"/>
      <c r="F12" s="1419">
        <f>IF(MONTH(CAPA!C15)&gt;6,DATE(YEAR(CAPA!C15),6,1),DATE(YEAR(CAPA!C15)-1,6,1))</f>
        <v>44348</v>
      </c>
      <c r="G12" s="189"/>
      <c r="AK12" s="170" t="s">
        <v>1294</v>
      </c>
      <c r="AL12" s="171">
        <v>8050</v>
      </c>
      <c r="AM12" s="172" t="s">
        <v>1295</v>
      </c>
    </row>
    <row r="13" spans="2:39" ht="15" thickBot="1">
      <c r="B13" s="182"/>
      <c r="C13" s="182"/>
      <c r="D13" s="182"/>
      <c r="F13" s="183" t="s">
        <v>1296</v>
      </c>
      <c r="AK13" s="170"/>
      <c r="AL13" s="171"/>
      <c r="AM13" s="172"/>
    </row>
    <row r="14" spans="2:39" ht="15" thickBot="1">
      <c r="B14" s="182"/>
      <c r="C14" s="182"/>
      <c r="AK14" s="170" t="s">
        <v>1297</v>
      </c>
      <c r="AL14" s="171">
        <v>8051</v>
      </c>
      <c r="AM14" s="172" t="s">
        <v>1298</v>
      </c>
    </row>
    <row r="15" spans="2:39" ht="29.25" thickBot="1">
      <c r="B15" s="1383" t="s">
        <v>1272</v>
      </c>
      <c r="C15" s="1383" t="s">
        <v>1273</v>
      </c>
      <c r="D15" s="1383" t="s">
        <v>1299</v>
      </c>
      <c r="E15" s="1383" t="s">
        <v>1300</v>
      </c>
      <c r="F15" s="151"/>
      <c r="AK15" s="170" t="s">
        <v>1301</v>
      </c>
      <c r="AL15" s="171">
        <v>8057</v>
      </c>
      <c r="AM15" s="172" t="s">
        <v>1302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1303</v>
      </c>
      <c r="AL16" s="171">
        <v>8058</v>
      </c>
      <c r="AM16" s="172" t="s">
        <v>1304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1305</v>
      </c>
      <c r="AL17" s="171">
        <v>8220</v>
      </c>
      <c r="AM17" s="172" t="s">
        <v>1306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1307</v>
      </c>
      <c r="AL18" s="171">
        <v>8221</v>
      </c>
      <c r="AM18" s="172" t="s">
        <v>1308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1309</v>
      </c>
      <c r="AL19" s="171">
        <v>8231</v>
      </c>
      <c r="AM19" s="172" t="s">
        <v>1310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1311</v>
      </c>
      <c r="AL20" s="171">
        <v>8261</v>
      </c>
      <c r="AM20" s="172" t="s">
        <v>1312</v>
      </c>
    </row>
    <row r="21" spans="2:39">
      <c r="B21" s="1413" t="s">
        <v>836</v>
      </c>
      <c r="C21" s="1420">
        <f>SUM(C16:C20)</f>
        <v>0</v>
      </c>
      <c r="D21" s="1420">
        <f>SUM(D16:D20)</f>
        <v>0</v>
      </c>
      <c r="E21" s="1420">
        <f>SUM(E16:E20)</f>
        <v>0</v>
      </c>
      <c r="F21" s="151"/>
      <c r="AK21" s="173" t="s">
        <v>1313</v>
      </c>
      <c r="AL21" s="174">
        <v>8263</v>
      </c>
      <c r="AM21" s="175" t="s">
        <v>1314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65" t="s">
        <v>1031</v>
      </c>
      <c r="C1" s="1162"/>
      <c r="D1" s="1421"/>
      <c r="E1" s="1422"/>
      <c r="F1" s="1422"/>
      <c r="G1" s="1275" t="s">
        <v>952</v>
      </c>
      <c r="H1" s="1381">
        <f ca="1">LnkTXTIRTEco</f>
        <v>0.25069999999999998</v>
      </c>
    </row>
    <row r="2" spans="1:16" ht="46.5" customHeight="1">
      <c r="B2" s="138" t="str">
        <f>CAPA!C9</f>
        <v>Cerpro</v>
      </c>
      <c r="C2" s="70"/>
      <c r="D2" s="70"/>
      <c r="G2" s="121" t="s">
        <v>956</v>
      </c>
      <c r="H2" s="148">
        <f ca="1">LnkTXTIRTTotal</f>
        <v>0.19489999999999999</v>
      </c>
      <c r="I2" s="91" t="s">
        <v>1315</v>
      </c>
    </row>
    <row r="3" spans="1:16">
      <c r="B3" s="1423" t="s">
        <v>1316</v>
      </c>
      <c r="C3" s="1424">
        <f>SUMPRODUCT(J6:J44,H6:H44)</f>
        <v>6028139.6394422995</v>
      </c>
      <c r="D3" s="73"/>
      <c r="E3" s="1423" t="s">
        <v>1206</v>
      </c>
      <c r="F3" s="68" t="s">
        <v>1317</v>
      </c>
      <c r="G3" s="1425">
        <f>LnkTXTDescTusdAnte</f>
        <v>0</v>
      </c>
      <c r="H3" s="91"/>
      <c r="I3" s="1426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1318</v>
      </c>
      <c r="B5" s="1427" t="s">
        <v>27</v>
      </c>
      <c r="C5" s="1427" t="s">
        <v>21</v>
      </c>
      <c r="D5" s="1427" t="s">
        <v>22</v>
      </c>
      <c r="E5" s="1427" t="s">
        <v>78</v>
      </c>
      <c r="F5" s="1427" t="s">
        <v>893</v>
      </c>
      <c r="G5" s="1427" t="s">
        <v>1319</v>
      </c>
      <c r="H5" s="1427" t="s">
        <v>60</v>
      </c>
      <c r="I5" s="1427" t="s">
        <v>1207</v>
      </c>
      <c r="J5" s="1427" t="s">
        <v>1208</v>
      </c>
      <c r="L5" s="68"/>
      <c r="M5" s="69"/>
    </row>
    <row r="6" spans="1:16">
      <c r="A6" s="68" t="s">
        <v>2238</v>
      </c>
      <c r="B6" s="149" t="s">
        <v>2239</v>
      </c>
      <c r="C6" s="149" t="s">
        <v>2218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141375.10999999999</v>
      </c>
      <c r="H6" s="149">
        <f>IF(B6="","",IF(LEFT(D6,7)="Demanda",G6,G6/1000))</f>
        <v>141375.10999999999</v>
      </c>
      <c r="I6" s="149">
        <f>IF(ISERROR(VLOOKUP(CONCATENATE(A6,A41,E6,F6),BD!$H$6:$V$30,14,FALSE)),"",VLOOKUP(CONCATENATE(A6,A41,E6,F6),BD!$H$6:$V$30,14,FALSE))</f>
        <v>12.84</v>
      </c>
      <c r="J6" s="149">
        <f>IF(ISERROR(I6*(1-$G$3)),"",I6*(1-$G$3))</f>
        <v>12.84</v>
      </c>
      <c r="L6" s="68"/>
      <c r="M6" s="69"/>
      <c r="N6" s="69"/>
    </row>
    <row r="7" spans="1:16">
      <c r="A7" s="68" t="s">
        <v>2238</v>
      </c>
      <c r="B7" s="149" t="s">
        <v>2239</v>
      </c>
      <c r="C7" s="149" t="s">
        <v>2218</v>
      </c>
      <c r="D7" s="149" t="s">
        <v>219</v>
      </c>
      <c r="E7" s="149" t="str">
        <f t="shared" ref="E7:E30" si="0">IF(ISERROR(VLOOKUP(D7,$A$36:$B$39,2,FALSE)),"",VLOOKUP(D7,$A$36:$B$39,2,FALSE))</f>
        <v>Ponta</v>
      </c>
      <c r="F7" s="149" t="str">
        <f t="shared" ref="F7:F30" si="1">IF(ISERROR(VLOOKUP(D7,$A$36:$C$39,3,FALSE)),"",VLOOKUP(D7,$A$36:$C$39,3,FALSE))</f>
        <v>Potência</v>
      </c>
      <c r="G7" s="149">
        <f>IF(B7="","",SUMIFS(Faturas!V:V,Faturas!R:R,CUSD!B7,Faturas!S:S,CUSD!C7,Faturas!U:U,CUSD!D7))</f>
        <v>121718.06999999998</v>
      </c>
      <c r="H7" s="149">
        <f t="shared" ref="H7:H30" si="2">IF(B7="","",IF(LEFT(D7,7)="Demanda",G7,G7/1000))</f>
        <v>121718.06999999998</v>
      </c>
      <c r="I7" s="149">
        <f>IF(ISERROR(VLOOKUP(CONCATENATE(A7,A42,E7,F7),BD!$H$6:$V$30,14,FALSE)),"",VLOOKUP(CONCATENATE(A7,A42,E7,F7),BD!$H$6:$V$30,14,FALSE))</f>
        <v>28.58</v>
      </c>
      <c r="J7" s="149">
        <f t="shared" ref="J7:J13" si="3">IF(ISERROR(I7*(1-$G$3)),"",I7*(1-$G$3))</f>
        <v>28.58</v>
      </c>
    </row>
    <row r="8" spans="1:16">
      <c r="A8" s="68" t="s">
        <v>2238</v>
      </c>
      <c r="B8" s="149" t="s">
        <v>2239</v>
      </c>
      <c r="C8" s="149" t="s">
        <v>2218</v>
      </c>
      <c r="D8" s="149" t="s">
        <v>221</v>
      </c>
      <c r="E8" s="149" t="str">
        <f t="shared" si="0"/>
        <v>Não se aplica</v>
      </c>
      <c r="F8" s="149" t="str">
        <f t="shared" si="1"/>
        <v>Energia</v>
      </c>
      <c r="G8" s="149">
        <f>IF(B8="","",SUMIFS(Faturas!V:V,Faturas!R:R,CUSD!B8,Faturas!S:S,CUSD!C8,Faturas!U:U,CUSD!D8))</f>
        <v>48688055.99000001</v>
      </c>
      <c r="H8" s="149">
        <f t="shared" si="2"/>
        <v>48688.055990000008</v>
      </c>
      <c r="I8" s="149">
        <f>IF(ISERROR(VLOOKUP(CONCATENATE(A8,A43,E8,F8),BD!$H$6:$V$30,14,FALSE)),"",VLOOKUP(CONCATENATE(A8,A43,E8,F8),BD!$H$6:$V$30,14,FALSE))</f>
        <v>13.69</v>
      </c>
      <c r="J8" s="149">
        <f t="shared" si="3"/>
        <v>13.69</v>
      </c>
      <c r="L8" s="68"/>
      <c r="M8" s="69"/>
    </row>
    <row r="9" spans="1:16">
      <c r="A9" s="68" t="s">
        <v>2238</v>
      </c>
      <c r="B9" s="149" t="s">
        <v>2239</v>
      </c>
      <c r="C9" s="149" t="s">
        <v>2218</v>
      </c>
      <c r="D9" s="149" t="s">
        <v>223</v>
      </c>
      <c r="E9" s="149" t="str">
        <f t="shared" si="0"/>
        <v>Não se aplica</v>
      </c>
      <c r="F9" s="149" t="str">
        <f t="shared" si="1"/>
        <v>Energia</v>
      </c>
      <c r="G9" s="149">
        <f>IF(B9="","",SUMIFS(Faturas!V:V,Faturas!R:R,CUSD!B9,Faturas!S:S,CUSD!C9,Faturas!U:U,CUSD!D9))</f>
        <v>4940927.6800000006</v>
      </c>
      <c r="H9" s="149">
        <f t="shared" si="2"/>
        <v>4940.9276800000007</v>
      </c>
      <c r="I9" s="149">
        <f>IF(ISERROR(VLOOKUP(CONCATENATE(A9,A44,E9,F9),BD!$H$6:$V$30,14,FALSE)),"",VLOOKUP(CONCATENATE(A9,A44,E9,F9),BD!$H$6:$V$30,14,FALSE))</f>
        <v>13.69</v>
      </c>
      <c r="J9" s="149">
        <f t="shared" si="3"/>
        <v>13.69</v>
      </c>
      <c r="L9" s="68"/>
      <c r="M9" s="69"/>
    </row>
    <row r="10" spans="1:16">
      <c r="B10" s="149"/>
      <c r="C10" s="149"/>
      <c r="D10" s="149"/>
      <c r="E10" s="149" t="str">
        <f t="shared" si="0"/>
        <v/>
      </c>
      <c r="F10" s="149" t="str">
        <f t="shared" si="1"/>
        <v/>
      </c>
      <c r="G10" s="149" t="str">
        <f>IF(B10="","",SUMIFS(Faturas!V:V,Faturas!R:R,CUSD!B10,Faturas!S:S,CUSD!C10,Faturas!U:U,CUSD!D10))</f>
        <v/>
      </c>
      <c r="H10" s="149" t="str">
        <f t="shared" si="2"/>
        <v/>
      </c>
      <c r="I10" s="149" t="str">
        <f>IF(ISERROR(VLOOKUP(CONCATENATE(A10,A45,E10,F10),BD!$H$6:$V$30,14,FALSE)),"",VLOOKUP(CONCATENATE(A10,A45,E10,F10),BD!$H$6:$V$30,14,FALSE))</f>
        <v/>
      </c>
      <c r="J10" s="149" t="str">
        <f t="shared" si="3"/>
        <v/>
      </c>
      <c r="L10" s="68"/>
      <c r="M10" s="69"/>
    </row>
    <row r="11" spans="1:16">
      <c r="B11" s="149"/>
      <c r="C11" s="149"/>
      <c r="D11" s="149"/>
      <c r="E11" s="149" t="str">
        <f t="shared" si="0"/>
        <v/>
      </c>
      <c r="F11" s="149" t="str">
        <f t="shared" si="1"/>
        <v/>
      </c>
      <c r="G11" s="149" t="str">
        <f>IF(B11="","",SUMIFS(Faturas!V:V,Faturas!R:R,CUSD!B11,Faturas!S:S,CUSD!C11,Faturas!U:U,CUSD!D11))</f>
        <v/>
      </c>
      <c r="H11" s="149" t="str">
        <f t="shared" si="2"/>
        <v/>
      </c>
      <c r="I11" s="149" t="str">
        <f>IF(ISERROR(VLOOKUP(CONCATENATE(A11,A46,E11,F11),BD!$H$6:$V$30,14,FALSE)),"",VLOOKUP(CONCATENATE(A11,A46,E11,F11),BD!$H$6:$V$30,14,FALSE))</f>
        <v/>
      </c>
      <c r="J11" s="149" t="str">
        <f t="shared" ref="J11" si="4">IF(ISERROR(I11*(1-$G$3)),"",I11*(1-$G$3))</f>
        <v/>
      </c>
      <c r="L11" s="754"/>
      <c r="M11" s="243"/>
      <c r="N11" s="244"/>
      <c r="O11" s="244"/>
      <c r="P11" s="244"/>
    </row>
    <row r="12" spans="1:16">
      <c r="B12" s="149"/>
      <c r="C12" s="149"/>
      <c r="D12" s="149"/>
      <c r="E12" s="149" t="str">
        <f t="shared" si="0"/>
        <v/>
      </c>
      <c r="F12" s="149" t="str">
        <f t="shared" si="1"/>
        <v/>
      </c>
      <c r="G12" s="149" t="str">
        <f>IF(B12="","",SUMIFS(Faturas!V:V,Faturas!R:R,CUSD!B12,Faturas!S:S,CUSD!C12,Faturas!U:U,CUSD!D12))</f>
        <v/>
      </c>
      <c r="H12" s="149" t="str">
        <f t="shared" si="2"/>
        <v/>
      </c>
      <c r="I12" s="149" t="str">
        <f>IF(ISERROR(VLOOKUP(CONCATENATE(A12,A47,E12,F12),BD!$H$6:$V$30,14,FALSE)),"",VLOOKUP(CONCATENATE(A12,A47,E12,F12),BD!$H$6:$V$30,14,FALSE))</f>
        <v/>
      </c>
      <c r="J12" s="149" t="str">
        <f t="shared" si="3"/>
        <v/>
      </c>
      <c r="N12" s="244"/>
      <c r="O12" s="244"/>
      <c r="P12" s="244"/>
    </row>
    <row r="13" spans="1:16">
      <c r="B13" s="149"/>
      <c r="C13" s="149"/>
      <c r="D13" s="149"/>
      <c r="E13" s="149" t="str">
        <f t="shared" si="0"/>
        <v/>
      </c>
      <c r="F13" s="149" t="str">
        <f t="shared" si="1"/>
        <v/>
      </c>
      <c r="G13" s="149" t="str">
        <f>IF(B13="","",SUMIFS(Faturas!V:V,Faturas!R:R,CUSD!B13,Faturas!S:S,CUSD!C13,Faturas!U:U,CUSD!D13))</f>
        <v/>
      </c>
      <c r="H13" s="149" t="str">
        <f t="shared" si="2"/>
        <v/>
      </c>
      <c r="I13" s="149" t="str">
        <f>IF(ISERROR(VLOOKUP(CONCATENATE(A13,A48,E13,F13),BD!$H$6:$V$30,14,FALSE)),"",VLOOKUP(CONCATENATE(A13,A48,E13,F13),BD!$H$6:$V$30,14,FALSE))</f>
        <v/>
      </c>
      <c r="J13" s="149" t="str">
        <f t="shared" si="3"/>
        <v/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0"/>
        <v/>
      </c>
      <c r="F14" s="149" t="str">
        <f t="shared" si="1"/>
        <v/>
      </c>
      <c r="G14" s="149" t="str">
        <f>IF(B14="","",SUMIFS(Faturas!V:V,Faturas!R:R,CUSD!B14,Faturas!S:S,CUSD!C14,Faturas!U:U,CUSD!D14))</f>
        <v/>
      </c>
      <c r="H14" s="149" t="str">
        <f t="shared" si="2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0"/>
        <v/>
      </c>
      <c r="F15" s="149" t="str">
        <f t="shared" si="1"/>
        <v/>
      </c>
      <c r="G15" s="149" t="str">
        <f>IF(B15="","",SUMIFS(Faturas!V:V,Faturas!R:R,CUSD!B15,Faturas!S:S,CUSD!C15,Faturas!U:U,CUSD!D15))</f>
        <v/>
      </c>
      <c r="H15" s="149" t="str">
        <f t="shared" si="2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0"/>
        <v/>
      </c>
      <c r="F16" s="149" t="str">
        <f t="shared" si="1"/>
        <v/>
      </c>
      <c r="G16" s="149" t="str">
        <f>IF(B16="","",SUMIFS(Faturas!V:V,Faturas!R:R,CUSD!B16,Faturas!S:S,CUSD!C16,Faturas!U:U,CUSD!D16))</f>
        <v/>
      </c>
      <c r="H16" s="149" t="str">
        <f t="shared" si="2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0"/>
        <v/>
      </c>
      <c r="F17" s="149" t="str">
        <f t="shared" si="1"/>
        <v/>
      </c>
      <c r="G17" s="149" t="str">
        <f>IF(B17="","",SUMIFS(Faturas!V:V,Faturas!R:R,CUSD!B17,Faturas!S:S,CUSD!C17,Faturas!U:U,CUSD!D17))</f>
        <v/>
      </c>
      <c r="H17" s="149" t="str">
        <f t="shared" si="2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0"/>
        <v/>
      </c>
      <c r="F18" s="149" t="str">
        <f t="shared" si="1"/>
        <v/>
      </c>
      <c r="G18" s="149" t="str">
        <f>IF(B18="","",SUMIFS(Faturas!V:V,Faturas!R:R,CUSD!B18,Faturas!S:S,CUSD!C18,Faturas!U:U,CUSD!D18))</f>
        <v/>
      </c>
      <c r="H18" s="149" t="str">
        <f t="shared" si="2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0"/>
        <v/>
      </c>
      <c r="F19" s="149" t="str">
        <f t="shared" si="1"/>
        <v/>
      </c>
      <c r="G19" s="149" t="str">
        <f>IF(B19="","",SUMIFS(Faturas!V:V,Faturas!R:R,CUSD!B19,Faturas!S:S,CUSD!C19,Faturas!U:U,CUSD!D19))</f>
        <v/>
      </c>
      <c r="H19" s="149" t="str">
        <f t="shared" si="2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0"/>
        <v/>
      </c>
      <c r="F20" s="149" t="str">
        <f t="shared" si="1"/>
        <v/>
      </c>
      <c r="G20" s="149" t="str">
        <f>IF(B20="","",SUMIFS(Faturas!V:V,Faturas!R:R,CUSD!B20,Faturas!S:S,CUSD!C20,Faturas!U:U,CUSD!D20))</f>
        <v/>
      </c>
      <c r="H20" s="149" t="str">
        <f t="shared" si="2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0"/>
        <v/>
      </c>
      <c r="F21" s="149" t="str">
        <f t="shared" si="1"/>
        <v/>
      </c>
      <c r="G21" s="149" t="str">
        <f>IF(B21="","",SUMIFS(Faturas!V:V,Faturas!R:R,CUSD!B21,Faturas!S:S,CUSD!C21,Faturas!U:U,CUSD!D21))</f>
        <v/>
      </c>
      <c r="H21" s="149" t="str">
        <f t="shared" si="2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0"/>
        <v/>
      </c>
      <c r="F22" s="149" t="str">
        <f t="shared" si="1"/>
        <v/>
      </c>
      <c r="G22" s="149" t="str">
        <f>IF(B22="","",SUMIFS(Faturas!V:V,Faturas!R:R,CUSD!B22,Faturas!S:S,CUSD!C22,Faturas!U:U,CUSD!D22))</f>
        <v/>
      </c>
      <c r="H22" s="149" t="str">
        <f t="shared" si="2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0"/>
        <v/>
      </c>
      <c r="F23" s="149" t="str">
        <f t="shared" si="1"/>
        <v/>
      </c>
      <c r="G23" s="149" t="str">
        <f>IF(B23="","",SUMIFS(Faturas!V:V,Faturas!R:R,CUSD!B23,Faturas!S:S,CUSD!C23,Faturas!U:U,CUSD!D23))</f>
        <v/>
      </c>
      <c r="H23" s="149" t="str">
        <f t="shared" si="2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0"/>
        <v/>
      </c>
      <c r="F24" s="149" t="str">
        <f t="shared" si="1"/>
        <v/>
      </c>
      <c r="G24" s="149" t="str">
        <f>IF(B24="","",SUMIFS(Faturas!V:V,Faturas!R:R,CUSD!B24,Faturas!S:S,CUSD!C24,Faturas!U:U,CUSD!D24))</f>
        <v/>
      </c>
      <c r="H24" s="149" t="str">
        <f t="shared" si="2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0"/>
        <v/>
      </c>
      <c r="F25" s="149" t="str">
        <f t="shared" si="1"/>
        <v/>
      </c>
      <c r="G25" s="149" t="str">
        <f>IF(B25="","",SUMIFS(Faturas!V:V,Faturas!R:R,CUSD!B25,Faturas!S:S,CUSD!C25,Faturas!U:U,CUSD!D25))</f>
        <v/>
      </c>
      <c r="H25" s="149" t="str">
        <f t="shared" si="2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0"/>
        <v/>
      </c>
      <c r="F26" s="149" t="str">
        <f t="shared" si="1"/>
        <v/>
      </c>
      <c r="G26" s="149" t="str">
        <f>IF(B26="","",SUMIFS(Faturas!V:V,Faturas!R:R,CUSD!B26,Faturas!S:S,CUSD!C26,Faturas!U:U,CUSD!D26))</f>
        <v/>
      </c>
      <c r="H26" s="149" t="str">
        <f t="shared" si="2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0"/>
        <v/>
      </c>
      <c r="F27" s="149" t="str">
        <f t="shared" si="1"/>
        <v/>
      </c>
      <c r="G27" s="149" t="str">
        <f>IF(B27="","",SUMIFS(Faturas!V:V,Faturas!R:R,CUSD!B27,Faturas!S:S,CUSD!C27,Faturas!U:U,CUSD!D27))</f>
        <v/>
      </c>
      <c r="H27" s="149" t="str">
        <f t="shared" si="2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0"/>
        <v/>
      </c>
      <c r="F28" s="149" t="str">
        <f t="shared" si="1"/>
        <v/>
      </c>
      <c r="G28" s="149" t="str">
        <f>IF(B28="","",SUMIFS(Faturas!V:V,Faturas!R:R,CUSD!B28,Faturas!S:S,CUSD!C28,Faturas!U:U,CUSD!D28))</f>
        <v/>
      </c>
      <c r="H28" s="149" t="str">
        <f t="shared" si="2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0"/>
        <v/>
      </c>
      <c r="F29" s="149" t="str">
        <f t="shared" si="1"/>
        <v/>
      </c>
      <c r="G29" s="149" t="str">
        <f>IF(B29="","",SUMIFS(Faturas!V:V,Faturas!R:R,CUSD!B29,Faturas!S:S,CUSD!C29,Faturas!U:U,CUSD!D29))</f>
        <v/>
      </c>
      <c r="H29" s="149" t="str">
        <f t="shared" si="2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0"/>
        <v/>
      </c>
      <c r="F30" s="149" t="str">
        <f t="shared" si="1"/>
        <v/>
      </c>
      <c r="G30" s="149" t="str">
        <f>IF(B30="","",SUMIFS(Faturas!V:V,Faturas!R:R,CUSD!B30,Faturas!S:S,CUSD!C30,Faturas!U:U,CUSD!D30))</f>
        <v/>
      </c>
      <c r="H30" s="149" t="str">
        <f t="shared" si="2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1320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1321</v>
      </c>
      <c r="C36" s="292" t="s">
        <v>1322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1322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1323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1323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67"/>
  <sheetViews>
    <sheetView showGridLines="0" zoomScale="115" zoomScaleNormal="115" workbookViewId="0">
      <selection activeCell="C32" sqref="C32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1" style="68" customWidth="1"/>
    <col min="11" max="11" width="32.5703125" style="68" customWidth="1"/>
    <col min="12" max="12" width="25.85546875" style="68" bestFit="1" customWidth="1"/>
    <col min="13" max="13" width="8" style="68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65" t="s">
        <v>819</v>
      </c>
      <c r="C1" s="1378"/>
      <c r="D1" s="1378"/>
      <c r="E1" s="1378"/>
      <c r="F1" s="1066"/>
      <c r="G1" s="1066"/>
      <c r="H1" s="1275" t="s">
        <v>952</v>
      </c>
      <c r="I1" s="1276">
        <f ca="1">LnkTXTIRTEco</f>
        <v>0.25069999999999998</v>
      </c>
      <c r="J1" s="195"/>
      <c r="K1" s="196"/>
    </row>
    <row r="2" spans="1:15" s="197" customFormat="1" ht="27" customHeight="1">
      <c r="B2" s="138" t="str">
        <f>CAPA!C9</f>
        <v>Cerpro</v>
      </c>
      <c r="C2" s="70"/>
      <c r="D2" s="70"/>
      <c r="E2" s="70"/>
      <c r="F2" s="70"/>
      <c r="G2" s="70"/>
      <c r="H2" s="121" t="s">
        <v>956</v>
      </c>
      <c r="I2" s="122">
        <f ca="1">LnkTXTIRTTotal</f>
        <v>0.19489999999999999</v>
      </c>
    </row>
    <row r="3" spans="1:15">
      <c r="B3" s="1069" t="s">
        <v>1324</v>
      </c>
      <c r="C3" s="834"/>
      <c r="E3" s="834" t="str">
        <f>"Encargos "&amp;YEAR(CAPA!C14)</f>
        <v>Encargos 2021</v>
      </c>
      <c r="F3" s="834"/>
      <c r="H3" s="834"/>
      <c r="I3" s="834"/>
      <c r="J3" s="834"/>
      <c r="K3" s="834"/>
      <c r="L3" s="834"/>
      <c r="M3" s="834"/>
      <c r="N3" s="834"/>
      <c r="O3" s="834"/>
    </row>
    <row r="4" spans="1:15">
      <c r="E4" s="1383" t="s">
        <v>72</v>
      </c>
      <c r="F4" s="1383" t="s">
        <v>1325</v>
      </c>
      <c r="H4" s="72"/>
      <c r="I4" s="72"/>
    </row>
    <row r="5" spans="1:15">
      <c r="B5" s="1383" t="s">
        <v>72</v>
      </c>
      <c r="C5" s="1383" t="s">
        <v>37</v>
      </c>
      <c r="E5" s="68" t="s">
        <v>40</v>
      </c>
      <c r="F5" s="116">
        <f>CAPA!D42</f>
        <v>48628.475618986442</v>
      </c>
      <c r="H5" s="1748" t="s">
        <v>1326</v>
      </c>
      <c r="I5" s="1748"/>
      <c r="K5" s="1748" t="s">
        <v>1327</v>
      </c>
      <c r="L5" s="1748"/>
      <c r="N5" s="1748" t="s">
        <v>1328</v>
      </c>
      <c r="O5" s="1748"/>
    </row>
    <row r="6" spans="1:15">
      <c r="B6" s="68" t="s">
        <v>40</v>
      </c>
      <c r="C6" s="80">
        <f ca="1">L14</f>
        <v>56881.93393419528</v>
      </c>
      <c r="E6" s="68" t="s">
        <v>41</v>
      </c>
      <c r="F6" s="116">
        <f>CAPA!D43</f>
        <v>2909045.8783199997</v>
      </c>
      <c r="H6" s="201" t="s">
        <v>1329</v>
      </c>
      <c r="I6" s="202">
        <f ca="1">FornecimentoE+LivreE-Calc_Mercado!C16</f>
        <v>51080.022999999994</v>
      </c>
      <c r="K6" s="520" t="s">
        <v>821</v>
      </c>
      <c r="L6" s="423">
        <f ca="1">LnkTXTER</f>
        <v>10944.528595109821</v>
      </c>
      <c r="N6" s="203" t="s">
        <v>1330</v>
      </c>
      <c r="O6" s="404">
        <v>1E-14</v>
      </c>
    </row>
    <row r="7" spans="1:15" ht="13.5" customHeight="1">
      <c r="B7" s="68" t="s">
        <v>41</v>
      </c>
      <c r="C7" s="80">
        <f ca="1">I20+I19</f>
        <v>3950481.0116799995</v>
      </c>
      <c r="D7" s="198"/>
      <c r="E7" s="68" t="s">
        <v>126</v>
      </c>
      <c r="F7" s="116">
        <f>CAPA!D44</f>
        <v>0</v>
      </c>
      <c r="H7" s="1428" t="s">
        <v>1331</v>
      </c>
      <c r="I7" s="1429">
        <v>14.13</v>
      </c>
      <c r="K7" s="520" t="s">
        <v>1168</v>
      </c>
      <c r="L7" s="423">
        <f ca="1">Energia!L7</f>
        <v>40537.047999999995</v>
      </c>
      <c r="N7" s="203" t="s">
        <v>1332</v>
      </c>
      <c r="O7" s="204">
        <f ca="1">SUM(C12+C6+C9+C10+C8)</f>
        <v>778642.65892419522</v>
      </c>
    </row>
    <row r="8" spans="1:15">
      <c r="B8" s="68" t="s">
        <v>126</v>
      </c>
      <c r="C8" s="80">
        <v>0</v>
      </c>
      <c r="D8" s="198"/>
      <c r="E8" s="68" t="s">
        <v>46</v>
      </c>
      <c r="F8" s="116">
        <f>CAPA!D45</f>
        <v>0</v>
      </c>
      <c r="K8" s="520" t="s">
        <v>1171</v>
      </c>
      <c r="L8" s="423">
        <f ca="1">LnkTXTPerdas</f>
        <v>380.86959510982177</v>
      </c>
      <c r="N8" s="203" t="s">
        <v>793</v>
      </c>
      <c r="O8" s="269">
        <f>Resultado!D24</f>
        <v>6028139.6394422995</v>
      </c>
    </row>
    <row r="9" spans="1:15">
      <c r="B9" s="68" t="s">
        <v>1333</v>
      </c>
      <c r="C9" s="864">
        <f>IFERROR(VLOOKUP("ESS/EER",TabEncargosBancoConsolidados[],2,FALSE),0)</f>
        <v>0</v>
      </c>
      <c r="D9" s="69"/>
      <c r="E9" s="68" t="s">
        <v>47</v>
      </c>
      <c r="F9" s="116">
        <f>CAPA!D46</f>
        <v>506096.83951999998</v>
      </c>
      <c r="H9" s="1748" t="s">
        <v>1334</v>
      </c>
      <c r="I9" s="1748"/>
      <c r="K9" s="520" t="s">
        <v>1335</v>
      </c>
      <c r="L9" s="423">
        <f ca="1">SUM(L6:L7,-L8)</f>
        <v>51100.706999999995</v>
      </c>
      <c r="N9" s="203" t="s">
        <v>120</v>
      </c>
      <c r="O9" s="268">
        <f ca="1">Resultado!D33</f>
        <v>3329455.1935485285</v>
      </c>
    </row>
    <row r="10" spans="1:15">
      <c r="B10" s="68" t="s">
        <v>47</v>
      </c>
      <c r="C10" s="80">
        <f ca="1">IFERROR(Encargos!I7*I6,0)</f>
        <v>721760.7249899999</v>
      </c>
      <c r="D10" s="198"/>
      <c r="E10" s="1652" t="s">
        <v>49</v>
      </c>
      <c r="F10" s="116">
        <f>CAPA!D48</f>
        <v>0</v>
      </c>
      <c r="H10" s="1430" t="s">
        <v>1336</v>
      </c>
      <c r="I10" s="1431">
        <f ca="1">FornecimentoE_A1+Calc_Mercado!C10+Calc_Mercado!C11+Calc_Mercado!C114+Calc_Mercado!C115</f>
        <v>0</v>
      </c>
      <c r="K10" s="520" t="s">
        <v>1337</v>
      </c>
      <c r="L10" s="423">
        <f ca="1">SUM(L6:L7)</f>
        <v>51481.576595109815</v>
      </c>
      <c r="N10" s="203" t="s">
        <v>1338</v>
      </c>
      <c r="O10" s="204">
        <f>Resultado!D39</f>
        <v>10580562.18</v>
      </c>
    </row>
    <row r="11" spans="1:15">
      <c r="B11" s="68" t="s">
        <v>1339</v>
      </c>
      <c r="C11" s="80">
        <v>1E-4</v>
      </c>
      <c r="D11" s="198"/>
      <c r="E11" s="834" t="s">
        <v>2213</v>
      </c>
      <c r="F11" s="1297">
        <f>CAPA!D47</f>
        <v>0</v>
      </c>
      <c r="H11" s="201" t="s">
        <v>1340</v>
      </c>
      <c r="I11" s="141">
        <f ca="1">Calc_Mercado!C12+Calc_Mercado!C13+Calc_Mercado!C14+Calc_Mercado!C116+Calc_Mercado!C117</f>
        <v>42933.452999999994</v>
      </c>
      <c r="K11" s="520" t="s">
        <v>1341</v>
      </c>
      <c r="L11" s="423">
        <f>BD!C32</f>
        <v>0.73853222822962039</v>
      </c>
      <c r="N11" s="203" t="s">
        <v>1342</v>
      </c>
      <c r="O11" s="205">
        <f ca="1">IF(O6=0,0,O6*(SUM(O7:O10)-Q7))</f>
        <v>2.0716799671915025E-7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34" t="str">
        <f>"Encargos "&amp;YEAR(CAPA!C14)-1</f>
        <v>Encargos 2020</v>
      </c>
      <c r="F12" s="834"/>
      <c r="H12" s="201" t="s">
        <v>1343</v>
      </c>
      <c r="I12" s="141">
        <f ca="1">FornecimentoE_BT-Calc_Mercado!C16+Calc_Mercado!C119+Calc_Mercado!C118</f>
        <v>8146.57</v>
      </c>
      <c r="K12" s="520" t="s">
        <v>1344</v>
      </c>
      <c r="L12" s="45">
        <v>4.0000000000000001E-3</v>
      </c>
      <c r="N12" s="203" t="s">
        <v>1345</v>
      </c>
      <c r="O12" s="205">
        <f ca="1">Financeiros!D7</f>
        <v>-1100126.3068703734</v>
      </c>
    </row>
    <row r="13" spans="1:15">
      <c r="B13" s="1432" t="s">
        <v>845</v>
      </c>
      <c r="C13" s="1433">
        <f ca="1">SUM(C6:C12)</f>
        <v>4729123.6707041943</v>
      </c>
      <c r="D13" s="198"/>
      <c r="E13" s="1383" t="s">
        <v>72</v>
      </c>
      <c r="F13" s="1383" t="s">
        <v>1325</v>
      </c>
      <c r="H13" s="1434" t="s">
        <v>1346</v>
      </c>
      <c r="I13" s="1435">
        <v>23.38</v>
      </c>
      <c r="K13" s="1436" t="s">
        <v>1347</v>
      </c>
      <c r="L13" s="1437">
        <f ca="1">LnkTXTIParcelaBcomSub+Energia!F18</f>
        <v>10580562.18</v>
      </c>
      <c r="N13" s="1438" t="s">
        <v>1348</v>
      </c>
      <c r="O13" s="1439">
        <f ca="1">O12*O6+O11</f>
        <v>1.9616673365044652E-7</v>
      </c>
    </row>
    <row r="14" spans="1:15">
      <c r="E14" s="68" t="s">
        <v>40</v>
      </c>
      <c r="F14" s="1440">
        <f>BD!C37</f>
        <v>45721.016314766101</v>
      </c>
      <c r="H14" s="262" t="s">
        <v>1349</v>
      </c>
      <c r="I14" s="873">
        <v>31.67</v>
      </c>
      <c r="K14" s="1441" t="s">
        <v>40</v>
      </c>
      <c r="L14" s="1442">
        <f ca="1">L12*1/L11*L9/L10*L13</f>
        <v>56881.93393419528</v>
      </c>
    </row>
    <row r="15" spans="1:15">
      <c r="E15" s="68" t="s">
        <v>41</v>
      </c>
      <c r="F15" s="80">
        <f>BD!C35</f>
        <v>2640013.6424999996</v>
      </c>
      <c r="H15" s="1443" t="s">
        <v>1350</v>
      </c>
      <c r="I15" s="1444">
        <v>37.700000000000003</v>
      </c>
    </row>
    <row r="16" spans="1:15">
      <c r="E16" s="68" t="s">
        <v>126</v>
      </c>
      <c r="F16" s="80">
        <v>0</v>
      </c>
      <c r="H16" s="1331" t="s">
        <v>1351</v>
      </c>
      <c r="I16" s="1435">
        <v>55.4</v>
      </c>
      <c r="L16" s="124"/>
    </row>
    <row r="17" spans="2:13">
      <c r="E17" s="68" t="s">
        <v>46</v>
      </c>
      <c r="F17" s="80">
        <v>0</v>
      </c>
      <c r="H17" s="68" t="s">
        <v>1352</v>
      </c>
      <c r="I17" s="873">
        <v>75.06</v>
      </c>
      <c r="K17" s="69"/>
      <c r="L17" s="69"/>
    </row>
    <row r="18" spans="2:13">
      <c r="C18" s="108"/>
      <c r="D18" s="108"/>
      <c r="E18" s="68" t="s">
        <v>47</v>
      </c>
      <c r="F18" s="80">
        <f>BD!C36</f>
        <v>377752.96168999997</v>
      </c>
      <c r="G18" s="108"/>
      <c r="H18" s="834" t="s">
        <v>1353</v>
      </c>
      <c r="I18" s="1444">
        <v>89.35</v>
      </c>
    </row>
    <row r="19" spans="2:13">
      <c r="C19" s="108"/>
      <c r="D19" s="108"/>
      <c r="E19" s="834" t="s">
        <v>49</v>
      </c>
      <c r="F19" s="1445">
        <v>0</v>
      </c>
      <c r="G19" s="108"/>
      <c r="H19" s="68" t="s">
        <v>1354</v>
      </c>
      <c r="I19" s="69">
        <f ca="1">IF(CAPA!C10="S/SE/CO",Encargos!I10*Encargos!I16+Encargos!I11*Encargos!I17+Encargos!I12*Encargos!I18,Encargos!I10*Encargos!I13+Encargos!I11*Encargos!I14+Encargos!I12*Encargos!I15)</f>
        <v>3950481.0116799995</v>
      </c>
    </row>
    <row r="20" spans="2:13">
      <c r="C20" s="108"/>
      <c r="D20" s="108"/>
      <c r="F20" s="80"/>
      <c r="G20" s="108"/>
      <c r="H20" s="1446" t="s">
        <v>1355</v>
      </c>
      <c r="I20" s="1447">
        <f>IFERROR(VLOOKUP("CDE Covid",TabEncargosBancoConsolidados[],2,FALSE),0)</f>
        <v>0</v>
      </c>
    </row>
    <row r="21" spans="2:13" ht="15" customHeight="1">
      <c r="B21" s="1069" t="s">
        <v>1356</v>
      </c>
      <c r="C21" s="834"/>
      <c r="D21" s="834"/>
      <c r="E21" s="834"/>
      <c r="F21" s="834"/>
      <c r="G21" s="834"/>
      <c r="J21" s="834"/>
      <c r="K21" s="834"/>
      <c r="L21" s="834"/>
      <c r="M21" s="193"/>
    </row>
    <row r="22" spans="2:13">
      <c r="B22" s="271"/>
      <c r="C22" s="270"/>
      <c r="D22" s="270"/>
      <c r="E22" s="267"/>
    </row>
    <row r="23" spans="2:13">
      <c r="C23" s="198" t="s">
        <v>119</v>
      </c>
      <c r="D23" s="198" t="s">
        <v>1357</v>
      </c>
      <c r="E23" s="198"/>
      <c r="F23" s="198"/>
      <c r="G23" s="198"/>
      <c r="L23" s="193"/>
      <c r="M23" s="194"/>
    </row>
    <row r="24" spans="2:13" ht="16.5" customHeight="1">
      <c r="C24" s="1383" t="s">
        <v>2220</v>
      </c>
      <c r="D24" s="1383" t="s">
        <v>46</v>
      </c>
      <c r="E24" s="1383" t="s">
        <v>40</v>
      </c>
      <c r="F24" s="1383" t="s">
        <v>41</v>
      </c>
      <c r="G24" s="1383" t="s">
        <v>47</v>
      </c>
      <c r="H24" s="1383" t="s">
        <v>1358</v>
      </c>
      <c r="J24" s="1749" t="s">
        <v>1359</v>
      </c>
      <c r="K24" s="1749"/>
      <c r="L24" s="273"/>
    </row>
    <row r="25" spans="2:13">
      <c r="B25" s="272">
        <f>Indexador!B68</f>
        <v>44317</v>
      </c>
      <c r="C25" s="1288">
        <f ca="1">IF(CAPA!$C$113="Não",C41-C56,IF(Indexador!$B68&lt;CAPA!$C$114,0,C41-C56))</f>
        <v>0</v>
      </c>
      <c r="D25" s="1288">
        <f ca="1">IF(CAPA!$C$113="Não",D41-D56,IF(Indexador!$B68&lt;CAPA!$C$114,0,D41-D56))</f>
        <v>0</v>
      </c>
      <c r="E25" s="1288">
        <f ca="1">IF(CAPA!$C$113="Não",E41-E56,IF(Indexador!$B68&lt;CAPA!$C$114,0,E41-E56))</f>
        <v>679.84330981664198</v>
      </c>
      <c r="F25" s="1288">
        <f ca="1">IF(CAPA!$C$113="Não",F41-F56,IF(Indexador!$B68&lt;CAPA!$C$114,0,F41-F56))</f>
        <v>40835.64292355979</v>
      </c>
      <c r="G25" s="1288">
        <f ca="1">IF(CAPA!$C$113="Não",G41-G56,IF(Indexador!$B68&lt;CAPA!$C$114,0,G41-G56))</f>
        <v>7155.6698976539628</v>
      </c>
      <c r="H25" s="1288">
        <f ca="1">IF(CAPA!$C$113="Não",H41-H56,IF(Indexador!$B68&lt;CAPA!$C$114,0,H41-H56))</f>
        <v>48671.15613103038</v>
      </c>
      <c r="J25" s="68" t="s">
        <v>40</v>
      </c>
      <c r="K25" s="116">
        <f ca="1">Indexador!H80</f>
        <v>3034.2740746862569</v>
      </c>
      <c r="L25" s="80"/>
    </row>
    <row r="26" spans="2:13">
      <c r="B26" s="272">
        <f>Indexador!B69</f>
        <v>44348</v>
      </c>
      <c r="C26" s="116">
        <f ca="1">IF(CAPA!$C$113="Não",C42-C57,IF(Indexador!B69&lt;CAPA!$C$114,0,C42-C57))</f>
        <v>0</v>
      </c>
      <c r="D26" s="116">
        <f ca="1">IF(CAPA!$C$113="Não",D42-D57,IF(Indexador!$B69&lt;CAPA!$C$114,0,D42-D57))</f>
        <v>0</v>
      </c>
      <c r="E26" s="116">
        <f ca="1">IF(CAPA!$C$113="Não",E42-E57,IF(Indexador!$B69&lt;CAPA!$C$114,0,E42-E57))</f>
        <v>182.91695784968397</v>
      </c>
      <c r="F26" s="116">
        <f ca="1">IF(CAPA!$C$113="Não",F42-F57,IF(Indexador!$B69&lt;CAPA!$C$114,0,F42-F57))</f>
        <v>10925.175625862903</v>
      </c>
      <c r="G26" s="116">
        <f ca="1">IF(CAPA!$C$113="Não",G42-G57,IF(Indexador!$B69&lt;CAPA!$C$114,0,G42-G57))</f>
        <v>1899.6464694870665</v>
      </c>
      <c r="H26" s="116">
        <f ca="1">IF(CAPA!$C$113="Não",H42-H57,IF(Indexador!$B69&lt;CAPA!$C$114,0,H42-H57))</f>
        <v>13007.73905319965</v>
      </c>
      <c r="J26" s="68" t="s">
        <v>1360</v>
      </c>
      <c r="K26" s="116">
        <f ca="1">Indexador!J80+Indexador!L80</f>
        <v>184353.43642328435</v>
      </c>
      <c r="L26" s="80"/>
    </row>
    <row r="27" spans="2:13">
      <c r="B27" s="272">
        <f>Indexador!B70</f>
        <v>44378</v>
      </c>
      <c r="C27" s="116">
        <f ca="1">IF(CAPA!$C$113="Não",C43-C58,IF(Indexador!B70&lt;CAPA!$C$114,0,C43-C58))</f>
        <v>0</v>
      </c>
      <c r="D27" s="116">
        <f ca="1">IF(CAPA!$C$113="Não",D43-D58,IF(Indexador!$B70&lt;CAPA!$C$114,0,D43-D58))</f>
        <v>0</v>
      </c>
      <c r="E27" s="116">
        <f ca="1">IF(CAPA!$C$113="Não",E43-E58,IF(Indexador!$B70&lt;CAPA!$C$114,0,E43-E58))</f>
        <v>389.84667403352341</v>
      </c>
      <c r="F27" s="116">
        <f ca="1">IF(CAPA!$C$113="Não",F43-F58,IF(Indexador!$B70&lt;CAPA!$C$114,0,F43-F58))</f>
        <v>23395.076371515461</v>
      </c>
      <c r="G27" s="116">
        <f ca="1">IF(CAPA!$C$113="Não",G43-G58,IF(Indexador!$B70&lt;CAPA!$C$114,0,G43-G58))</f>
        <v>4099.0705379556093</v>
      </c>
      <c r="H27" s="116">
        <f ca="1">IF(CAPA!$C$113="Não",H43-H58,IF(Indexador!$B70&lt;CAPA!$C$114,0,H43-H58))</f>
        <v>27883.993583504576</v>
      </c>
      <c r="J27" s="68" t="s">
        <v>126</v>
      </c>
      <c r="K27" s="116">
        <f>0</f>
        <v>0</v>
      </c>
      <c r="L27" s="80"/>
    </row>
    <row r="28" spans="2:13">
      <c r="B28" s="272">
        <f>Indexador!B71</f>
        <v>44409</v>
      </c>
      <c r="C28" s="116">
        <f ca="1">IF(CAPA!$C$113="Não",C44-C59,IF(Indexador!B71&lt;CAPA!$C$114,0,C44-C59))</f>
        <v>0</v>
      </c>
      <c r="D28" s="116">
        <f ca="1">IF(CAPA!$C$113="Não",D44-D59,IF(Indexador!$B71&lt;CAPA!$C$114,0,D44-D59))</f>
        <v>0</v>
      </c>
      <c r="E28" s="116">
        <f ca="1">IF(CAPA!$C$113="Não",E44-E59,IF(Indexador!$B71&lt;CAPA!$C$114,0,E44-E59))</f>
        <v>374.76593365229019</v>
      </c>
      <c r="F28" s="116">
        <f ca="1">IF(CAPA!$C$113="Não",F44-F59,IF(Indexador!$B71&lt;CAPA!$C$114,0,F44-F59))</f>
        <v>22581.098886474909</v>
      </c>
      <c r="G28" s="116">
        <f ca="1">IF(CAPA!$C$113="Não",G44-G59,IF(Indexador!$B71&lt;CAPA!$C$114,0,G44-G59))</f>
        <v>3983.7921694108081</v>
      </c>
      <c r="H28" s="116">
        <f ca="1">IF(CAPA!$C$113="Não",H44-H59,IF(Indexador!$B71&lt;CAPA!$C$114,0,H44-H59))</f>
        <v>26939.656989537994</v>
      </c>
      <c r="J28" s="68" t="s">
        <v>46</v>
      </c>
      <c r="K28" s="116">
        <f ca="1">Indexador!F80</f>
        <v>0</v>
      </c>
      <c r="L28" s="80"/>
    </row>
    <row r="29" spans="2:13">
      <c r="B29" s="272">
        <f>Indexador!B72</f>
        <v>44440</v>
      </c>
      <c r="C29" s="116">
        <f ca="1">IF(CAPA!$C$113="Não",C45-C60,IF(Indexador!B72&lt;CAPA!$C$114,0,C45-C60))</f>
        <v>0</v>
      </c>
      <c r="D29" s="116">
        <f ca="1">IF(CAPA!$C$113="Não",D45-D60,IF(Indexador!$B72&lt;CAPA!$C$114,0,D45-D60))</f>
        <v>0</v>
      </c>
      <c r="E29" s="116">
        <f ca="1">IF(CAPA!$C$113="Não",E45-E60,IF(Indexador!$B72&lt;CAPA!$C$114,0,E45-E60))</f>
        <v>135.03261815145697</v>
      </c>
      <c r="F29" s="116">
        <f ca="1">IF(CAPA!$C$113="Não",F45-F60,IF(Indexador!$B72&lt;CAPA!$C$114,0,F45-F60))</f>
        <v>8234.6943943849474</v>
      </c>
      <c r="G29" s="116">
        <f ca="1">IF(CAPA!$C$113="Não",G45-G60,IF(Indexador!$B72&lt;CAPA!$C$114,0,G45-G60))</f>
        <v>1488.6515894885233</v>
      </c>
      <c r="H29" s="116">
        <f ca="1">IF(CAPA!$C$113="Não",H45-H60,IF(Indexador!$B72&lt;CAPA!$C$114,0,H45-H60))</f>
        <v>9858.3786020249245</v>
      </c>
      <c r="J29" s="68" t="s">
        <v>47</v>
      </c>
      <c r="K29" s="116">
        <f ca="1">Indexador!N80</f>
        <v>33003.699825291988</v>
      </c>
      <c r="L29" s="80"/>
    </row>
    <row r="30" spans="2:13">
      <c r="B30" s="272">
        <f>Indexador!B73</f>
        <v>44470</v>
      </c>
      <c r="C30" s="116">
        <f ca="1">IF(CAPA!$C$113="Não",C46-C61,IF(Indexador!B73&lt;CAPA!$C$114,0,C46-C61))</f>
        <v>0</v>
      </c>
      <c r="D30" s="116">
        <f ca="1">IF(CAPA!$C$113="Não",D46-D61,IF(Indexador!$B73&lt;CAPA!$C$114,0,D46-D61))</f>
        <v>0</v>
      </c>
      <c r="E30" s="116">
        <f ca="1">IF(CAPA!$C$113="Não",E46-E61,IF(Indexador!$B73&lt;CAPA!$C$114,0,E46-E61))</f>
        <v>476.19346875328574</v>
      </c>
      <c r="F30" s="116">
        <f ca="1">IF(CAPA!$C$113="Não",F46-F61,IF(Indexador!$B73&lt;CAPA!$C$114,0,F46-F61))</f>
        <v>29240.766042344621</v>
      </c>
      <c r="G30" s="116">
        <f ca="1">IF(CAPA!$C$113="Não",G46-G61,IF(Indexador!$B73&lt;CAPA!$C$114,0,G46-G61))</f>
        <v>5337.9146092731098</v>
      </c>
      <c r="H30" s="116">
        <f ca="1">IF(CAPA!$C$113="Não",H46-H61,IF(Indexador!$B73&lt;CAPA!$C$114,0,H46-H61))</f>
        <v>35054.874120371009</v>
      </c>
      <c r="J30" s="68" t="s">
        <v>49</v>
      </c>
      <c r="K30" s="116">
        <f ca="1">Indexador!D80</f>
        <v>0</v>
      </c>
      <c r="L30" s="80"/>
    </row>
    <row r="31" spans="2:13">
      <c r="B31" s="272">
        <f>Indexador!B74</f>
        <v>44501</v>
      </c>
      <c r="C31" s="116">
        <f ca="1">IF(CAPA!$C$113="Não",C47-C62,IF(Indexador!B74&lt;CAPA!$C$114,0,C47-C62))</f>
        <v>0</v>
      </c>
      <c r="D31" s="116">
        <f ca="1">IF(CAPA!$C$113="Não",D47-D62,IF(Indexador!$B74&lt;CAPA!$C$114,0,D47-D62))</f>
        <v>0</v>
      </c>
      <c r="E31" s="116">
        <f ca="1">IF(CAPA!$C$113="Não",E47-E62,IF(Indexador!$B74&lt;CAPA!$C$114,0,E47-E62))</f>
        <v>476.96525093644686</v>
      </c>
      <c r="F31" s="116">
        <f ca="1">IF(CAPA!$C$113="Não",F47-F62,IF(Indexador!$B74&lt;CAPA!$C$114,0,F47-F62))</f>
        <v>28690.604815014813</v>
      </c>
      <c r="G31" s="116">
        <f ca="1">IF(CAPA!$C$113="Não",G47-G62,IF(Indexador!$B74&lt;CAPA!$C$114,0,G47-G62))</f>
        <v>5044.3723933135552</v>
      </c>
      <c r="H31" s="116">
        <f ca="1">IF(CAPA!$C$113="Não",H47-H62,IF(Indexador!$B74&lt;CAPA!$C$114,0,H47-H62))</f>
        <v>34211.942459264799</v>
      </c>
      <c r="J31" s="834" t="s">
        <v>48</v>
      </c>
      <c r="K31" s="1328">
        <f ca="1">Indexador!L80</f>
        <v>0</v>
      </c>
      <c r="L31" s="80"/>
    </row>
    <row r="32" spans="2:13">
      <c r="B32" s="272">
        <f>Indexador!B75</f>
        <v>44531</v>
      </c>
      <c r="C32" s="116">
        <f ca="1">IF(CAPA!$C$113="Não",C48-C63,IF(Indexador!B75&lt;CAPA!$C$114,0,C48-C63))</f>
        <v>0</v>
      </c>
      <c r="D32" s="116">
        <f ca="1">IF(CAPA!$C$113="Não",D48-D63,IF(Indexador!$B75&lt;CAPA!$C$114,0,D48-D63))</f>
        <v>0</v>
      </c>
      <c r="E32" s="116">
        <f ca="1">IF(CAPA!$C$113="Não",E48-E63,IF(Indexador!$B75&lt;CAPA!$C$114,0,E48-E63))</f>
        <v>480.76316004176897</v>
      </c>
      <c r="F32" s="116">
        <f ca="1">IF(CAPA!$C$113="Não",F48-F63,IF(Indexador!$B75&lt;CAPA!$C$114,0,F48-F63))</f>
        <v>29355.361506632704</v>
      </c>
      <c r="G32" s="116">
        <f ca="1">IF(CAPA!$C$113="Não",G48-G63,IF(Indexador!$B75&lt;CAPA!$C$114,0,G48-G63))</f>
        <v>5303.9108983927217</v>
      </c>
      <c r="H32" s="116">
        <f ca="1">IF(CAPA!$C$113="Não",H48-H63,IF(Indexador!$B75&lt;CAPA!$C$114,0,H48-H63))</f>
        <v>35140.03556506717</v>
      </c>
      <c r="J32" s="71" t="s">
        <v>836</v>
      </c>
      <c r="K32" s="274">
        <f ca="1">SUM(K25:K30)</f>
        <v>220391.41032326259</v>
      </c>
      <c r="L32" s="80"/>
    </row>
    <row r="33" spans="2:12">
      <c r="B33" s="272">
        <f>Indexador!B76</f>
        <v>44562</v>
      </c>
      <c r="C33" s="116">
        <f ca="1">IF(CAPA!$C$113="Não",C49-C64,IF(Indexador!B76&lt;CAPA!$C$114,0,C49-C64))</f>
        <v>0</v>
      </c>
      <c r="D33" s="116">
        <f ca="1">IF(CAPA!$C$113="Não",D49-D64,IF(Indexador!$B76&lt;CAPA!$C$114,0,D49-D64))</f>
        <v>0</v>
      </c>
      <c r="E33" s="116">
        <f ca="1">IF(CAPA!$C$113="Não",E49-E64,IF(Indexador!$B76&lt;CAPA!$C$114,0,E49-E64))</f>
        <v>148.9688130484592</v>
      </c>
      <c r="F33" s="116">
        <f ca="1">IF(CAPA!$C$113="Não",F49-F64,IF(Indexador!$B76&lt;CAPA!$C$114,0,F49-F64))</f>
        <v>9202.782396491355</v>
      </c>
      <c r="G33" s="116">
        <f ca="1">IF(CAPA!$C$113="Não",G49-G64,IF(Indexador!$B76&lt;CAPA!$C$114,0,G49-G64))</f>
        <v>1693.7272042111435</v>
      </c>
      <c r="H33" s="116">
        <f ca="1">IF(CAPA!$C$113="Não",H49-H64,IF(Indexador!$B76&lt;CAPA!$C$114,0,H49-H64))</f>
        <v>11045.478413750941</v>
      </c>
      <c r="L33" s="80"/>
    </row>
    <row r="34" spans="2:12">
      <c r="B34" s="272">
        <f>Indexador!B77</f>
        <v>44593</v>
      </c>
      <c r="C34" s="116">
        <f ca="1">IF(CAPA!$C$113="Não",C50-C65,IF(Indexador!B77&lt;CAPA!$C$114,0,C50-C65))</f>
        <v>0</v>
      </c>
      <c r="D34" s="116">
        <f ca="1">IF(CAPA!$C$113="Não",D50-D65,IF(Indexador!$B77&lt;CAPA!$C$114,0,D50-D65))</f>
        <v>0</v>
      </c>
      <c r="E34" s="116">
        <f ca="1">IF(CAPA!$C$113="Não",E50-E65,IF(Indexador!$B77&lt;CAPA!$C$114,0,E50-E65))</f>
        <v>-194.36230333348067</v>
      </c>
      <c r="F34" s="116">
        <f ca="1">IF(CAPA!$C$113="Não",F50-F65,IF(Indexador!$B77&lt;CAPA!$C$114,0,F50-F65))</f>
        <v>-11518.072679613018</v>
      </c>
      <c r="G34" s="116">
        <f ca="1">IF(CAPA!$C$113="Não",G50-G65,IF(Indexador!$B77&lt;CAPA!$C$114,0,G50-G65))</f>
        <v>-1973.8366783779784</v>
      </c>
      <c r="H34" s="116">
        <f ca="1">IF(CAPA!$C$113="Não",H50-H65,IF(Indexador!$B77&lt;CAPA!$C$114,0,H50-H65))</f>
        <v>-13686.271661324485</v>
      </c>
      <c r="L34" s="80"/>
    </row>
    <row r="35" spans="2:12">
      <c r="B35" s="272">
        <f>Indexador!B78</f>
        <v>44621</v>
      </c>
      <c r="C35" s="116">
        <f ca="1">IF(CAPA!$C$113="Não",C51-C66,IF(Indexador!B78&lt;CAPA!$C$114,0,C51-C66))</f>
        <v>0</v>
      </c>
      <c r="D35" s="116">
        <f ca="1">IF(CAPA!$C$113="Não",D51-D66,IF(Indexador!$B78&lt;CAPA!$C$114,0,D51-D66))</f>
        <v>0</v>
      </c>
      <c r="E35" s="116">
        <f ca="1">IF(CAPA!$C$113="Não",E51-E66,IF(Indexador!$B78&lt;CAPA!$C$114,0,E51-E66))</f>
        <v>-194.36230333348067</v>
      </c>
      <c r="F35" s="116">
        <f ca="1">IF(CAPA!$C$113="Não",F51-F66,IF(Indexador!$B78&lt;CAPA!$C$114,0,F51-F66))</f>
        <v>-11518.072679613018</v>
      </c>
      <c r="G35" s="116">
        <f ca="1">IF(CAPA!$C$113="Não",G51-G66,IF(Indexador!$B78&lt;CAPA!$C$114,0,G51-G66))</f>
        <v>-1973.8366783779784</v>
      </c>
      <c r="H35" s="116">
        <f ca="1">IF(CAPA!$C$113="Não",H51-H66,IF(Indexador!$B78&lt;CAPA!$C$114,0,H51-H66))</f>
        <v>-13686.271661324485</v>
      </c>
      <c r="L35" s="80"/>
    </row>
    <row r="36" spans="2:12">
      <c r="B36" s="272">
        <f>Indexador!B79</f>
        <v>44652</v>
      </c>
      <c r="C36" s="1297">
        <f ca="1">IF(CAPA!$C$113="Não",C52-C67,IF(Indexador!B79&lt;CAPA!$C$114,0,C52-C67))</f>
        <v>0</v>
      </c>
      <c r="D36" s="1297">
        <f ca="1">IF(CAPA!$C$113="Não",D52-D67,IF(Indexador!$B79&lt;CAPA!$C$114,0,D52-D67))</f>
        <v>0</v>
      </c>
      <c r="E36" s="1297">
        <f ca="1">IF(CAPA!$C$113="Não",E52-E67,IF(Indexador!$B79&lt;CAPA!$C$114,0,E52-E67))</f>
        <v>-194.36230333348067</v>
      </c>
      <c r="F36" s="1297">
        <f ca="1">IF(CAPA!$C$113="Não",F52-F67,IF(Indexador!$B79&lt;CAPA!$C$114,0,F52-F67))</f>
        <v>-11518.072679613018</v>
      </c>
      <c r="G36" s="1297">
        <f ca="1">IF(CAPA!$C$113="Não",G52-G67,IF(Indexador!$B79&lt;CAPA!$C$114,0,G52-G67))</f>
        <v>-1973.8366783779784</v>
      </c>
      <c r="H36" s="1297">
        <f ca="1">IF(CAPA!$C$113="Não",H52-H67,IF(Indexador!$B79&lt;CAPA!$C$114,0,H52-H67))</f>
        <v>-13686.271661324485</v>
      </c>
      <c r="L36" s="80"/>
    </row>
    <row r="38" spans="2:12">
      <c r="I38" s="142"/>
    </row>
    <row r="39" spans="2:12">
      <c r="C39" s="198" t="s">
        <v>1325</v>
      </c>
      <c r="D39" s="198"/>
      <c r="E39" s="198"/>
      <c r="F39" s="198"/>
      <c r="I39" s="142"/>
    </row>
    <row r="40" spans="2:12">
      <c r="C40" s="1383" t="s">
        <v>2219</v>
      </c>
      <c r="D40" s="1383" t="s">
        <v>46</v>
      </c>
      <c r="E40" s="1383" t="s">
        <v>40</v>
      </c>
      <c r="F40" s="1383" t="s">
        <v>41</v>
      </c>
      <c r="G40" s="1383" t="s">
        <v>47</v>
      </c>
      <c r="H40" s="1383" t="s">
        <v>1361</v>
      </c>
      <c r="I40" s="142"/>
    </row>
    <row r="41" spans="2:12">
      <c r="B41" s="272">
        <f>Indexador!B37</f>
        <v>44317</v>
      </c>
      <c r="C41" s="1674">
        <f>-'Conta covid'!$C$17/12</f>
        <v>0</v>
      </c>
      <c r="D41" s="1448">
        <f>$F$8/12</f>
        <v>0</v>
      </c>
      <c r="E41" s="1288">
        <f t="shared" ref="E41:E52" si="0">$F$5/12</f>
        <v>4052.3729682488702</v>
      </c>
      <c r="F41" s="116">
        <f t="shared" ref="F41:F52" si="1">$F$6/12</f>
        <v>242420.48985999997</v>
      </c>
      <c r="G41" s="116">
        <f t="shared" ref="G41:G52" si="2">$F$9/12</f>
        <v>42174.736626666665</v>
      </c>
      <c r="H41" s="1449">
        <f t="shared" ref="H41:H52" si="3">SUM(C41:G41)</f>
        <v>288647.5994549155</v>
      </c>
      <c r="I41" s="142"/>
    </row>
    <row r="42" spans="2:12">
      <c r="B42" s="272">
        <f>Indexador!B38</f>
        <v>44348</v>
      </c>
      <c r="C42" s="116">
        <f>-'Conta covid'!$C$17/12</f>
        <v>0</v>
      </c>
      <c r="D42" s="142">
        <f t="shared" ref="D42:D52" si="4">$F$8/12</f>
        <v>0</v>
      </c>
      <c r="E42" s="116">
        <f t="shared" si="0"/>
        <v>4052.3729682488702</v>
      </c>
      <c r="F42" s="116">
        <f t="shared" si="1"/>
        <v>242420.48985999997</v>
      </c>
      <c r="G42" s="116">
        <f t="shared" si="2"/>
        <v>42174.736626666665</v>
      </c>
      <c r="H42" s="144">
        <f t="shared" si="3"/>
        <v>288647.5994549155</v>
      </c>
      <c r="I42" s="142"/>
    </row>
    <row r="43" spans="2:12">
      <c r="B43" s="272">
        <f>Indexador!B39</f>
        <v>44378</v>
      </c>
      <c r="C43" s="116">
        <f>-'Conta covid'!$C$17/12</f>
        <v>0</v>
      </c>
      <c r="D43" s="142">
        <f t="shared" si="4"/>
        <v>0</v>
      </c>
      <c r="E43" s="116">
        <f t="shared" si="0"/>
        <v>4052.3729682488702</v>
      </c>
      <c r="F43" s="116">
        <f t="shared" si="1"/>
        <v>242420.48985999997</v>
      </c>
      <c r="G43" s="116">
        <f t="shared" si="2"/>
        <v>42174.736626666665</v>
      </c>
      <c r="H43" s="144">
        <f t="shared" si="3"/>
        <v>288647.5994549155</v>
      </c>
      <c r="I43" s="142"/>
    </row>
    <row r="44" spans="2:12">
      <c r="B44" s="272">
        <f>Indexador!B40</f>
        <v>44409</v>
      </c>
      <c r="C44" s="116">
        <f>-'Conta covid'!$C$17/12</f>
        <v>0</v>
      </c>
      <c r="D44" s="142">
        <f t="shared" si="4"/>
        <v>0</v>
      </c>
      <c r="E44" s="116">
        <f t="shared" si="0"/>
        <v>4052.3729682488702</v>
      </c>
      <c r="F44" s="116">
        <f t="shared" si="1"/>
        <v>242420.48985999997</v>
      </c>
      <c r="G44" s="116">
        <f t="shared" si="2"/>
        <v>42174.736626666665</v>
      </c>
      <c r="H44" s="144">
        <f t="shared" si="3"/>
        <v>288647.5994549155</v>
      </c>
      <c r="I44" s="142"/>
    </row>
    <row r="45" spans="2:12">
      <c r="B45" s="272">
        <f>Indexador!B41</f>
        <v>44440</v>
      </c>
      <c r="C45" s="116">
        <f>-'Conta covid'!$C$17/12</f>
        <v>0</v>
      </c>
      <c r="D45" s="142">
        <f t="shared" si="4"/>
        <v>0</v>
      </c>
      <c r="E45" s="116">
        <f t="shared" si="0"/>
        <v>4052.3729682488702</v>
      </c>
      <c r="F45" s="116">
        <f t="shared" si="1"/>
        <v>242420.48985999997</v>
      </c>
      <c r="G45" s="116">
        <f t="shared" si="2"/>
        <v>42174.736626666665</v>
      </c>
      <c r="H45" s="144">
        <f t="shared" si="3"/>
        <v>288647.5994549155</v>
      </c>
    </row>
    <row r="46" spans="2:12">
      <c r="B46" s="272">
        <f>Indexador!B42</f>
        <v>44470</v>
      </c>
      <c r="C46" s="116">
        <f>-'Conta covid'!$C$17/12</f>
        <v>0</v>
      </c>
      <c r="D46" s="142">
        <f t="shared" si="4"/>
        <v>0</v>
      </c>
      <c r="E46" s="116">
        <f t="shared" si="0"/>
        <v>4052.3729682488702</v>
      </c>
      <c r="F46" s="116">
        <f t="shared" si="1"/>
        <v>242420.48985999997</v>
      </c>
      <c r="G46" s="116">
        <f t="shared" si="2"/>
        <v>42174.736626666665</v>
      </c>
      <c r="H46" s="144">
        <f t="shared" si="3"/>
        <v>288647.5994549155</v>
      </c>
    </row>
    <row r="47" spans="2:12">
      <c r="B47" s="272">
        <f>Indexador!B43</f>
        <v>44501</v>
      </c>
      <c r="C47" s="116">
        <f>-'Conta covid'!$C$17/12</f>
        <v>0</v>
      </c>
      <c r="D47" s="142">
        <f t="shared" si="4"/>
        <v>0</v>
      </c>
      <c r="E47" s="116">
        <f t="shared" si="0"/>
        <v>4052.3729682488702</v>
      </c>
      <c r="F47" s="116">
        <f t="shared" si="1"/>
        <v>242420.48985999997</v>
      </c>
      <c r="G47" s="116">
        <f t="shared" si="2"/>
        <v>42174.736626666665</v>
      </c>
      <c r="H47" s="144">
        <f t="shared" si="3"/>
        <v>288647.5994549155</v>
      </c>
    </row>
    <row r="48" spans="2:12">
      <c r="B48" s="272">
        <f>Indexador!B44</f>
        <v>44531</v>
      </c>
      <c r="C48" s="116">
        <f>-'Conta covid'!$C$17/12</f>
        <v>0</v>
      </c>
      <c r="D48" s="142">
        <f t="shared" si="4"/>
        <v>0</v>
      </c>
      <c r="E48" s="116">
        <f t="shared" si="0"/>
        <v>4052.3729682488702</v>
      </c>
      <c r="F48" s="116">
        <f t="shared" si="1"/>
        <v>242420.48985999997</v>
      </c>
      <c r="G48" s="116">
        <f t="shared" si="2"/>
        <v>42174.736626666665</v>
      </c>
      <c r="H48" s="144">
        <f t="shared" si="3"/>
        <v>288647.5994549155</v>
      </c>
    </row>
    <row r="49" spans="2:10">
      <c r="B49" s="272">
        <f>Indexador!B45</f>
        <v>44562</v>
      </c>
      <c r="C49" s="116">
        <f>-'Conta covid'!$C$17/12</f>
        <v>0</v>
      </c>
      <c r="D49" s="142">
        <f t="shared" si="4"/>
        <v>0</v>
      </c>
      <c r="E49" s="116">
        <f t="shared" si="0"/>
        <v>4052.3729682488702</v>
      </c>
      <c r="F49" s="116">
        <f t="shared" si="1"/>
        <v>242420.48985999997</v>
      </c>
      <c r="G49" s="116">
        <f t="shared" si="2"/>
        <v>42174.736626666665</v>
      </c>
      <c r="H49" s="144">
        <f t="shared" si="3"/>
        <v>288647.5994549155</v>
      </c>
    </row>
    <row r="50" spans="2:10">
      <c r="B50" s="272">
        <f>Indexador!B46</f>
        <v>44593</v>
      </c>
      <c r="C50" s="116">
        <f>-'Conta covid'!$C$17/12</f>
        <v>0</v>
      </c>
      <c r="D50" s="142">
        <f t="shared" si="4"/>
        <v>0</v>
      </c>
      <c r="E50" s="116">
        <f t="shared" si="0"/>
        <v>4052.3729682488702</v>
      </c>
      <c r="F50" s="116">
        <f t="shared" si="1"/>
        <v>242420.48985999997</v>
      </c>
      <c r="G50" s="116">
        <f t="shared" si="2"/>
        <v>42174.736626666665</v>
      </c>
      <c r="H50" s="144">
        <f t="shared" si="3"/>
        <v>288647.5994549155</v>
      </c>
    </row>
    <row r="51" spans="2:10">
      <c r="B51" s="272">
        <f>Indexador!B47</f>
        <v>44621</v>
      </c>
      <c r="C51" s="116">
        <f>-'Conta covid'!$C$17/12</f>
        <v>0</v>
      </c>
      <c r="D51" s="142">
        <f t="shared" si="4"/>
        <v>0</v>
      </c>
      <c r="E51" s="116">
        <f t="shared" si="0"/>
        <v>4052.3729682488702</v>
      </c>
      <c r="F51" s="116">
        <f t="shared" si="1"/>
        <v>242420.48985999997</v>
      </c>
      <c r="G51" s="116">
        <f t="shared" si="2"/>
        <v>42174.736626666665</v>
      </c>
      <c r="H51" s="144">
        <f t="shared" si="3"/>
        <v>288647.5994549155</v>
      </c>
    </row>
    <row r="52" spans="2:10">
      <c r="B52" s="272">
        <f>Indexador!B48</f>
        <v>44652</v>
      </c>
      <c r="C52" s="1297">
        <f>-'Conta covid'!$C$17/12</f>
        <v>0</v>
      </c>
      <c r="D52" s="1450">
        <f t="shared" si="4"/>
        <v>0</v>
      </c>
      <c r="E52" s="1297">
        <f t="shared" si="0"/>
        <v>4052.3729682488702</v>
      </c>
      <c r="F52" s="1297">
        <f t="shared" si="1"/>
        <v>242420.48985999997</v>
      </c>
      <c r="G52" s="1297">
        <f t="shared" si="2"/>
        <v>42174.736626666665</v>
      </c>
      <c r="H52" s="1451">
        <f t="shared" si="3"/>
        <v>288647.5994549155</v>
      </c>
    </row>
    <row r="54" spans="2:10">
      <c r="C54" s="68" t="s">
        <v>1362</v>
      </c>
      <c r="J54" s="198">
        <v>42491</v>
      </c>
    </row>
    <row r="55" spans="2:10">
      <c r="C55" s="1675" t="s">
        <v>2219</v>
      </c>
      <c r="D55" s="1383" t="s">
        <v>46</v>
      </c>
      <c r="E55" s="1383" t="s">
        <v>40</v>
      </c>
      <c r="F55" s="1383" t="s">
        <v>41</v>
      </c>
      <c r="G55" s="1383" t="s">
        <v>47</v>
      </c>
      <c r="H55" s="1383" t="s">
        <v>1361</v>
      </c>
      <c r="J55" s="1383" t="s">
        <v>48</v>
      </c>
    </row>
    <row r="56" spans="2:10">
      <c r="B56" s="272">
        <f t="shared" ref="B56:B67" si="5">B41</f>
        <v>44317</v>
      </c>
      <c r="C56" s="116">
        <f ca="1">IFERROR(Calc_Mercado!R63/(CAPA!$D$53/12)*'Conta covid'!$C$17/12,0)</f>
        <v>0</v>
      </c>
      <c r="D56" s="1452">
        <f ca="1">Calc_Mercado!F63</f>
        <v>0</v>
      </c>
      <c r="E56" s="1288">
        <f ca="1">Calc_Mercado!I63</f>
        <v>3372.5296584322282</v>
      </c>
      <c r="F56" s="1440">
        <f ca="1">Calc_Mercado!H63</f>
        <v>201584.84693644018</v>
      </c>
      <c r="G56" s="1440">
        <f ca="1">Calc_Mercado!G63</f>
        <v>35019.066729012702</v>
      </c>
      <c r="H56" s="1449">
        <f t="shared" ref="H56:H67" ca="1" si="6">SUM(C56:G56)</f>
        <v>239976.44332388512</v>
      </c>
      <c r="J56" s="1452">
        <f ca="1">IF(B56&lt;$J$54,0,Calc_Mercado!D63)</f>
        <v>0</v>
      </c>
    </row>
    <row r="57" spans="2:10">
      <c r="B57" s="272">
        <f t="shared" si="5"/>
        <v>44348</v>
      </c>
      <c r="C57" s="116">
        <f ca="1">IFERROR(Calc_Mercado!R64/(CAPA!$D$53/12)*'Conta covid'!$C$17/12,0)</f>
        <v>0</v>
      </c>
      <c r="D57" s="143">
        <f ca="1">Calc_Mercado!F64</f>
        <v>0</v>
      </c>
      <c r="E57" s="116">
        <f ca="1">Calc_Mercado!I64</f>
        <v>3869.4560103991862</v>
      </c>
      <c r="F57" s="80">
        <f ca="1">Calc_Mercado!H64</f>
        <v>231495.31423413707</v>
      </c>
      <c r="G57" s="80">
        <f ca="1">Calc_Mercado!G64</f>
        <v>40275.090157179598</v>
      </c>
      <c r="H57" s="144">
        <f t="shared" ca="1" si="6"/>
        <v>275639.86040171585</v>
      </c>
      <c r="J57" s="143">
        <f ca="1">IF(B57&lt;$J$54,0,Calc_Mercado!D64)</f>
        <v>0</v>
      </c>
    </row>
    <row r="58" spans="2:10">
      <c r="B58" s="272">
        <f t="shared" si="5"/>
        <v>44378</v>
      </c>
      <c r="C58" s="116">
        <f ca="1">IFERROR(Calc_Mercado!R65/(CAPA!$D$53/12)*'Conta covid'!$C$17/12,0)</f>
        <v>0</v>
      </c>
      <c r="D58" s="143">
        <f ca="1">Calc_Mercado!F65</f>
        <v>0</v>
      </c>
      <c r="E58" s="116">
        <f ca="1">Calc_Mercado!I65</f>
        <v>3662.5262942153468</v>
      </c>
      <c r="F58" s="80">
        <f ca="1">Calc_Mercado!H65</f>
        <v>219025.41348848451</v>
      </c>
      <c r="G58" s="80">
        <f ca="1">Calc_Mercado!G65</f>
        <v>38075.666088711056</v>
      </c>
      <c r="H58" s="144">
        <f t="shared" ca="1" si="6"/>
        <v>260763.60587141092</v>
      </c>
      <c r="J58" s="143">
        <f ca="1">IF(B58&lt;$J$54,0,Calc_Mercado!D65)</f>
        <v>0</v>
      </c>
    </row>
    <row r="59" spans="2:10">
      <c r="B59" s="272">
        <f t="shared" si="5"/>
        <v>44409</v>
      </c>
      <c r="C59" s="116">
        <f ca="1">IFERROR(Calc_Mercado!R66/(CAPA!$D$53/12)*'Conta covid'!$C$17/12,0)</f>
        <v>0</v>
      </c>
      <c r="D59" s="143">
        <f ca="1">Calc_Mercado!F66</f>
        <v>0</v>
      </c>
      <c r="E59" s="116">
        <f ca="1">Calc_Mercado!I66</f>
        <v>3677.60703459658</v>
      </c>
      <c r="F59" s="80">
        <f ca="1">Calc_Mercado!H66</f>
        <v>219839.39097352506</v>
      </c>
      <c r="G59" s="80">
        <f ca="1">Calc_Mercado!G66</f>
        <v>38190.944457255857</v>
      </c>
      <c r="H59" s="144">
        <f t="shared" ca="1" si="6"/>
        <v>261707.94246537751</v>
      </c>
      <c r="J59" s="143">
        <f ca="1">IF(B59&lt;$J$54,0,Calc_Mercado!D66)</f>
        <v>0</v>
      </c>
    </row>
    <row r="60" spans="2:10">
      <c r="B60" s="272">
        <f t="shared" si="5"/>
        <v>44440</v>
      </c>
      <c r="C60" s="116">
        <f ca="1">IFERROR(Calc_Mercado!R67/(CAPA!$D$53/12)*'Conta covid'!$C$17/12,0)</f>
        <v>0</v>
      </c>
      <c r="D60" s="143">
        <f ca="1">Calc_Mercado!F67</f>
        <v>0</v>
      </c>
      <c r="E60" s="116">
        <f ca="1">Calc_Mercado!I67</f>
        <v>3917.3403500974132</v>
      </c>
      <c r="F60" s="80">
        <f ca="1">Calc_Mercado!H67</f>
        <v>234185.79546561503</v>
      </c>
      <c r="G60" s="80">
        <f ca="1">Calc_Mercado!G67</f>
        <v>40686.085037178142</v>
      </c>
      <c r="H60" s="144">
        <f t="shared" ca="1" si="6"/>
        <v>278789.22085289058</v>
      </c>
      <c r="J60" s="143">
        <f ca="1">IF(B60&lt;$J$54,0,Calc_Mercado!D67)</f>
        <v>0</v>
      </c>
    </row>
    <row r="61" spans="2:10">
      <c r="B61" s="272">
        <f t="shared" si="5"/>
        <v>44470</v>
      </c>
      <c r="C61" s="116">
        <f ca="1">IFERROR(Calc_Mercado!R68/(CAPA!$D$53/12)*'Conta covid'!$C$17/12,0)</f>
        <v>0</v>
      </c>
      <c r="D61" s="143">
        <f ca="1">Calc_Mercado!F68</f>
        <v>0</v>
      </c>
      <c r="E61" s="116">
        <f ca="1">Calc_Mercado!I68</f>
        <v>3576.1794994955844</v>
      </c>
      <c r="F61" s="80">
        <f ca="1">Calc_Mercado!H68</f>
        <v>213179.72381765535</v>
      </c>
      <c r="G61" s="80">
        <f ca="1">Calc_Mercado!G68</f>
        <v>36836.822017393555</v>
      </c>
      <c r="H61" s="144">
        <f t="shared" ca="1" si="6"/>
        <v>253592.72533454449</v>
      </c>
      <c r="J61" s="143">
        <f ca="1">IF(B61&lt;$J$54,0,Calc_Mercado!D68)</f>
        <v>0</v>
      </c>
    </row>
    <row r="62" spans="2:10">
      <c r="B62" s="272">
        <f t="shared" si="5"/>
        <v>44501</v>
      </c>
      <c r="C62" s="116">
        <f ca="1">IFERROR(Calc_Mercado!R69/(CAPA!$D$53/12)*'Conta covid'!$C$17/12,0)</f>
        <v>0</v>
      </c>
      <c r="D62" s="143">
        <f ca="1">Calc_Mercado!F69</f>
        <v>0</v>
      </c>
      <c r="E62" s="116">
        <f ca="1">Calc_Mercado!I69</f>
        <v>3575.4077173124233</v>
      </c>
      <c r="F62" s="80">
        <f ca="1">Calc_Mercado!H69</f>
        <v>213729.88504498516</v>
      </c>
      <c r="G62" s="80">
        <f ca="1">Calc_Mercado!G69</f>
        <v>37130.36423335311</v>
      </c>
      <c r="H62" s="144">
        <f t="shared" ca="1" si="6"/>
        <v>254435.6569956507</v>
      </c>
      <c r="J62" s="143">
        <f ca="1">IF(B62&lt;$J$54,0,Calc_Mercado!D69)</f>
        <v>0</v>
      </c>
    </row>
    <row r="63" spans="2:10">
      <c r="B63" s="272">
        <f t="shared" si="5"/>
        <v>44531</v>
      </c>
      <c r="C63" s="116">
        <f ca="1">IFERROR(Calc_Mercado!R70/(CAPA!$D$53/12)*'Conta covid'!$C$17/12,0)</f>
        <v>0</v>
      </c>
      <c r="D63" s="143">
        <f ca="1">Calc_Mercado!F70</f>
        <v>0</v>
      </c>
      <c r="E63" s="116">
        <f ca="1">Calc_Mercado!I70</f>
        <v>3571.6098082071012</v>
      </c>
      <c r="F63" s="80">
        <f ca="1">Calc_Mercado!H70</f>
        <v>213065.12835336727</v>
      </c>
      <c r="G63" s="80">
        <f ca="1">Calc_Mercado!G70</f>
        <v>36870.825728273943</v>
      </c>
      <c r="H63" s="144">
        <f t="shared" ca="1" si="6"/>
        <v>253507.56388984833</v>
      </c>
      <c r="J63" s="143">
        <f ca="1">IF(B63&lt;$J$54,0,Calc_Mercado!D70)</f>
        <v>0</v>
      </c>
    </row>
    <row r="64" spans="2:10">
      <c r="B64" s="272">
        <f t="shared" si="5"/>
        <v>44562</v>
      </c>
      <c r="C64" s="116">
        <f ca="1">IFERROR(Calc_Mercado!R71/(CAPA!$D$53/12)*'Conta covid'!$C$17/12,0)</f>
        <v>0</v>
      </c>
      <c r="D64" s="143">
        <f ca="1">Calc_Mercado!F71</f>
        <v>0</v>
      </c>
      <c r="E64" s="116">
        <f ca="1">Calc_Mercado!I71</f>
        <v>3903.404155200411</v>
      </c>
      <c r="F64" s="80">
        <f ca="1">Calc_Mercado!H71</f>
        <v>233217.70746350862</v>
      </c>
      <c r="G64" s="80">
        <f ca="1">Calc_Mercado!G71</f>
        <v>40481.009422455521</v>
      </c>
      <c r="H64" s="144">
        <f t="shared" ca="1" si="6"/>
        <v>277602.12104116456</v>
      </c>
      <c r="J64" s="143">
        <f ca="1">IF(B64&lt;$J$54,0,Calc_Mercado!D71)</f>
        <v>0</v>
      </c>
    </row>
    <row r="65" spans="2:10">
      <c r="B65" s="272">
        <f t="shared" si="5"/>
        <v>44593</v>
      </c>
      <c r="C65" s="116">
        <f ca="1">IFERROR(Calc_Mercado!R72/(CAPA!$D$53/12)*'Conta covid'!$C$17/12,0)</f>
        <v>0</v>
      </c>
      <c r="D65" s="143">
        <f ca="1">Calc_Mercado!F72</f>
        <v>0</v>
      </c>
      <c r="E65" s="116">
        <f ca="1">Calc_Mercado!I72</f>
        <v>4246.7352715823508</v>
      </c>
      <c r="F65" s="80">
        <f ca="1">Calc_Mercado!H72</f>
        <v>253938.56253961299</v>
      </c>
      <c r="G65" s="80">
        <f ca="1">Calc_Mercado!G72</f>
        <v>44148.573305044643</v>
      </c>
      <c r="H65" s="144">
        <f t="shared" ca="1" si="6"/>
        <v>302333.87111623998</v>
      </c>
      <c r="J65" s="143">
        <f ca="1">IF(B65&lt;$J$54,0,Calc_Mercado!D72)</f>
        <v>0</v>
      </c>
    </row>
    <row r="66" spans="2:10">
      <c r="B66" s="272">
        <f t="shared" si="5"/>
        <v>44621</v>
      </c>
      <c r="C66" s="116">
        <f ca="1">IFERROR(Calc_Mercado!R73/(CAPA!$D$53/12)*'Conta covid'!$C$17/12,0)</f>
        <v>0</v>
      </c>
      <c r="D66" s="143">
        <f ca="1">Calc_Mercado!F73</f>
        <v>0</v>
      </c>
      <c r="E66" s="116">
        <f ca="1">Calc_Mercado!I73</f>
        <v>4246.7352715823508</v>
      </c>
      <c r="F66" s="80">
        <f ca="1">Calc_Mercado!H73</f>
        <v>253938.56253961299</v>
      </c>
      <c r="G66" s="80">
        <f ca="1">Calc_Mercado!G73</f>
        <v>44148.573305044643</v>
      </c>
      <c r="H66" s="144">
        <f t="shared" ca="1" si="6"/>
        <v>302333.87111623998</v>
      </c>
      <c r="J66" s="143">
        <f ca="1">IF(B66&lt;$J$54,0,Calc_Mercado!D73)</f>
        <v>0</v>
      </c>
    </row>
    <row r="67" spans="2:10">
      <c r="B67" s="272">
        <f t="shared" si="5"/>
        <v>44652</v>
      </c>
      <c r="C67" s="1297">
        <f ca="1">IFERROR(Calc_Mercado!R74/(CAPA!$D$53/12)*'Conta covid'!$C$17/12,0)</f>
        <v>0</v>
      </c>
      <c r="D67" s="1453">
        <f ca="1">Calc_Mercado!F74</f>
        <v>0</v>
      </c>
      <c r="E67" s="1297">
        <f ca="1">Calc_Mercado!I74</f>
        <v>4246.7352715823508</v>
      </c>
      <c r="F67" s="1445">
        <f ca="1">Calc_Mercado!H74</f>
        <v>253938.56253961299</v>
      </c>
      <c r="G67" s="1445">
        <f ca="1">Calc_Mercado!G74</f>
        <v>44148.573305044643</v>
      </c>
      <c r="H67" s="1451">
        <f t="shared" ca="1" si="6"/>
        <v>302333.87111623998</v>
      </c>
      <c r="J67" s="1453">
        <f ca="1">IF(B67&lt;$J$54,0,Calc_Mercado!D74)</f>
        <v>0</v>
      </c>
    </row>
  </sheetData>
  <mergeCells count="5">
    <mergeCell ref="N5:O5"/>
    <mergeCell ref="H5:I5"/>
    <mergeCell ref="H9:I9"/>
    <mergeCell ref="J24:K24"/>
    <mergeCell ref="K5:L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Z78"/>
  <sheetViews>
    <sheetView showGridLines="0" topLeftCell="A22" zoomScale="85" zoomScaleNormal="85" workbookViewId="0">
      <selection activeCell="C42" sqref="C42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54.5703125" style="68" customWidth="1"/>
    <col min="4" max="4" width="22.140625" style="108" bestFit="1" customWidth="1"/>
    <col min="5" max="5" width="16.28515625" style="1023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65" t="s">
        <v>800</v>
      </c>
      <c r="D1" s="1454"/>
      <c r="E1" s="1455"/>
      <c r="F1" s="834"/>
      <c r="G1" s="1275" t="s">
        <v>952</v>
      </c>
      <c r="H1" s="1276">
        <f ca="1">LnkTXTIRTEco</f>
        <v>0.25069999999999998</v>
      </c>
    </row>
    <row r="2" spans="3:19" ht="16.5">
      <c r="C2" s="639" t="str">
        <f>CAPA!B2</f>
        <v>Cerpro</v>
      </c>
      <c r="D2" s="641"/>
      <c r="E2" s="1017"/>
      <c r="F2" s="642"/>
      <c r="G2" s="643" t="s">
        <v>956</v>
      </c>
      <c r="H2" s="644">
        <f ca="1">LnkTXTIRTTotal</f>
        <v>0.19489999999999999</v>
      </c>
      <c r="I2" s="642"/>
      <c r="J2" s="642"/>
      <c r="K2" s="642"/>
      <c r="L2" s="642"/>
      <c r="M2" s="642"/>
      <c r="N2" s="642"/>
      <c r="O2" s="642"/>
      <c r="P2" s="642"/>
      <c r="Q2" s="642"/>
      <c r="R2" s="642"/>
    </row>
    <row r="3" spans="3:19" ht="16.5">
      <c r="C3" s="645"/>
      <c r="D3" s="641"/>
      <c r="E3" s="1017"/>
      <c r="F3" s="643"/>
      <c r="G3" s="644"/>
      <c r="H3" s="642"/>
      <c r="I3" s="642"/>
      <c r="J3" s="642"/>
      <c r="K3" s="642"/>
      <c r="L3" s="642"/>
      <c r="M3" s="642"/>
      <c r="N3" s="642"/>
      <c r="O3" s="642"/>
      <c r="P3" s="642"/>
      <c r="Q3" s="642"/>
      <c r="R3" s="642"/>
    </row>
    <row r="4" spans="3:19" ht="16.5">
      <c r="C4" s="1456" t="s">
        <v>1363</v>
      </c>
      <c r="D4" s="1457">
        <f ca="1">LnkTXTRA0</f>
        <v>19723496.496920004</v>
      </c>
      <c r="E4" s="1018"/>
      <c r="F4" s="642"/>
      <c r="G4" s="642"/>
      <c r="H4" s="642"/>
      <c r="I4" s="642"/>
      <c r="J4" s="646"/>
      <c r="K4" s="642"/>
      <c r="L4" s="642"/>
      <c r="M4" s="642"/>
      <c r="N4" s="642"/>
      <c r="O4" s="642"/>
      <c r="P4" s="642"/>
      <c r="Q4" s="642"/>
      <c r="R4" s="642"/>
    </row>
    <row r="5" spans="3:19" ht="16.5">
      <c r="C5" s="1458" t="s">
        <v>1364</v>
      </c>
      <c r="D5" s="1459">
        <f ca="1">IF(CAPA!P1="VERDADEIRO",D7,IFERROR(D7/(1+IF(Calc_Mercado!J15&gt;0,Calc_Mercado!J15,0)),0))</f>
        <v>-1100126.3068703734</v>
      </c>
      <c r="E5" s="1019"/>
      <c r="F5" s="736"/>
      <c r="G5" s="642"/>
      <c r="H5" s="642"/>
      <c r="I5" s="642"/>
      <c r="J5" s="646"/>
      <c r="K5" s="642"/>
      <c r="L5" s="642"/>
      <c r="M5" s="642"/>
      <c r="N5" s="642"/>
      <c r="O5" s="642"/>
      <c r="P5" s="642"/>
      <c r="Q5" s="642"/>
      <c r="R5" s="642"/>
    </row>
    <row r="6" spans="3:19" ht="16.5">
      <c r="C6" s="642"/>
      <c r="D6" s="1460"/>
      <c r="E6" s="1020"/>
      <c r="F6" s="642"/>
      <c r="G6" s="642"/>
      <c r="H6" s="646"/>
      <c r="I6" s="647"/>
      <c r="J6" s="642"/>
      <c r="K6" s="642"/>
      <c r="L6" s="642"/>
      <c r="M6" s="642"/>
      <c r="N6" s="642"/>
      <c r="O6" s="642"/>
      <c r="P6" s="642"/>
      <c r="Q6" s="642"/>
      <c r="R6" s="642"/>
    </row>
    <row r="7" spans="3:19" ht="16.5">
      <c r="C7" s="1461" t="s">
        <v>1365</v>
      </c>
      <c r="D7" s="1462">
        <f ca="1">SUM(D10:D77)-LnkTxTAjusteCUST-D29</f>
        <v>-1100126.3068703734</v>
      </c>
      <c r="E7" s="1463">
        <f ca="1">SUM(E10:E77)-E24-E29</f>
        <v>-5.5777448336412745E-2</v>
      </c>
      <c r="F7" s="648" t="s">
        <v>1366</v>
      </c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</row>
    <row r="8" spans="3:19" ht="16.5">
      <c r="C8" s="1464" t="s">
        <v>1367</v>
      </c>
      <c r="D8" s="1465" t="s">
        <v>37</v>
      </c>
      <c r="E8" s="1466" t="s">
        <v>1368</v>
      </c>
      <c r="F8" s="1464" t="s">
        <v>1369</v>
      </c>
      <c r="G8" s="1464" t="s">
        <v>1370</v>
      </c>
      <c r="H8" s="1464" t="s">
        <v>1371</v>
      </c>
      <c r="I8" s="1464" t="s">
        <v>1372</v>
      </c>
      <c r="J8" s="1464" t="s">
        <v>1373</v>
      </c>
      <c r="K8" s="1464" t="s">
        <v>1374</v>
      </c>
      <c r="L8" s="1464" t="s">
        <v>802</v>
      </c>
      <c r="M8" s="642"/>
      <c r="N8" s="642"/>
      <c r="O8" s="642"/>
      <c r="P8" s="642"/>
      <c r="Q8" s="642"/>
      <c r="R8" s="642"/>
    </row>
    <row r="9" spans="3:19" ht="16.5">
      <c r="C9" s="649" t="s">
        <v>1375</v>
      </c>
      <c r="D9" s="650">
        <f>ABS(Indexador!D49)</f>
        <v>387731.83742470801</v>
      </c>
      <c r="E9" s="1021">
        <f t="shared" ref="E9:E72" ca="1" si="0">IF(ISERROR(D9/$D$4),0,D9/$D$4)</f>
        <v>1.9658372311687013E-2</v>
      </c>
      <c r="F9" s="649"/>
      <c r="G9" s="649"/>
      <c r="H9" s="649"/>
      <c r="I9" s="649"/>
      <c r="J9" s="649"/>
      <c r="K9" s="649"/>
      <c r="L9" s="642"/>
      <c r="M9" s="642"/>
      <c r="N9" s="642"/>
      <c r="O9" s="642"/>
      <c r="P9" s="642"/>
      <c r="Q9" s="642"/>
      <c r="R9" s="642"/>
      <c r="S9" s="398"/>
    </row>
    <row r="10" spans="3:19" ht="16.5">
      <c r="C10" s="642" t="s">
        <v>1376</v>
      </c>
      <c r="D10" s="890">
        <f ca="1">IFERROR(ABS(Indexador!D49)*Resultado!C32/(Resultado!C32+Resultado!C33),0)</f>
        <v>241000.99150086846</v>
      </c>
      <c r="E10" s="1022">
        <f ca="1">IF(ISERROR(D10/$D$4),0,D10/$D$4)</f>
        <v>1.2218979101322266E-2</v>
      </c>
      <c r="F10" s="642">
        <v>22</v>
      </c>
      <c r="G10" s="642">
        <v>60</v>
      </c>
      <c r="H10" s="642">
        <v>999</v>
      </c>
      <c r="I10" s="642">
        <v>1</v>
      </c>
      <c r="J10" s="642">
        <v>7</v>
      </c>
      <c r="K10" s="642">
        <v>9</v>
      </c>
      <c r="L10" s="642"/>
      <c r="M10" s="642"/>
      <c r="N10" s="642"/>
      <c r="O10" s="642"/>
      <c r="P10" s="642"/>
      <c r="Q10" s="798"/>
      <c r="R10" s="642"/>
    </row>
    <row r="11" spans="3:19" ht="16.5">
      <c r="C11" s="642" t="s">
        <v>1377</v>
      </c>
      <c r="D11" s="890">
        <f ca="1">IFERROR(ABS(Indexador!D49)*(Resultado!C33/(Resultado!C32+Resultado!C33)),0)</f>
        <v>146730.84592383954</v>
      </c>
      <c r="E11" s="1022">
        <f ca="1">IF(ISERROR(D11/$D$4),0,D11/$D$4)</f>
        <v>7.4393932103647463E-3</v>
      </c>
      <c r="F11" s="642">
        <v>22</v>
      </c>
      <c r="G11" s="642">
        <v>60</v>
      </c>
      <c r="H11" s="642">
        <v>999</v>
      </c>
      <c r="I11" s="642">
        <v>2</v>
      </c>
      <c r="J11" s="642">
        <v>30</v>
      </c>
      <c r="K11" s="642">
        <v>9</v>
      </c>
      <c r="L11" s="642"/>
      <c r="M11" s="651" t="s">
        <v>22</v>
      </c>
      <c r="N11" s="651" t="s">
        <v>1378</v>
      </c>
      <c r="O11" s="651" t="s">
        <v>37</v>
      </c>
      <c r="P11" s="652" t="s">
        <v>1368</v>
      </c>
      <c r="Q11" s="798"/>
      <c r="R11" s="642"/>
    </row>
    <row r="12" spans="3:19" ht="16.5">
      <c r="C12" s="642" t="str">
        <f>"(Neutralidade) "&amp;Encargos!E5</f>
        <v>(Neutralidade) TFSEE</v>
      </c>
      <c r="D12" s="890">
        <f ca="1">Encargos!K25</f>
        <v>3034.2740746862569</v>
      </c>
      <c r="E12" s="1022">
        <f t="shared" ca="1" si="0"/>
        <v>1.5384057665232355E-4</v>
      </c>
      <c r="F12" s="642">
        <v>20</v>
      </c>
      <c r="G12" s="642">
        <v>60</v>
      </c>
      <c r="H12" s="642">
        <v>20</v>
      </c>
      <c r="I12" s="642">
        <v>3</v>
      </c>
      <c r="J12" s="642">
        <v>14</v>
      </c>
      <c r="K12" s="642">
        <v>9</v>
      </c>
      <c r="L12" s="642"/>
      <c r="M12" s="642" t="str">
        <f t="shared" ref="M12:M25" ca="1" si="1">IF(O12=0,,"CVA")</f>
        <v>CVA</v>
      </c>
      <c r="N12" s="642" t="str">
        <f ca="1">IF(Tabela1[[#This Row],[Percentual]]=0,,Tabela1[[#This Row],[Nome do Financeiro]])</f>
        <v>(Neutralidade) TFSEE</v>
      </c>
      <c r="O12" s="642">
        <f ca="1">IF(ISNUMBER(Tabela1[[#This Row],[Valor]]),Tabela1[[#This Row],[Valor]],)</f>
        <v>3034.2740746862569</v>
      </c>
      <c r="P12" s="642">
        <f ca="1">IF(Tabela1[[#This Row],[Percentual]]=0,,Tabela1[[#This Row],[Percentual]])</f>
        <v>1.5384057665232355E-4</v>
      </c>
      <c r="Q12" s="646"/>
      <c r="R12" s="642"/>
    </row>
    <row r="13" spans="3:19" ht="16.5">
      <c r="C13" s="642" t="str">
        <f>"(Neutralidade) "&amp;Encargos!E6&amp;""</f>
        <v>(Neutralidade) CDE</v>
      </c>
      <c r="D13" s="890">
        <f ca="1">IFERROR(Encargos!K26,0)</f>
        <v>184353.43642328435</v>
      </c>
      <c r="E13" s="1022">
        <f ca="1">IF(ISERROR(D13/$D$4),0,D13/$D$4)</f>
        <v>9.3468942716152144E-3</v>
      </c>
      <c r="F13" s="642">
        <v>20</v>
      </c>
      <c r="G13" s="642">
        <v>60</v>
      </c>
      <c r="H13" s="642">
        <v>20</v>
      </c>
      <c r="I13" s="642">
        <v>3</v>
      </c>
      <c r="J13" s="642">
        <v>15</v>
      </c>
      <c r="K13" s="642">
        <v>9</v>
      </c>
      <c r="L13" s="642"/>
      <c r="M13" s="642" t="str">
        <f t="shared" ca="1" si="1"/>
        <v>CVA</v>
      </c>
      <c r="N13" s="642" t="str">
        <f ca="1">IF(Tabela1[[#This Row],[Percentual]]=0,,Tabela1[[#This Row],[Nome do Financeiro]])</f>
        <v>(Neutralidade) CDE</v>
      </c>
      <c r="O13" s="642">
        <f ca="1">IF(ISNUMBER(Tabela1[[#This Row],[Valor]]),Tabela1[[#This Row],[Valor]],)</f>
        <v>184353.43642328435</v>
      </c>
      <c r="P13" s="642">
        <f ca="1">IF(Tabela1[[#This Row],[Percentual]]=0,,Tabela1[[#This Row],[Percentual]])</f>
        <v>9.3468942716152144E-3</v>
      </c>
      <c r="Q13" s="646"/>
      <c r="R13" s="642"/>
    </row>
    <row r="14" spans="3:19" ht="16.5">
      <c r="C14" s="642" t="str">
        <f>"(Neutralidade) "&amp;Encargos!E7</f>
        <v>(Neutralidade) CFURH</v>
      </c>
      <c r="D14" s="890">
        <f>Encargos!K27</f>
        <v>0</v>
      </c>
      <c r="E14" s="1022">
        <f t="shared" ca="1" si="0"/>
        <v>0</v>
      </c>
      <c r="F14" s="642">
        <v>20</v>
      </c>
      <c r="G14" s="642">
        <v>60</v>
      </c>
      <c r="H14" s="642">
        <v>20</v>
      </c>
      <c r="I14" s="642">
        <v>3</v>
      </c>
      <c r="J14" s="642">
        <v>16</v>
      </c>
      <c r="K14" s="642">
        <v>9</v>
      </c>
      <c r="L14" s="642"/>
      <c r="M14" s="642">
        <f t="shared" si="1"/>
        <v>0</v>
      </c>
      <c r="N14" s="642">
        <f ca="1">IF(Tabela1[[#This Row],[Percentual]]=0,,Tabela1[[#This Row],[Nome do Financeiro]])</f>
        <v>0</v>
      </c>
      <c r="O14" s="642">
        <f>IF(ISNUMBER(Tabela1[[#This Row],[Valor]]),Tabela1[[#This Row],[Valor]],)</f>
        <v>0</v>
      </c>
      <c r="P14" s="642">
        <f ca="1">IF(Tabela1[[#This Row],[Percentual]]=0,,Tabela1[[#This Row],[Percentual]])</f>
        <v>0</v>
      </c>
      <c r="Q14" s="646"/>
      <c r="R14" s="642"/>
    </row>
    <row r="15" spans="3:19" ht="16.5">
      <c r="C15" s="642" t="str">
        <f>"(Neutralidade) "&amp;Encargos!E8</f>
        <v>(Neutralidade) ESS/ERR</v>
      </c>
      <c r="D15" s="890">
        <f ca="1">Encargos!K28</f>
        <v>0</v>
      </c>
      <c r="E15" s="1022">
        <f t="shared" ca="1" si="0"/>
        <v>0</v>
      </c>
      <c r="F15" s="642">
        <v>20</v>
      </c>
      <c r="G15" s="642">
        <v>60</v>
      </c>
      <c r="H15" s="642">
        <v>20</v>
      </c>
      <c r="I15" s="642">
        <v>3</v>
      </c>
      <c r="J15" s="642">
        <v>17</v>
      </c>
      <c r="K15" s="642">
        <v>9</v>
      </c>
      <c r="L15" s="642"/>
      <c r="M15" s="642">
        <f t="shared" ca="1" si="1"/>
        <v>0</v>
      </c>
      <c r="N15" s="642">
        <f ca="1">IF(Tabela1[[#This Row],[Percentual]]=0,,Tabela1[[#This Row],[Nome do Financeiro]])</f>
        <v>0</v>
      </c>
      <c r="O15" s="642">
        <f ca="1">IF(ISNUMBER(Tabela1[[#This Row],[Valor]]),Tabela1[[#This Row],[Valor]],)</f>
        <v>0</v>
      </c>
      <c r="P15" s="642">
        <f ca="1">IF(Tabela1[[#This Row],[Percentual]]=0,,Tabela1[[#This Row],[Percentual]])</f>
        <v>0</v>
      </c>
      <c r="Q15" s="646"/>
      <c r="R15" s="642"/>
    </row>
    <row r="16" spans="3:19" ht="16.5">
      <c r="C16" s="642" t="str">
        <f>"(Neutralidade) "&amp;Encargos!E9</f>
        <v>(Neutralidade) PROINFA</v>
      </c>
      <c r="D16" s="890">
        <f ca="1">Encargos!K29</f>
        <v>33003.699825291988</v>
      </c>
      <c r="E16" s="1022">
        <f t="shared" ca="1" si="0"/>
        <v>1.6733189183999807E-3</v>
      </c>
      <c r="F16" s="642">
        <v>20</v>
      </c>
      <c r="G16" s="642">
        <v>60</v>
      </c>
      <c r="H16" s="642">
        <v>20</v>
      </c>
      <c r="I16" s="642">
        <v>3</v>
      </c>
      <c r="J16" s="642">
        <v>18</v>
      </c>
      <c r="K16" s="642">
        <v>9</v>
      </c>
      <c r="L16" s="642"/>
      <c r="M16" s="642" t="str">
        <f t="shared" ca="1" si="1"/>
        <v>CVA</v>
      </c>
      <c r="N16" s="642" t="str">
        <f ca="1">IF(Tabela1[[#This Row],[Percentual]]=0,,Tabela1[[#This Row],[Nome do Financeiro]])</f>
        <v>(Neutralidade) PROINFA</v>
      </c>
      <c r="O16" s="642">
        <f ca="1">IF(ISNUMBER(Tabela1[[#This Row],[Valor]]),Tabela1[[#This Row],[Valor]],)</f>
        <v>33003.699825291988</v>
      </c>
      <c r="P16" s="642">
        <f ca="1">IF(Tabela1[[#This Row],[Percentual]]=0,,Tabela1[[#This Row],[Percentual]])</f>
        <v>1.6733189183999807E-3</v>
      </c>
      <c r="Q16" s="646"/>
      <c r="R16" s="642"/>
    </row>
    <row r="17" spans="3:26" ht="16.5">
      <c r="C17" s="642" t="str">
        <f>"(Neutralidade) "&amp;Encargos!B11</f>
        <v>(Neutralidade) P&amp;D e PEE</v>
      </c>
      <c r="D17" s="890"/>
      <c r="E17" s="1022">
        <f t="shared" ca="1" si="0"/>
        <v>0</v>
      </c>
      <c r="F17" s="642">
        <v>20</v>
      </c>
      <c r="G17" s="642">
        <v>60</v>
      </c>
      <c r="H17" s="642">
        <v>20</v>
      </c>
      <c r="I17" s="642">
        <v>3</v>
      </c>
      <c r="J17" s="642">
        <v>19</v>
      </c>
      <c r="K17" s="642">
        <v>9</v>
      </c>
      <c r="L17" s="642"/>
      <c r="M17" s="642">
        <f t="shared" si="1"/>
        <v>0</v>
      </c>
      <c r="N17" s="642">
        <f ca="1">IF(Tabela1[[#This Row],[Percentual]]=0,,Tabela1[[#This Row],[Nome do Financeiro]])</f>
        <v>0</v>
      </c>
      <c r="O17" s="642">
        <f>IF(ISNUMBER(Tabela1[[#This Row],[Valor]]),Tabela1[[#This Row],[Valor]],)</f>
        <v>0</v>
      </c>
      <c r="P17" s="642">
        <f ca="1">IF(Tabela1[[#This Row],[Percentual]]=0,,Tabela1[[#This Row],[Percentual]])</f>
        <v>0</v>
      </c>
      <c r="Q17" s="646"/>
      <c r="R17" s="642"/>
    </row>
    <row r="18" spans="3:26" ht="16.5">
      <c r="C18" s="642" t="str">
        <f>"(Neutralidade) "&amp; "conta covid-19"</f>
        <v>(Neutralidade) conta covid-19</v>
      </c>
      <c r="D18" s="890">
        <f ca="1">Encargos!K30</f>
        <v>0</v>
      </c>
      <c r="E18" s="1022">
        <f t="shared" ca="1" si="0"/>
        <v>0</v>
      </c>
      <c r="F18" s="642">
        <v>20</v>
      </c>
      <c r="G18" s="642">
        <v>60</v>
      </c>
      <c r="H18" s="642">
        <v>999</v>
      </c>
      <c r="I18" s="642">
        <v>4</v>
      </c>
      <c r="J18" s="642">
        <v>999</v>
      </c>
      <c r="K18" s="642">
        <v>9</v>
      </c>
      <c r="L18" s="642"/>
      <c r="M18" s="642">
        <f t="shared" ca="1" si="1"/>
        <v>0</v>
      </c>
      <c r="N18" s="642">
        <f ca="1">IF(Tabela1[[#This Row],[Percentual]]=0,,Tabela1[[#This Row],[Nome do Financeiro]])</f>
        <v>0</v>
      </c>
      <c r="O18" s="642">
        <f ca="1">IF(ISNUMBER(Tabela1[[#This Row],[Valor]]),Tabela1[[#This Row],[Valor]],)</f>
        <v>0</v>
      </c>
      <c r="P18" s="642">
        <f ca="1">IF(Tabela1[[#This Row],[Percentual]]=0,,Tabela1[[#This Row],[Percentual]])</f>
        <v>0</v>
      </c>
      <c r="Q18" s="646"/>
      <c r="R18" s="642"/>
      <c r="S18" s="398"/>
    </row>
    <row r="19" spans="3:26" ht="16.5">
      <c r="C19" s="642" t="s">
        <v>1379</v>
      </c>
      <c r="D19" s="890">
        <f>IFERROR(LnkTxTAjusteCUST*Resultado!D25/(Resultado!D25+Resultado!D26),0)</f>
        <v>0</v>
      </c>
      <c r="E19" s="1022">
        <f ca="1">IF(ISERROR(D19/$D$4),0,D19/$D$4)</f>
        <v>0</v>
      </c>
      <c r="F19" s="642">
        <v>22</v>
      </c>
      <c r="G19" s="642">
        <v>60</v>
      </c>
      <c r="H19" s="642">
        <v>999</v>
      </c>
      <c r="I19" s="642">
        <v>1</v>
      </c>
      <c r="J19" s="642">
        <v>1</v>
      </c>
      <c r="K19" s="642">
        <v>9</v>
      </c>
      <c r="L19" s="642"/>
      <c r="M19" s="642">
        <f t="shared" si="1"/>
        <v>0</v>
      </c>
      <c r="N19" s="642">
        <f ca="1">IF(Tabela1[[#This Row],[Percentual]]=0,,Tabela1[[#This Row],[Nome do Financeiro]])</f>
        <v>0</v>
      </c>
      <c r="O19" s="642">
        <f>IF(ISNUMBER(Tabela1[[#This Row],[Valor]]),Tabela1[[#This Row],[Valor]],)</f>
        <v>0</v>
      </c>
      <c r="P19" s="642">
        <f ca="1">IF(Tabela1[[#This Row],[Percentual]]=0,,Tabela1[[#This Row],[Percentual]])</f>
        <v>0</v>
      </c>
      <c r="Q19" s="646"/>
      <c r="R19" s="642"/>
    </row>
    <row r="20" spans="3:26" ht="16.5">
      <c r="C20" s="642" t="s">
        <v>1380</v>
      </c>
      <c r="D20" s="890">
        <f>IFERROR(LnkTxTAjusteCUST*Resultado!D26/(Resultado!D25+Resultado!D26),0)</f>
        <v>0</v>
      </c>
      <c r="E20" s="1022">
        <f ca="1">IF(ISERROR(D20/$D$4),0,D20/$D$4)</f>
        <v>0</v>
      </c>
      <c r="F20" s="642">
        <v>22</v>
      </c>
      <c r="G20" s="642">
        <v>60</v>
      </c>
      <c r="H20" s="642">
        <v>999</v>
      </c>
      <c r="I20" s="642">
        <v>1</v>
      </c>
      <c r="J20" s="642">
        <v>2</v>
      </c>
      <c r="K20" s="642">
        <v>9</v>
      </c>
      <c r="L20" s="642"/>
      <c r="M20" s="642">
        <f t="shared" si="1"/>
        <v>0</v>
      </c>
      <c r="N20" s="642">
        <f ca="1">IF(Tabela1[[#This Row],[Percentual]]=0,,Tabela1[[#This Row],[Nome do Financeiro]])</f>
        <v>0</v>
      </c>
      <c r="O20" s="642">
        <f>IF(ISNUMBER(Tabela1[[#This Row],[Valor]]),Tabela1[[#This Row],[Valor]],)</f>
        <v>0</v>
      </c>
      <c r="P20" s="642">
        <f ca="1">IF(Tabela1[[#This Row],[Percentual]]=0,,Tabela1[[#This Row],[Percentual]])</f>
        <v>0</v>
      </c>
      <c r="Q20" s="646"/>
      <c r="R20" s="642"/>
      <c r="S20" s="143"/>
    </row>
    <row r="21" spans="3:26" ht="16.5">
      <c r="C21" s="642" t="s">
        <v>1381</v>
      </c>
      <c r="D21" s="890">
        <v>0</v>
      </c>
      <c r="E21" s="1022">
        <f t="shared" ca="1" si="0"/>
        <v>0</v>
      </c>
      <c r="F21" s="642">
        <v>22</v>
      </c>
      <c r="G21" s="642">
        <v>60</v>
      </c>
      <c r="H21" s="642">
        <v>167</v>
      </c>
      <c r="I21" s="642">
        <v>4</v>
      </c>
      <c r="J21" s="642">
        <v>999</v>
      </c>
      <c r="K21" s="642">
        <v>9</v>
      </c>
      <c r="L21" s="642"/>
      <c r="M21" s="642">
        <f t="shared" si="1"/>
        <v>0</v>
      </c>
      <c r="N21" s="642">
        <f ca="1">IF(Tabela1[[#This Row],[Percentual]]=0,,Tabela1[[#This Row],[Nome do Financeiro]])</f>
        <v>0</v>
      </c>
      <c r="O21" s="642">
        <f>IF(ISNUMBER(Tabela1[[#This Row],[Valor]]),Tabela1[[#This Row],[Valor]],)</f>
        <v>0</v>
      </c>
      <c r="P21" s="642">
        <f ca="1">IF(Tabela1[[#This Row],[Percentual]]=0,,Tabela1[[#This Row],[Percentual]])</f>
        <v>0</v>
      </c>
      <c r="Q21" s="646"/>
      <c r="R21" s="642"/>
    </row>
    <row r="22" spans="3:26" ht="16.5">
      <c r="C22" s="642"/>
      <c r="D22" s="890"/>
      <c r="E22" s="1022">
        <f t="shared" ca="1" si="0"/>
        <v>0</v>
      </c>
      <c r="F22" s="642">
        <v>22</v>
      </c>
      <c r="G22" s="642">
        <v>60</v>
      </c>
      <c r="H22" s="642">
        <v>194</v>
      </c>
      <c r="I22" s="642">
        <v>99</v>
      </c>
      <c r="J22" s="642">
        <v>999</v>
      </c>
      <c r="K22" s="642">
        <v>9</v>
      </c>
      <c r="L22" s="642"/>
      <c r="M22" s="642">
        <f t="shared" si="1"/>
        <v>0</v>
      </c>
      <c r="N22" s="642">
        <f ca="1">IF(Tabela1[[#This Row],[Percentual]]=0,,Tabela1[[#This Row],[Nome do Financeiro]])</f>
        <v>0</v>
      </c>
      <c r="O22" s="642">
        <f>IF(ISNUMBER(Tabela1[[#This Row],[Valor]]),Tabela1[[#This Row],[Valor]],)</f>
        <v>0</v>
      </c>
      <c r="P22" s="642">
        <f ca="1">IF(Tabela1[[#This Row],[Percentual]]=0,,Tabela1[[#This Row],[Percentual]])</f>
        <v>0</v>
      </c>
      <c r="Q22" s="646"/>
      <c r="R22" s="1663"/>
      <c r="S22" s="292"/>
      <c r="T22" s="1664"/>
      <c r="U22" s="1664"/>
      <c r="V22" s="1664"/>
      <c r="W22" s="1664"/>
      <c r="X22" s="1664"/>
      <c r="Y22" s="1664"/>
      <c r="Z22" s="1664"/>
    </row>
    <row r="23" spans="3:26" ht="16.5">
      <c r="C23" s="1673" t="s">
        <v>2231</v>
      </c>
      <c r="D23" s="1672"/>
      <c r="E23" s="1022">
        <f ca="1">IF(ISERROR(D23/$D$4),0,D23/$D$4)</f>
        <v>0</v>
      </c>
      <c r="F23" s="642">
        <v>22</v>
      </c>
      <c r="G23" s="642">
        <v>60</v>
      </c>
      <c r="H23" s="642">
        <v>999</v>
      </c>
      <c r="I23" s="642">
        <v>2</v>
      </c>
      <c r="J23" s="642">
        <v>30</v>
      </c>
      <c r="K23" s="642">
        <v>9</v>
      </c>
      <c r="L23" s="653"/>
      <c r="M23" s="642">
        <f t="shared" si="1"/>
        <v>0</v>
      </c>
      <c r="N23" s="642" t="e">
        <v>#REF!</v>
      </c>
      <c r="O23" s="642">
        <v>0</v>
      </c>
      <c r="P23" s="642" t="e">
        <v>#REF!</v>
      </c>
      <c r="Q23" s="646"/>
      <c r="R23" s="1663"/>
      <c r="S23" s="1664"/>
      <c r="T23" s="1664"/>
      <c r="U23" s="1664"/>
      <c r="V23" s="1664"/>
      <c r="W23" s="1664"/>
      <c r="X23" s="1664"/>
      <c r="Y23" s="1664"/>
      <c r="Z23" s="1664"/>
    </row>
    <row r="24" spans="3:26" ht="16.5">
      <c r="C24" s="654" t="s">
        <v>1382</v>
      </c>
      <c r="D24" s="891">
        <f>Indexador!J49+Indexador!P49</f>
        <v>0</v>
      </c>
      <c r="E24" s="1021">
        <f t="shared" ca="1" si="0"/>
        <v>0</v>
      </c>
      <c r="F24" s="649"/>
      <c r="G24" s="649"/>
      <c r="H24" s="649"/>
      <c r="I24" s="649"/>
      <c r="J24" s="649"/>
      <c r="K24" s="649"/>
      <c r="L24" s="642"/>
      <c r="M24" s="642">
        <f t="shared" si="1"/>
        <v>0</v>
      </c>
      <c r="N24" s="642">
        <f ca="1">IF(Tabela1[[#This Row],[Percentual]]=0,,Tabela1[[#This Row],[Nome do Financeiro]])</f>
        <v>0</v>
      </c>
      <c r="O24" s="642">
        <f>IF(ISNUMBER(Tabela1[[#This Row],[Valor]]),Tabela1[[#This Row],[Valor]],)</f>
        <v>0</v>
      </c>
      <c r="P24" s="642">
        <f ca="1">IF(Tabela1[[#This Row],[Percentual]]=0,,Tabela1[[#This Row],[Percentual]])</f>
        <v>0</v>
      </c>
      <c r="Q24" s="646"/>
      <c r="R24" s="1663"/>
      <c r="S24" s="1665"/>
      <c r="T24" s="1664"/>
      <c r="U24" s="1664"/>
      <c r="V24" s="117"/>
      <c r="W24" s="1664"/>
      <c r="X24" s="1664"/>
      <c r="Y24" s="1664"/>
      <c r="Z24" s="1664"/>
    </row>
    <row r="25" spans="3:26" ht="16.5">
      <c r="C25" s="642" t="s">
        <v>1383</v>
      </c>
      <c r="D25" s="890">
        <f>(Indexador!H49)</f>
        <v>-101090.8966218686</v>
      </c>
      <c r="E25" s="1022">
        <f t="shared" ca="1" si="0"/>
        <v>-5.1254044452845784E-3</v>
      </c>
      <c r="F25" s="642">
        <v>22</v>
      </c>
      <c r="G25" s="642">
        <v>60</v>
      </c>
      <c r="H25" s="642">
        <v>178</v>
      </c>
      <c r="I25" s="642">
        <v>1</v>
      </c>
      <c r="J25" s="642">
        <v>7</v>
      </c>
      <c r="K25" s="642">
        <v>9</v>
      </c>
      <c r="L25" s="642"/>
      <c r="M25" s="642" t="str">
        <f t="shared" si="1"/>
        <v>CVA</v>
      </c>
      <c r="N25" s="642" t="str">
        <f ca="1">IF(Tabela1[[#This Row],[Percentual]]=0,,Tabela1[[#This Row],[Nome do Financeiro]])</f>
        <v>Compensação DIC FIC</v>
      </c>
      <c r="O25" s="642">
        <f>IF(ISNUMBER(Tabela1[[#This Row],[Valor]]),Tabela1[[#This Row],[Valor]],)</f>
        <v>-101090.8966218686</v>
      </c>
      <c r="P25" s="642">
        <f ca="1">IF(Tabela1[[#This Row],[Percentual]]=0,,Tabela1[[#This Row],[Percentual]])</f>
        <v>-5.1254044452845784E-3</v>
      </c>
      <c r="Q25" s="642"/>
      <c r="R25" s="1663"/>
      <c r="S25" s="1664"/>
      <c r="T25" s="1664"/>
      <c r="U25" s="1664"/>
      <c r="V25" s="1664"/>
      <c r="W25" s="1664"/>
      <c r="X25" s="1664"/>
      <c r="Y25" s="1664"/>
      <c r="Z25" s="1664"/>
    </row>
    <row r="26" spans="3:26" ht="16.5">
      <c r="C26" s="642" t="s">
        <v>1384</v>
      </c>
      <c r="D26" s="890">
        <f ca="1">-LnkTXTISubvencaoPB</f>
        <v>-1599892.1389602604</v>
      </c>
      <c r="E26" s="1022">
        <f ca="1">IF(ISERROR(D26/$D$4),0,D26/$D$4)</f>
        <v>-8.1116050554732907E-2</v>
      </c>
      <c r="F26" s="642">
        <v>22</v>
      </c>
      <c r="G26" s="642">
        <v>60</v>
      </c>
      <c r="H26" s="642">
        <v>999</v>
      </c>
      <c r="I26" s="642">
        <v>4</v>
      </c>
      <c r="J26" s="642">
        <v>999</v>
      </c>
      <c r="K26" s="642">
        <v>9</v>
      </c>
      <c r="L26" s="642"/>
      <c r="M26" s="642"/>
      <c r="N26" s="642"/>
      <c r="O26" s="642"/>
      <c r="P26" s="642"/>
      <c r="Q26" s="642"/>
      <c r="R26" s="1663"/>
      <c r="S26" s="1664"/>
      <c r="T26" s="1664"/>
      <c r="U26" s="1664"/>
      <c r="V26" s="1664"/>
      <c r="W26" s="1664"/>
      <c r="X26" s="1664"/>
      <c r="Y26" s="1664"/>
      <c r="Z26" s="1664"/>
    </row>
    <row r="27" spans="3:26" ht="16.5">
      <c r="C27" s="481" t="s">
        <v>1385</v>
      </c>
      <c r="D27" s="890">
        <f>IFERROR(-ABS(Indexador!L49),0)</f>
        <v>0</v>
      </c>
      <c r="E27" s="1022">
        <f t="shared" ca="1" si="0"/>
        <v>0</v>
      </c>
      <c r="F27" s="642">
        <v>22</v>
      </c>
      <c r="G27" s="642">
        <v>60</v>
      </c>
      <c r="H27" s="642">
        <v>999</v>
      </c>
      <c r="I27" s="642">
        <v>2</v>
      </c>
      <c r="J27" s="642">
        <v>30</v>
      </c>
      <c r="K27" s="642">
        <v>9</v>
      </c>
      <c r="L27" s="642"/>
      <c r="M27" s="642"/>
      <c r="N27" s="642"/>
      <c r="O27" s="642"/>
      <c r="P27" s="642"/>
      <c r="Q27" s="642"/>
      <c r="R27" s="1663"/>
      <c r="S27" s="1664"/>
      <c r="T27" s="1664"/>
      <c r="U27" s="1664"/>
      <c r="V27" s="1664"/>
      <c r="W27" s="1664"/>
      <c r="X27" s="1664"/>
      <c r="Y27" s="1664"/>
      <c r="Z27" s="1664"/>
    </row>
    <row r="28" spans="3:26" ht="16.5">
      <c r="C28" s="481" t="s">
        <v>1386</v>
      </c>
      <c r="D28" s="892"/>
      <c r="E28" s="1022">
        <f t="shared" ca="1" si="0"/>
        <v>0</v>
      </c>
      <c r="F28" s="642">
        <v>22</v>
      </c>
      <c r="G28" s="642">
        <v>60</v>
      </c>
      <c r="H28" s="642">
        <v>120</v>
      </c>
      <c r="I28" s="642">
        <v>4</v>
      </c>
      <c r="J28" s="642">
        <v>999</v>
      </c>
      <c r="K28" s="642">
        <v>9</v>
      </c>
      <c r="L28" s="642"/>
      <c r="M28" s="642"/>
      <c r="N28" s="642"/>
      <c r="O28" s="642"/>
      <c r="P28" s="642"/>
      <c r="Q28" s="642"/>
      <c r="R28" s="1663"/>
      <c r="S28" s="1664"/>
      <c r="T28" s="1664"/>
      <c r="U28" s="1664"/>
      <c r="V28" s="1664"/>
      <c r="W28" s="1664"/>
      <c r="X28" s="1664"/>
      <c r="Y28" s="1664"/>
      <c r="Z28" s="1664"/>
    </row>
    <row r="29" spans="3:26" ht="16.5">
      <c r="C29" s="649" t="s">
        <v>1387</v>
      </c>
      <c r="D29" s="891">
        <f>ICMS!E12</f>
        <v>7.7741477922672155</v>
      </c>
      <c r="E29" s="1021">
        <f ca="1">IFERROR(Tabela1[[#This Row],[Valor]]/D4,0)</f>
        <v>3.9415667467891489E-7</v>
      </c>
      <c r="F29" s="649"/>
      <c r="G29" s="649"/>
      <c r="H29" s="649"/>
      <c r="I29" s="649"/>
      <c r="J29" s="649"/>
      <c r="K29" s="649"/>
      <c r="L29" s="642"/>
      <c r="M29" s="642"/>
      <c r="N29" s="642"/>
      <c r="O29" s="642"/>
      <c r="P29" s="642"/>
      <c r="Q29" s="642"/>
      <c r="R29" s="1663"/>
      <c r="S29" s="1664"/>
      <c r="T29" s="1666"/>
      <c r="U29" s="1666"/>
      <c r="V29" s="1666"/>
      <c r="W29" s="1666"/>
      <c r="X29" s="1664"/>
      <c r="Y29" s="1664"/>
      <c r="Z29" s="1664"/>
    </row>
    <row r="30" spans="3:26" ht="16.5">
      <c r="C30" s="642" t="s">
        <v>1388</v>
      </c>
      <c r="D30" s="890">
        <f ca="1">ICMS!E13</f>
        <v>5.008086939629818</v>
      </c>
      <c r="E30" s="1022">
        <f ca="1">IF(ISERROR(D30/$D$4),0,D30/$D$4)</f>
        <v>2.5391476305491139E-7</v>
      </c>
      <c r="F30" s="642">
        <v>22</v>
      </c>
      <c r="G30" s="642">
        <v>60</v>
      </c>
      <c r="H30" s="642">
        <v>999</v>
      </c>
      <c r="I30" s="642">
        <v>1</v>
      </c>
      <c r="J30" s="642">
        <v>7</v>
      </c>
      <c r="K30" s="642">
        <v>9</v>
      </c>
      <c r="L30" s="642"/>
      <c r="M30" s="642"/>
      <c r="N30" s="642"/>
      <c r="O30" s="642"/>
      <c r="P30" s="642"/>
      <c r="Q30" s="642"/>
      <c r="R30" s="1667"/>
      <c r="S30" s="1664"/>
      <c r="T30" s="1666"/>
      <c r="U30" s="1668"/>
      <c r="V30" s="1666"/>
      <c r="W30" s="1666"/>
      <c r="X30" s="1664"/>
      <c r="Y30" s="1664"/>
      <c r="Z30" s="1664"/>
    </row>
    <row r="31" spans="3:26" ht="16.5">
      <c r="C31" s="642" t="s">
        <v>1389</v>
      </c>
      <c r="D31" s="890">
        <f ca="1">ICMS!E14</f>
        <v>2.7660608526373966</v>
      </c>
      <c r="E31" s="1022">
        <f ca="1">IF(ISERROR(D31/$D$4),0,D31/$D$4)</f>
        <v>1.4024191162400344E-7</v>
      </c>
      <c r="F31" s="642">
        <v>22</v>
      </c>
      <c r="G31" s="642">
        <v>60</v>
      </c>
      <c r="H31" s="642">
        <v>999</v>
      </c>
      <c r="I31" s="642">
        <v>2</v>
      </c>
      <c r="J31" s="642">
        <v>30</v>
      </c>
      <c r="K31" s="642">
        <v>9</v>
      </c>
      <c r="L31" s="642"/>
      <c r="M31" s="642"/>
      <c r="N31" s="642"/>
      <c r="O31" s="642"/>
      <c r="P31" s="642"/>
      <c r="Q31" s="642"/>
      <c r="R31" s="1663"/>
      <c r="S31" s="1664"/>
      <c r="T31" s="1666"/>
      <c r="U31" s="1668"/>
      <c r="V31" s="1666"/>
      <c r="W31" s="1666"/>
      <c r="X31" s="1664"/>
      <c r="Y31" s="1664"/>
      <c r="Z31" s="1664"/>
    </row>
    <row r="32" spans="3:26" ht="16.5">
      <c r="C32" s="642" t="s">
        <v>1390</v>
      </c>
      <c r="D32" s="908"/>
      <c r="E32" s="1022">
        <f t="shared" ref="E32:E44" ca="1" si="2">IF(ISERROR(D32/$D$4),0,D32/$D$4)</f>
        <v>0</v>
      </c>
      <c r="F32" s="642">
        <v>22</v>
      </c>
      <c r="G32" s="642">
        <v>60</v>
      </c>
      <c r="H32" s="642">
        <v>231</v>
      </c>
      <c r="I32" s="642">
        <v>3</v>
      </c>
      <c r="J32" s="642">
        <v>19</v>
      </c>
      <c r="K32" s="642">
        <v>9</v>
      </c>
      <c r="L32" s="642"/>
      <c r="M32" s="642"/>
      <c r="N32" s="642"/>
      <c r="O32" s="642"/>
      <c r="P32" s="642"/>
      <c r="Q32" s="799"/>
      <c r="R32" s="1663"/>
      <c r="S32" s="1664"/>
      <c r="T32" s="1664"/>
      <c r="U32" s="1664"/>
      <c r="V32" s="1664"/>
      <c r="W32" s="1664"/>
      <c r="X32" s="1664"/>
      <c r="Y32" s="1664"/>
      <c r="Z32" s="1664"/>
    </row>
    <row r="33" spans="3:26" ht="16.5">
      <c r="C33" s="642" t="s">
        <v>1391</v>
      </c>
      <c r="D33" s="913">
        <f>-'Conta covid'!J17</f>
        <v>0</v>
      </c>
      <c r="E33" s="1022">
        <f t="shared" ca="1" si="2"/>
        <v>0</v>
      </c>
      <c r="F33" s="642">
        <v>22</v>
      </c>
      <c r="G33" s="642">
        <v>60</v>
      </c>
      <c r="H33" s="642">
        <v>235</v>
      </c>
      <c r="I33" s="642">
        <v>4</v>
      </c>
      <c r="J33" s="642">
        <v>999</v>
      </c>
      <c r="K33" s="642">
        <v>9</v>
      </c>
      <c r="L33" s="642"/>
      <c r="M33" s="642"/>
      <c r="N33" s="642"/>
      <c r="O33" s="642"/>
      <c r="P33" s="642"/>
      <c r="Q33" s="646"/>
      <c r="R33" s="1663"/>
      <c r="S33" s="1664"/>
      <c r="T33" s="1664"/>
      <c r="U33" s="1664"/>
      <c r="V33" s="1664"/>
      <c r="W33" s="1664"/>
      <c r="X33" s="1664"/>
      <c r="Y33" s="1664"/>
      <c r="Z33" s="1664"/>
    </row>
    <row r="34" spans="3:26" ht="16.5">
      <c r="C34" s="642" t="s">
        <v>1392</v>
      </c>
      <c r="D34" s="799">
        <f>Energia!K52</f>
        <v>0</v>
      </c>
      <c r="E34" s="1022">
        <f t="shared" ca="1" si="2"/>
        <v>0</v>
      </c>
      <c r="F34" s="642">
        <v>22</v>
      </c>
      <c r="G34" s="642">
        <v>60</v>
      </c>
      <c r="H34" s="642">
        <v>220</v>
      </c>
      <c r="I34" s="642">
        <v>2</v>
      </c>
      <c r="J34" s="642">
        <v>30</v>
      </c>
      <c r="K34" s="642">
        <v>9</v>
      </c>
      <c r="L34" s="642"/>
      <c r="M34" s="642"/>
      <c r="N34" s="642"/>
      <c r="O34" s="642"/>
      <c r="P34" s="642"/>
      <c r="Q34" s="642"/>
      <c r="R34" s="1663"/>
      <c r="S34" s="1664"/>
      <c r="T34" s="292"/>
      <c r="U34" s="1665"/>
      <c r="V34" s="1665"/>
      <c r="W34" s="1664"/>
      <c r="X34" s="1664"/>
      <c r="Y34" s="1664"/>
      <c r="Z34" s="1664"/>
    </row>
    <row r="35" spans="3:26" ht="16.5">
      <c r="C35" s="655" t="s">
        <v>1393</v>
      </c>
      <c r="D35" s="656"/>
      <c r="E35" s="1022">
        <f t="shared" ca="1" si="2"/>
        <v>0</v>
      </c>
      <c r="F35" s="655">
        <v>22</v>
      </c>
      <c r="G35" s="655">
        <v>60</v>
      </c>
      <c r="H35" s="655">
        <v>999</v>
      </c>
      <c r="I35" s="655">
        <v>2</v>
      </c>
      <c r="J35" s="655">
        <v>30</v>
      </c>
      <c r="K35" s="655">
        <v>9</v>
      </c>
      <c r="L35" s="642"/>
      <c r="M35" s="642"/>
      <c r="N35" s="642"/>
      <c r="O35" s="642"/>
      <c r="P35" s="642"/>
      <c r="Q35" s="642"/>
      <c r="R35" s="890"/>
      <c r="S35" s="1664"/>
      <c r="T35" s="1664"/>
      <c r="U35" s="1664"/>
      <c r="V35" s="1664"/>
      <c r="W35" s="1664"/>
      <c r="X35" s="1664"/>
      <c r="Y35" s="1664"/>
      <c r="Z35" s="1664"/>
    </row>
    <row r="36" spans="3:26" ht="16.5">
      <c r="C36" s="655" t="s">
        <v>1394</v>
      </c>
      <c r="D36" s="656"/>
      <c r="E36" s="1022">
        <f t="shared" ca="1" si="2"/>
        <v>0</v>
      </c>
      <c r="F36" s="655">
        <v>22</v>
      </c>
      <c r="G36" s="655">
        <v>60</v>
      </c>
      <c r="H36" s="655">
        <v>179</v>
      </c>
      <c r="I36" s="655">
        <v>99</v>
      </c>
      <c r="J36" s="655">
        <v>999</v>
      </c>
      <c r="K36" s="655">
        <v>3</v>
      </c>
      <c r="L36" s="642"/>
      <c r="M36" s="642"/>
      <c r="N36" s="642"/>
      <c r="O36" s="642"/>
      <c r="P36" s="642"/>
      <c r="Q36" s="642"/>
      <c r="R36" s="890"/>
      <c r="S36" s="1664"/>
      <c r="T36" s="292"/>
      <c r="U36" s="1665"/>
      <c r="V36" s="1664"/>
      <c r="W36" s="1664"/>
      <c r="X36" s="1664"/>
      <c r="Y36" s="1664"/>
      <c r="Z36" s="1664"/>
    </row>
    <row r="37" spans="3:26" ht="16.5">
      <c r="C37" s="655" t="s">
        <v>1395</v>
      </c>
      <c r="D37" s="656"/>
      <c r="E37" s="1022">
        <f t="shared" ca="1" si="2"/>
        <v>0</v>
      </c>
      <c r="F37" s="642">
        <v>22</v>
      </c>
      <c r="G37" s="642">
        <v>60</v>
      </c>
      <c r="H37" s="642">
        <v>999</v>
      </c>
      <c r="I37" s="642">
        <v>1</v>
      </c>
      <c r="J37" s="642">
        <v>7</v>
      </c>
      <c r="K37" s="642">
        <v>9</v>
      </c>
      <c r="L37" s="642"/>
      <c r="M37" s="642"/>
      <c r="N37" s="642"/>
      <c r="O37" s="642"/>
      <c r="P37" s="642"/>
      <c r="Q37" s="642"/>
      <c r="R37" s="1663"/>
      <c r="S37" s="1664"/>
      <c r="T37" s="1664"/>
      <c r="U37" s="1665"/>
      <c r="V37" s="1664"/>
      <c r="W37" s="1664"/>
      <c r="X37" s="1664"/>
      <c r="Y37" s="1664"/>
      <c r="Z37" s="1664"/>
    </row>
    <row r="38" spans="3:26" ht="16.5">
      <c r="C38" s="655" t="s">
        <v>1396</v>
      </c>
      <c r="D38" s="656"/>
      <c r="E38" s="1022">
        <f t="shared" ca="1" si="2"/>
        <v>0</v>
      </c>
      <c r="F38" s="642">
        <v>22</v>
      </c>
      <c r="G38" s="642">
        <v>60</v>
      </c>
      <c r="H38" s="642">
        <v>999</v>
      </c>
      <c r="I38" s="642">
        <v>2</v>
      </c>
      <c r="J38" s="642">
        <v>30</v>
      </c>
      <c r="K38" s="642">
        <v>9</v>
      </c>
      <c r="L38" s="642"/>
      <c r="M38" s="642"/>
      <c r="N38" s="642"/>
      <c r="O38" s="642"/>
      <c r="P38" s="642"/>
      <c r="Q38" s="642"/>
      <c r="R38" s="642"/>
    </row>
    <row r="39" spans="3:26" ht="16.5">
      <c r="C39" s="655" t="s">
        <v>1397</v>
      </c>
      <c r="D39" s="656"/>
      <c r="E39" s="1022">
        <f t="shared" ca="1" si="2"/>
        <v>0</v>
      </c>
      <c r="F39" s="655">
        <v>22</v>
      </c>
      <c r="G39" s="655">
        <v>60</v>
      </c>
      <c r="H39" s="655">
        <v>999</v>
      </c>
      <c r="I39" s="655">
        <v>2</v>
      </c>
      <c r="J39" s="655">
        <v>30</v>
      </c>
      <c r="K39" s="655">
        <v>9</v>
      </c>
      <c r="L39" s="642"/>
      <c r="M39" s="642"/>
      <c r="N39" s="642"/>
      <c r="O39" s="642"/>
      <c r="P39" s="642"/>
      <c r="Q39" s="642"/>
      <c r="R39" s="642"/>
    </row>
    <row r="40" spans="3:26" ht="16.5">
      <c r="C40" s="655"/>
      <c r="D40" s="656"/>
      <c r="E40" s="1022">
        <f t="shared" ca="1" si="2"/>
        <v>0</v>
      </c>
      <c r="F40" s="655">
        <v>22</v>
      </c>
      <c r="G40" s="655">
        <v>60</v>
      </c>
      <c r="H40" s="655">
        <v>999</v>
      </c>
      <c r="I40" s="655">
        <v>99</v>
      </c>
      <c r="J40" s="655">
        <v>999</v>
      </c>
      <c r="K40" s="655">
        <v>9</v>
      </c>
      <c r="L40" s="642"/>
      <c r="M40" s="642"/>
      <c r="N40" s="642"/>
      <c r="O40" s="642"/>
      <c r="P40" s="642"/>
      <c r="Q40" s="642"/>
      <c r="R40" s="642"/>
    </row>
    <row r="41" spans="3:26" ht="16.5">
      <c r="C41" s="1676" t="s">
        <v>2270</v>
      </c>
      <c r="D41" s="1677">
        <f>Indexador!D17</f>
        <v>-28378.362367771737</v>
      </c>
      <c r="E41" s="1678">
        <f t="shared" ca="1" si="2"/>
        <v>-1.4388099175114953E-3</v>
      </c>
      <c r="F41" s="1676">
        <v>22</v>
      </c>
      <c r="G41" s="1676">
        <v>60</v>
      </c>
      <c r="H41" s="1676">
        <v>196</v>
      </c>
      <c r="I41" s="1676">
        <v>99</v>
      </c>
      <c r="J41" s="1676">
        <v>999</v>
      </c>
      <c r="K41" s="1676">
        <v>1</v>
      </c>
      <c r="L41" s="642"/>
      <c r="M41" s="642"/>
      <c r="N41" s="642"/>
      <c r="O41" s="642"/>
      <c r="P41" s="642"/>
      <c r="Q41" s="642"/>
      <c r="R41" s="642"/>
    </row>
    <row r="42" spans="3:26" ht="16.5">
      <c r="C42" s="1676" t="s">
        <v>2271</v>
      </c>
      <c r="D42" s="1679">
        <f>Indexador!E17</f>
        <v>21104.069183764557</v>
      </c>
      <c r="E42" s="1678">
        <f t="shared" ca="1" si="2"/>
        <v>1.0699963460870207E-3</v>
      </c>
      <c r="F42" s="1676">
        <v>22</v>
      </c>
      <c r="G42" s="1676">
        <v>60</v>
      </c>
      <c r="H42" s="1676">
        <v>196</v>
      </c>
      <c r="I42" s="1676">
        <v>99</v>
      </c>
      <c r="J42" s="1676">
        <v>999</v>
      </c>
      <c r="K42" s="1676">
        <v>2</v>
      </c>
      <c r="L42" s="642"/>
      <c r="M42" s="642"/>
      <c r="N42" s="642"/>
      <c r="O42" s="642"/>
      <c r="P42" s="642"/>
      <c r="Q42" s="642"/>
      <c r="R42" s="642"/>
    </row>
    <row r="43" spans="3:26" ht="16.5">
      <c r="C43" s="1024" t="s">
        <v>1398</v>
      </c>
      <c r="D43" s="1024">
        <f>CVA!$E$9</f>
        <v>0</v>
      </c>
      <c r="E43" s="1022">
        <f t="shared" ca="1" si="2"/>
        <v>0</v>
      </c>
      <c r="F43" s="1015">
        <v>19</v>
      </c>
      <c r="G43" s="1015">
        <v>60</v>
      </c>
      <c r="H43" s="1015">
        <v>999</v>
      </c>
      <c r="I43" s="1015">
        <v>3</v>
      </c>
      <c r="J43" s="1015">
        <v>13</v>
      </c>
      <c r="K43" s="1015">
        <v>9</v>
      </c>
      <c r="L43" s="642"/>
      <c r="M43" s="642"/>
      <c r="N43" s="642"/>
      <c r="O43" s="642"/>
      <c r="P43" s="642"/>
      <c r="Q43" s="642"/>
      <c r="R43" s="642"/>
    </row>
    <row r="44" spans="3:26" ht="16.5">
      <c r="C44" s="1024" t="s">
        <v>1399</v>
      </c>
      <c r="D44" s="1024">
        <f>CVA!$E$10</f>
        <v>0</v>
      </c>
      <c r="E44" s="1022">
        <f t="shared" ca="1" si="2"/>
        <v>0</v>
      </c>
      <c r="F44" s="1015">
        <v>19</v>
      </c>
      <c r="G44" s="1015">
        <v>60</v>
      </c>
      <c r="H44" s="1015">
        <v>999</v>
      </c>
      <c r="I44" s="1015">
        <v>3</v>
      </c>
      <c r="J44" s="1015">
        <v>15</v>
      </c>
      <c r="K44" s="1015">
        <v>9</v>
      </c>
      <c r="L44" s="642"/>
    </row>
    <row r="45" spans="3:26" ht="16.5">
      <c r="C45" s="1024" t="s">
        <v>1400</v>
      </c>
      <c r="D45" s="1024">
        <f>CVA!$E$11</f>
        <v>0</v>
      </c>
      <c r="E45" s="1022">
        <f t="shared" ca="1" si="0"/>
        <v>0</v>
      </c>
      <c r="F45" s="1015">
        <v>19</v>
      </c>
      <c r="G45" s="1015">
        <v>60</v>
      </c>
      <c r="H45" s="1015">
        <v>999</v>
      </c>
      <c r="I45" s="1015">
        <v>3</v>
      </c>
      <c r="J45" s="1015">
        <v>25</v>
      </c>
      <c r="K45" s="1015">
        <v>9</v>
      </c>
      <c r="L45" s="642"/>
    </row>
    <row r="46" spans="3:26" ht="16.5">
      <c r="C46" s="1024" t="s">
        <v>1401</v>
      </c>
      <c r="D46" s="1024">
        <f>IFERROR(CVA!$E$12*Resultado!D25/SUM(Resultado!$D$25:$D$29),0)</f>
        <v>0</v>
      </c>
      <c r="E46" s="1022">
        <f t="shared" ca="1" si="0"/>
        <v>0</v>
      </c>
      <c r="F46" s="1015">
        <v>19</v>
      </c>
      <c r="G46" s="1015">
        <v>60</v>
      </c>
      <c r="H46" s="1015">
        <v>999</v>
      </c>
      <c r="I46" s="1015">
        <v>1</v>
      </c>
      <c r="J46" s="1015">
        <v>1</v>
      </c>
      <c r="K46" s="1016">
        <v>9</v>
      </c>
      <c r="L46" s="642"/>
    </row>
    <row r="47" spans="3:26" ht="16.5">
      <c r="C47" s="1024" t="s">
        <v>1402</v>
      </c>
      <c r="D47" s="1024">
        <f>IFERROR(CVA!$E$12*Resultado!D26/SUM(Resultado!$D$25:$D$29),0)</f>
        <v>0</v>
      </c>
      <c r="E47" s="1022">
        <f t="shared" ca="1" si="0"/>
        <v>0</v>
      </c>
      <c r="F47" s="1015">
        <v>19</v>
      </c>
      <c r="G47" s="1015">
        <v>60</v>
      </c>
      <c r="H47" s="1015">
        <v>999</v>
      </c>
      <c r="I47" s="1015">
        <v>1</v>
      </c>
      <c r="J47" s="1015">
        <v>1</v>
      </c>
      <c r="K47" s="1016">
        <v>9</v>
      </c>
      <c r="L47" s="642"/>
    </row>
    <row r="48" spans="3:26" ht="16.5">
      <c r="C48" s="1024" t="s">
        <v>1403</v>
      </c>
      <c r="D48" s="1024">
        <f>IFERROR(CVA!$E$12*Resultado!D28/SUM(Resultado!$D$25:$D$29),0)</f>
        <v>0</v>
      </c>
      <c r="E48" s="1022">
        <f t="shared" ca="1" si="0"/>
        <v>0</v>
      </c>
      <c r="F48" s="1015">
        <v>19</v>
      </c>
      <c r="G48" s="1015">
        <v>60</v>
      </c>
      <c r="H48" s="1015">
        <v>999</v>
      </c>
      <c r="I48" s="1015">
        <v>1</v>
      </c>
      <c r="J48" s="1015">
        <v>1</v>
      </c>
      <c r="K48" s="1016">
        <v>9</v>
      </c>
      <c r="L48" s="642"/>
    </row>
    <row r="49" spans="3:12" ht="16.5">
      <c r="C49" s="1024" t="s">
        <v>1404</v>
      </c>
      <c r="D49" s="1024">
        <f>IFERROR(CVA!$E$12*Resultado!D27/SUM(Resultado!$D$25:$D$29),0)</f>
        <v>0</v>
      </c>
      <c r="E49" s="1022">
        <f t="shared" ca="1" si="0"/>
        <v>0</v>
      </c>
      <c r="F49" s="1015">
        <v>19</v>
      </c>
      <c r="G49" s="1015">
        <v>60</v>
      </c>
      <c r="H49" s="1015">
        <v>999</v>
      </c>
      <c r="I49" s="1015">
        <v>1</v>
      </c>
      <c r="J49" s="1015">
        <v>1</v>
      </c>
      <c r="K49" s="1016">
        <v>9</v>
      </c>
      <c r="L49" s="642"/>
    </row>
    <row r="50" spans="3:12" ht="16.5">
      <c r="C50" s="1024" t="s">
        <v>1405</v>
      </c>
      <c r="D50" s="1024">
        <f>IFERROR(CVA!$E$12*Resultado!D29/SUM(Resultado!$D$25:$D$29),0)</f>
        <v>0</v>
      </c>
      <c r="E50" s="1022">
        <f t="shared" ca="1" si="0"/>
        <v>0</v>
      </c>
      <c r="F50" s="1015">
        <v>19</v>
      </c>
      <c r="G50" s="1015">
        <v>60</v>
      </c>
      <c r="H50" s="1015">
        <v>999</v>
      </c>
      <c r="I50" s="1015">
        <v>1</v>
      </c>
      <c r="J50" s="1015">
        <v>1</v>
      </c>
      <c r="K50" s="1016">
        <v>9</v>
      </c>
      <c r="L50" s="642"/>
    </row>
    <row r="51" spans="3:12" ht="16.5">
      <c r="C51" s="1024" t="s">
        <v>1406</v>
      </c>
      <c r="D51" s="1024">
        <f>CVA!E15</f>
        <v>0</v>
      </c>
      <c r="E51" s="1022">
        <f t="shared" ca="1" si="0"/>
        <v>0</v>
      </c>
      <c r="F51" s="1015">
        <v>19</v>
      </c>
      <c r="G51" s="1015">
        <v>60</v>
      </c>
      <c r="H51" s="1015">
        <v>999</v>
      </c>
      <c r="I51" s="1015">
        <v>1</v>
      </c>
      <c r="J51" s="1015">
        <v>21</v>
      </c>
      <c r="K51" s="1016">
        <v>9</v>
      </c>
      <c r="L51" s="642"/>
    </row>
    <row r="52" spans="3:12" ht="16.5">
      <c r="C52" s="1024" t="s">
        <v>1407</v>
      </c>
      <c r="D52" s="1024">
        <f ca="1">IFERROR(CVA!$E$13*Energia!C6/Energia!$C$5,0)</f>
        <v>0</v>
      </c>
      <c r="E52" s="1022">
        <f t="shared" ca="1" si="0"/>
        <v>0</v>
      </c>
      <c r="F52" s="1015">
        <v>19</v>
      </c>
      <c r="G52" s="1015">
        <v>60</v>
      </c>
      <c r="H52" s="1015">
        <v>999</v>
      </c>
      <c r="I52" s="1015">
        <v>2</v>
      </c>
      <c r="J52" s="1015">
        <v>11</v>
      </c>
      <c r="K52" s="1016">
        <v>9</v>
      </c>
      <c r="L52" s="642"/>
    </row>
    <row r="53" spans="3:12" ht="16.5">
      <c r="C53" s="1024" t="s">
        <v>1408</v>
      </c>
      <c r="D53" s="1024">
        <f ca="1">IFERROR(CVA!$E$13*Energia!C7/Energia!$C$5,0)</f>
        <v>0</v>
      </c>
      <c r="E53" s="1022">
        <f t="shared" ca="1" si="0"/>
        <v>0</v>
      </c>
      <c r="F53" s="1015">
        <v>19</v>
      </c>
      <c r="G53" s="1015">
        <v>60</v>
      </c>
      <c r="H53" s="1015">
        <v>999</v>
      </c>
      <c r="I53" s="1015">
        <v>2</v>
      </c>
      <c r="J53" s="1015">
        <v>9</v>
      </c>
      <c r="K53" s="1015">
        <v>9</v>
      </c>
      <c r="L53" s="642"/>
    </row>
    <row r="54" spans="3:12" ht="16.5">
      <c r="C54" s="1024" t="s">
        <v>1409</v>
      </c>
      <c r="D54" s="1024">
        <f ca="1">IFERROR(CVA!$E$13*Energia!C8/Energia!$C$5,0)</f>
        <v>0</v>
      </c>
      <c r="E54" s="1022">
        <f t="shared" ca="1" si="0"/>
        <v>0</v>
      </c>
      <c r="F54" s="1015">
        <v>19</v>
      </c>
      <c r="G54" s="1015">
        <v>60</v>
      </c>
      <c r="H54" s="1015">
        <v>999</v>
      </c>
      <c r="I54" s="1015">
        <v>2</v>
      </c>
      <c r="J54" s="1015">
        <v>8</v>
      </c>
      <c r="K54" s="1015">
        <v>9</v>
      </c>
      <c r="L54" s="642"/>
    </row>
    <row r="55" spans="3:12" ht="16.5">
      <c r="C55" s="1024" t="s">
        <v>1410</v>
      </c>
      <c r="D55" s="1024">
        <f ca="1">IFERROR(CVA!$E$13*Energia!C9/Energia!$C$5,0)</f>
        <v>0</v>
      </c>
      <c r="E55" s="1022">
        <f t="shared" ca="1" si="0"/>
        <v>0</v>
      </c>
      <c r="F55" s="1015">
        <v>19</v>
      </c>
      <c r="G55" s="1015">
        <v>60</v>
      </c>
      <c r="H55" s="1015">
        <v>999</v>
      </c>
      <c r="I55" s="1015">
        <v>2</v>
      </c>
      <c r="J55" s="1015">
        <v>10</v>
      </c>
      <c r="K55" s="1015">
        <v>9</v>
      </c>
      <c r="L55" s="642"/>
    </row>
    <row r="56" spans="3:12" ht="16.5">
      <c r="C56" s="1024" t="s">
        <v>1411</v>
      </c>
      <c r="D56" s="1024">
        <f ca="1">IFERROR(CVA!$E$13*Energia!C10/Energia!$C$5,0)</f>
        <v>0</v>
      </c>
      <c r="E56" s="1022">
        <f t="shared" ca="1" si="0"/>
        <v>0</v>
      </c>
      <c r="F56" s="1015">
        <v>19</v>
      </c>
      <c r="G56" s="1015">
        <v>60</v>
      </c>
      <c r="H56" s="1015">
        <v>999</v>
      </c>
      <c r="I56" s="1015">
        <v>2</v>
      </c>
      <c r="J56" s="1015">
        <v>24</v>
      </c>
      <c r="K56" s="1015">
        <v>9</v>
      </c>
      <c r="L56" s="642"/>
    </row>
    <row r="57" spans="3:12" ht="16.5">
      <c r="C57" s="1024" t="s">
        <v>1412</v>
      </c>
      <c r="D57" s="1024">
        <f ca="1">IFERROR(CVA!$E$13*Energia!C11/Energia!$C$5,0)</f>
        <v>0</v>
      </c>
      <c r="E57" s="1022">
        <f t="shared" ca="1" si="0"/>
        <v>0</v>
      </c>
      <c r="F57" s="1015">
        <v>19</v>
      </c>
      <c r="G57" s="1015">
        <v>60</v>
      </c>
      <c r="H57" s="1015">
        <v>999</v>
      </c>
      <c r="I57" s="1015">
        <v>3</v>
      </c>
      <c r="J57" s="1015">
        <v>18</v>
      </c>
      <c r="K57" s="1015">
        <v>9</v>
      </c>
      <c r="L57" s="642"/>
    </row>
    <row r="58" spans="3:12" ht="16.5">
      <c r="C58" s="1024" t="s">
        <v>1413</v>
      </c>
      <c r="D58" s="1024">
        <f>CVA!E14</f>
        <v>0</v>
      </c>
      <c r="E58" s="1022">
        <f t="shared" ca="1" si="0"/>
        <v>0</v>
      </c>
      <c r="F58" s="1015">
        <v>19</v>
      </c>
      <c r="G58" s="1015">
        <v>60</v>
      </c>
      <c r="H58" s="1015">
        <v>999</v>
      </c>
      <c r="I58" s="1015">
        <v>3</v>
      </c>
      <c r="J58" s="1015">
        <v>16</v>
      </c>
      <c r="K58" s="1016">
        <v>9</v>
      </c>
      <c r="L58" s="642"/>
    </row>
    <row r="59" spans="3:12" ht="16.5">
      <c r="C59" s="1024" t="s">
        <v>1414</v>
      </c>
      <c r="D59" s="1024">
        <f>CVA!E17</f>
        <v>0</v>
      </c>
      <c r="E59" s="1022">
        <f t="shared" ca="1" si="0"/>
        <v>0</v>
      </c>
      <c r="F59" s="1015">
        <v>19</v>
      </c>
      <c r="G59" s="1015">
        <v>60</v>
      </c>
      <c r="H59" s="1015">
        <v>999</v>
      </c>
      <c r="I59" s="1015">
        <v>3</v>
      </c>
      <c r="J59" s="1015">
        <v>17</v>
      </c>
      <c r="K59" s="1016">
        <v>9</v>
      </c>
      <c r="L59" s="642"/>
    </row>
    <row r="60" spans="3:12" ht="16.5">
      <c r="C60" s="1024" t="s">
        <v>1415</v>
      </c>
      <c r="D60" s="1024">
        <f>IFERROR(CVA!G24,0)</f>
        <v>0</v>
      </c>
      <c r="E60" s="1022">
        <f t="shared" ca="1" si="0"/>
        <v>0</v>
      </c>
      <c r="F60" s="1015">
        <v>19</v>
      </c>
      <c r="G60" s="1015">
        <v>64</v>
      </c>
      <c r="H60" s="1015">
        <v>999</v>
      </c>
      <c r="I60" s="1015">
        <v>3</v>
      </c>
      <c r="J60" s="1015">
        <v>13</v>
      </c>
      <c r="K60" s="1016">
        <v>9</v>
      </c>
      <c r="L60" s="642"/>
    </row>
    <row r="61" spans="3:12" ht="16.5">
      <c r="C61" s="1024" t="s">
        <v>1416</v>
      </c>
      <c r="D61" s="1024">
        <f ca="1">IFERROR(CVA!G25,0)</f>
        <v>0</v>
      </c>
      <c r="E61" s="1022">
        <f t="shared" ca="1" si="0"/>
        <v>0</v>
      </c>
      <c r="F61" s="1015">
        <v>19</v>
      </c>
      <c r="G61" s="1015">
        <v>64</v>
      </c>
      <c r="H61" s="1015">
        <v>999</v>
      </c>
      <c r="I61" s="1015">
        <v>3</v>
      </c>
      <c r="J61" s="1015">
        <v>15</v>
      </c>
      <c r="K61" s="1016">
        <v>9</v>
      </c>
      <c r="L61" s="642"/>
    </row>
    <row r="62" spans="3:12" ht="16.5">
      <c r="C62" s="1024" t="s">
        <v>1417</v>
      </c>
      <c r="D62" s="1024">
        <f ca="1">IFERROR(CVA!G26,0)</f>
        <v>0</v>
      </c>
      <c r="E62" s="1022">
        <f t="shared" ca="1" si="0"/>
        <v>0</v>
      </c>
      <c r="F62" s="1015">
        <v>19</v>
      </c>
      <c r="G62" s="1015">
        <v>64</v>
      </c>
      <c r="H62" s="1015">
        <v>999</v>
      </c>
      <c r="I62" s="1015">
        <v>3</v>
      </c>
      <c r="J62" s="1015">
        <v>25</v>
      </c>
      <c r="K62" s="1016">
        <v>9</v>
      </c>
      <c r="L62" s="642"/>
    </row>
    <row r="63" spans="3:12" ht="16.5">
      <c r="C63" s="1024" t="s">
        <v>1418</v>
      </c>
      <c r="D63" s="1024">
        <f ca="1">IFERROR(CVA!G$27*Resultado!D25/SUM(Resultado!$D$25:$D$29),0)</f>
        <v>0</v>
      </c>
      <c r="E63" s="1022">
        <f t="shared" ca="1" si="0"/>
        <v>0</v>
      </c>
      <c r="F63" s="1015">
        <v>19</v>
      </c>
      <c r="G63" s="1015">
        <v>64</v>
      </c>
      <c r="H63" s="1015">
        <v>999</v>
      </c>
      <c r="I63" s="1015">
        <v>1</v>
      </c>
      <c r="J63" s="1015">
        <v>1</v>
      </c>
      <c r="K63" s="1016">
        <v>9</v>
      </c>
      <c r="L63" s="642"/>
    </row>
    <row r="64" spans="3:12" ht="16.5">
      <c r="C64" s="1024" t="s">
        <v>1419</v>
      </c>
      <c r="D64" s="1024">
        <f ca="1">IFERROR(CVA!G$27*Resultado!D26/SUM(Resultado!$D$27:$D$29),0)</f>
        <v>0</v>
      </c>
      <c r="E64" s="1022">
        <f t="shared" ca="1" si="0"/>
        <v>0</v>
      </c>
      <c r="F64" s="1015">
        <v>19</v>
      </c>
      <c r="G64" s="1015">
        <v>64</v>
      </c>
      <c r="H64" s="1015">
        <v>999</v>
      </c>
      <c r="I64" s="1015">
        <v>1</v>
      </c>
      <c r="J64" s="1015">
        <v>1</v>
      </c>
      <c r="K64" s="1016">
        <v>9</v>
      </c>
      <c r="L64" s="642"/>
    </row>
    <row r="65" spans="3:12" ht="16.5">
      <c r="C65" s="1024" t="s">
        <v>1420</v>
      </c>
      <c r="D65" s="1024">
        <f ca="1">IFERROR(CVA!G$27*Resultado!D28/SUM(Resultado!$D$25:$D$29),0)</f>
        <v>0</v>
      </c>
      <c r="E65" s="1022">
        <f t="shared" ca="1" si="0"/>
        <v>0</v>
      </c>
      <c r="F65" s="1015">
        <v>19</v>
      </c>
      <c r="G65" s="1015">
        <v>64</v>
      </c>
      <c r="H65" s="1015">
        <v>999</v>
      </c>
      <c r="I65" s="1015">
        <v>1</v>
      </c>
      <c r="J65" s="1015">
        <v>1</v>
      </c>
      <c r="K65" s="1016">
        <v>9</v>
      </c>
      <c r="L65" s="642"/>
    </row>
    <row r="66" spans="3:12" ht="16.5">
      <c r="C66" s="1024" t="s">
        <v>1421</v>
      </c>
      <c r="D66" s="1024">
        <f ca="1">IFERROR(CVA!G$27*Resultado!D27/SUM(Resultado!$D$25:$D$29),0)</f>
        <v>0</v>
      </c>
      <c r="E66" s="1022">
        <f t="shared" ca="1" si="0"/>
        <v>0</v>
      </c>
      <c r="F66" s="1015">
        <v>19</v>
      </c>
      <c r="G66" s="1015">
        <v>64</v>
      </c>
      <c r="H66" s="1015">
        <v>999</v>
      </c>
      <c r="I66" s="1015">
        <v>1</v>
      </c>
      <c r="J66" s="1015">
        <v>1</v>
      </c>
      <c r="K66" s="1016">
        <v>9</v>
      </c>
      <c r="L66" s="642"/>
    </row>
    <row r="67" spans="3:12" ht="16.5">
      <c r="C67" s="1024" t="s">
        <v>1422</v>
      </c>
      <c r="D67" s="1024">
        <f ca="1">IFERROR(CVA!G$27*Resultado!D29/SUM(Resultado!$D$25:$D$29),0)</f>
        <v>0</v>
      </c>
      <c r="E67" s="1022">
        <f t="shared" ca="1" si="0"/>
        <v>0</v>
      </c>
      <c r="F67" s="1015">
        <v>19</v>
      </c>
      <c r="G67" s="1015">
        <v>64</v>
      </c>
      <c r="H67" s="1015">
        <v>999</v>
      </c>
      <c r="I67" s="1015">
        <v>1</v>
      </c>
      <c r="J67" s="1015">
        <v>23</v>
      </c>
      <c r="K67" s="1016">
        <v>9</v>
      </c>
      <c r="L67" s="642"/>
    </row>
    <row r="68" spans="3:12" ht="16.5">
      <c r="C68" s="1024" t="s">
        <v>1423</v>
      </c>
      <c r="D68" s="1024">
        <f ca="1">IFERROR(CVA!G30,0)</f>
        <v>0</v>
      </c>
      <c r="E68" s="1022">
        <f t="shared" ca="1" si="0"/>
        <v>0</v>
      </c>
      <c r="F68" s="1015">
        <v>19</v>
      </c>
      <c r="G68" s="1015">
        <v>64</v>
      </c>
      <c r="H68" s="1015">
        <v>999</v>
      </c>
      <c r="I68" s="1015">
        <v>1</v>
      </c>
      <c r="J68" s="1015">
        <v>21</v>
      </c>
      <c r="K68" s="1016">
        <v>9</v>
      </c>
      <c r="L68" s="642"/>
    </row>
    <row r="69" spans="3:12" ht="16.5">
      <c r="C69" s="1024" t="s">
        <v>1424</v>
      </c>
      <c r="D69" s="1024">
        <f ca="1">IFERROR(CVA!$G$28*Energia!C6/Energia!$C$5,0)</f>
        <v>0</v>
      </c>
      <c r="E69" s="1022">
        <f t="shared" ca="1" si="0"/>
        <v>0</v>
      </c>
      <c r="F69" s="1015">
        <v>19</v>
      </c>
      <c r="G69" s="1015">
        <v>64</v>
      </c>
      <c r="H69" s="1015">
        <v>999</v>
      </c>
      <c r="I69" s="1015">
        <v>2</v>
      </c>
      <c r="J69" s="1015">
        <v>11</v>
      </c>
      <c r="K69" s="1016">
        <v>9</v>
      </c>
      <c r="L69" s="642"/>
    </row>
    <row r="70" spans="3:12" ht="16.5">
      <c r="C70" s="1024" t="s">
        <v>1425</v>
      </c>
      <c r="D70" s="1024">
        <f ca="1">IFERROR(CVA!$G$28*Energia!M16/Energia!$C$5,0)</f>
        <v>0</v>
      </c>
      <c r="E70" s="1022">
        <f t="shared" ca="1" si="0"/>
        <v>0</v>
      </c>
      <c r="F70" s="1015">
        <v>19</v>
      </c>
      <c r="G70" s="1015">
        <v>64</v>
      </c>
      <c r="H70" s="1015">
        <v>999</v>
      </c>
      <c r="I70" s="1015">
        <v>2</v>
      </c>
      <c r="J70" s="1015">
        <v>9</v>
      </c>
      <c r="K70" s="1016">
        <v>9</v>
      </c>
      <c r="L70" s="642"/>
    </row>
    <row r="71" spans="3:12" ht="16.5">
      <c r="C71" s="1024" t="s">
        <v>1426</v>
      </c>
      <c r="D71" s="1024">
        <f ca="1">IFERROR(CVA!$G$28*Energia!M17/Energia!$C$5,0)</f>
        <v>0</v>
      </c>
      <c r="E71" s="1022">
        <f t="shared" ca="1" si="0"/>
        <v>0</v>
      </c>
      <c r="F71" s="1015">
        <v>19</v>
      </c>
      <c r="G71" s="1015">
        <v>64</v>
      </c>
      <c r="H71" s="1015">
        <v>999</v>
      </c>
      <c r="I71" s="1015">
        <v>2</v>
      </c>
      <c r="J71" s="1015">
        <v>8</v>
      </c>
      <c r="K71" s="1016">
        <v>9</v>
      </c>
      <c r="L71" s="642"/>
    </row>
    <row r="72" spans="3:12" ht="16.5">
      <c r="C72" s="1024" t="s">
        <v>1427</v>
      </c>
      <c r="D72" s="1024">
        <f ca="1">IFERROR(CVA!$G$28*Energia!C11/Energia!$C$5,0)</f>
        <v>0</v>
      </c>
      <c r="E72" s="1022">
        <f t="shared" ca="1" si="0"/>
        <v>0</v>
      </c>
      <c r="F72" s="1015">
        <v>19</v>
      </c>
      <c r="G72" s="1015">
        <v>64</v>
      </c>
      <c r="H72" s="1015">
        <v>999</v>
      </c>
      <c r="I72" s="1015">
        <v>2</v>
      </c>
      <c r="J72" s="1015">
        <v>10</v>
      </c>
      <c r="K72" s="1016">
        <v>9</v>
      </c>
      <c r="L72" s="642"/>
    </row>
    <row r="73" spans="3:12" ht="16.5">
      <c r="C73" s="1024" t="s">
        <v>1428</v>
      </c>
      <c r="D73" s="1024">
        <f ca="1">IFERROR(CVA!$G$28*Energia!C12/Energia!$C$5,0)</f>
        <v>0</v>
      </c>
      <c r="E73" s="1022">
        <f t="shared" ref="E73:E76" ca="1" si="3">IF(ISERROR(D73/$D$4),0,D73/$D$4)</f>
        <v>0</v>
      </c>
      <c r="F73" s="1015">
        <v>19</v>
      </c>
      <c r="G73" s="1015">
        <v>64</v>
      </c>
      <c r="H73" s="1015">
        <v>999</v>
      </c>
      <c r="I73" s="1015">
        <v>2</v>
      </c>
      <c r="J73" s="1015">
        <v>24</v>
      </c>
      <c r="K73" s="1016">
        <v>9</v>
      </c>
      <c r="L73" s="642"/>
    </row>
    <row r="74" spans="3:12" ht="16.5">
      <c r="C74" s="1024" t="s">
        <v>1429</v>
      </c>
      <c r="D74" s="1024">
        <f ca="1">IFERROR(CVA!G31,0)</f>
        <v>0</v>
      </c>
      <c r="E74" s="1022">
        <f t="shared" ca="1" si="3"/>
        <v>0</v>
      </c>
      <c r="F74" s="1015">
        <v>19</v>
      </c>
      <c r="G74" s="1015">
        <v>64</v>
      </c>
      <c r="H74" s="1015">
        <v>999</v>
      </c>
      <c r="I74" s="1015">
        <v>3</v>
      </c>
      <c r="J74" s="1015">
        <v>18</v>
      </c>
      <c r="K74" s="1016">
        <v>9</v>
      </c>
      <c r="L74" s="642"/>
    </row>
    <row r="75" spans="3:12" ht="16.5">
      <c r="C75" s="1024" t="s">
        <v>1430</v>
      </c>
      <c r="D75" s="1024">
        <f ca="1">IFERROR(CVA!G29,0)</f>
        <v>0</v>
      </c>
      <c r="E75" s="1022">
        <f t="shared" ca="1" si="3"/>
        <v>0</v>
      </c>
      <c r="F75" s="1016">
        <v>19</v>
      </c>
      <c r="G75" s="1016">
        <v>64</v>
      </c>
      <c r="H75" s="1016">
        <v>999</v>
      </c>
      <c r="I75" s="1016">
        <v>3</v>
      </c>
      <c r="J75" s="1016">
        <v>16</v>
      </c>
      <c r="K75" s="1016">
        <v>9</v>
      </c>
      <c r="L75" s="642"/>
    </row>
    <row r="76" spans="3:12" ht="16.5">
      <c r="C76" s="1024" t="s">
        <v>1431</v>
      </c>
      <c r="D76" s="1024">
        <f ca="1">IFERROR(CVA!G32,0)</f>
        <v>0</v>
      </c>
      <c r="E76" s="1022">
        <f t="shared" ca="1" si="3"/>
        <v>0</v>
      </c>
      <c r="F76" s="1016">
        <v>19</v>
      </c>
      <c r="G76" s="1016">
        <v>64</v>
      </c>
      <c r="H76" s="1016">
        <v>999</v>
      </c>
      <c r="I76" s="1016">
        <v>3</v>
      </c>
      <c r="J76" s="1016">
        <v>17</v>
      </c>
      <c r="K76" s="1016">
        <v>9</v>
      </c>
      <c r="L76" s="642"/>
    </row>
    <row r="77" spans="3:12" ht="16.5">
      <c r="C77" s="1024" t="s">
        <v>1432</v>
      </c>
      <c r="D77" s="1024">
        <f ca="1">IFERROR(CVA!$I$15,0)</f>
        <v>0</v>
      </c>
      <c r="E77" s="1468">
        <f t="shared" ref="E77" ca="1" si="4">IF(ISERROR(D77/$D$5),0,D77/$D$5)</f>
        <v>0</v>
      </c>
      <c r="F77" s="1469">
        <v>22</v>
      </c>
      <c r="G77" s="1469">
        <v>62</v>
      </c>
      <c r="H77" s="1469">
        <v>220</v>
      </c>
      <c r="I77" s="1469">
        <v>2</v>
      </c>
      <c r="J77" s="1469">
        <v>30</v>
      </c>
      <c r="K77" s="1469">
        <v>9</v>
      </c>
      <c r="L77" s="642"/>
    </row>
    <row r="78" spans="3:12" ht="16.5">
      <c r="C78" s="1025"/>
    </row>
  </sheetData>
  <conditionalFormatting sqref="D25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9:E9 E27:E28 E24 E22 E21 E25 E17 E18 E23 E26 E14:E16 E12 E11 F12 F13 F14:F16 E20 F17 F22 E19 D21 D22 D27 D17 D10:D16 D18:D20 D28 D24:D25 E30:E33 D33:D34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5" t="s">
        <v>2228</v>
      </c>
    </row>
    <row r="4" spans="1:5">
      <c r="B4" t="s">
        <v>2229</v>
      </c>
    </row>
    <row r="7" spans="1:5">
      <c r="A7" s="757"/>
      <c r="B7" s="757" t="s">
        <v>2223</v>
      </c>
    </row>
    <row r="8" spans="1:5">
      <c r="A8" s="757" t="s">
        <v>1031</v>
      </c>
      <c r="B8" s="1661"/>
    </row>
    <row r="9" spans="1:5">
      <c r="A9" s="757" t="s">
        <v>1050</v>
      </c>
      <c r="B9" s="1661"/>
    </row>
    <row r="11" spans="1:5" ht="47.25">
      <c r="A11" s="1669"/>
      <c r="B11" s="1670" t="s">
        <v>2230</v>
      </c>
      <c r="C11" s="1671" t="s">
        <v>2224</v>
      </c>
      <c r="D11" s="1671" t="s">
        <v>2225</v>
      </c>
      <c r="E11" s="1671" t="s">
        <v>845</v>
      </c>
    </row>
    <row r="12" spans="1:5">
      <c r="A12" s="911" t="s">
        <v>845</v>
      </c>
      <c r="B12" s="1662">
        <f>B13+B14</f>
        <v>0</v>
      </c>
      <c r="C12" s="1662">
        <f>Indexador!R49</f>
        <v>4.2022420498741706</v>
      </c>
      <c r="D12" s="1662">
        <f>C12*85%</f>
        <v>3.5719057423930449</v>
      </c>
      <c r="E12" s="1662">
        <f>SUM(B12:D12)</f>
        <v>7.7741477922672155</v>
      </c>
    </row>
    <row r="13" spans="1:5">
      <c r="A13" s="757" t="s">
        <v>1031</v>
      </c>
      <c r="B13" s="1662">
        <f>Indexador!V49</f>
        <v>0</v>
      </c>
      <c r="C13" s="1662">
        <f ca="1">IFERROR($C$12*(Resultado!D32/(Resultado!$D$32+Resultado!$D$33)),0)</f>
        <v>2.7070740214215232</v>
      </c>
      <c r="D13" s="1662">
        <f t="shared" ref="D13:D14" ca="1" si="0">C13*85%</f>
        <v>2.3010129182082948</v>
      </c>
      <c r="E13" s="1662">
        <f t="shared" ref="E13:E14" ca="1" si="1">SUM(B13:D13)</f>
        <v>5.008086939629818</v>
      </c>
    </row>
    <row r="14" spans="1:5">
      <c r="A14" s="757" t="s">
        <v>1050</v>
      </c>
      <c r="B14" s="1662">
        <f>Indexador!T49</f>
        <v>0</v>
      </c>
      <c r="C14" s="1662">
        <f ca="1">IFERROR($C$12*(Resultado!D33/(Resultado!$D$32+Resultado!$D$33)),0)</f>
        <v>1.4951680284526467</v>
      </c>
      <c r="D14" s="1662">
        <f t="shared" ca="1" si="0"/>
        <v>1.2708928241847497</v>
      </c>
      <c r="E14" s="1662">
        <f t="shared" ca="1" si="1"/>
        <v>2.7660608526373966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H38" sqref="H38"/>
    </sheetView>
  </sheetViews>
  <sheetFormatPr defaultColWidth="9.140625" defaultRowHeight="15" customHeight="1"/>
  <cols>
    <col min="1" max="1" width="4.42578125" style="933" customWidth="1"/>
    <col min="2" max="2" width="27.28515625" style="933" customWidth="1"/>
    <col min="3" max="5" width="17.7109375" style="934" customWidth="1"/>
    <col min="6" max="7" width="17.7109375" style="933" customWidth="1"/>
    <col min="8" max="8" width="46.42578125" style="933" customWidth="1"/>
    <col min="9" max="9" width="14.7109375" style="933" customWidth="1"/>
    <col min="10" max="13" width="12.7109375" style="933" customWidth="1"/>
    <col min="14" max="17" width="9.140625" style="933"/>
    <col min="18" max="18" width="17" style="933" customWidth="1"/>
    <col min="19" max="19" width="14.28515625" style="933" customWidth="1"/>
    <col min="20" max="20" width="15.42578125" style="933" customWidth="1"/>
    <col min="21" max="21" width="13.85546875" style="933" customWidth="1"/>
    <col min="22" max="22" width="17.140625" style="933" customWidth="1"/>
    <col min="23" max="23" width="13" style="933" customWidth="1"/>
    <col min="24" max="24" width="14.140625" style="933" customWidth="1"/>
    <col min="25" max="25" width="17.7109375" style="933" customWidth="1"/>
    <col min="26" max="26" width="17" style="933" customWidth="1"/>
    <col min="27" max="27" width="14" style="933" customWidth="1"/>
    <col min="28" max="28" width="14.85546875" style="933" customWidth="1"/>
    <col min="29" max="16384" width="9.140625" style="933"/>
  </cols>
  <sheetData>
    <row r="1" spans="1:18" ht="14.45" customHeight="1"/>
    <row r="2" spans="1:18" ht="14.45" customHeight="1">
      <c r="B2" s="935" t="s">
        <v>1433</v>
      </c>
      <c r="C2" s="936"/>
      <c r="D2" s="936"/>
      <c r="E2" s="936"/>
      <c r="F2" s="937"/>
      <c r="G2" s="937"/>
      <c r="H2" s="938" t="s">
        <v>13</v>
      </c>
      <c r="I2" s="939">
        <f>Resultado!$D$6</f>
        <v>0</v>
      </c>
      <c r="J2" s="940"/>
      <c r="K2" s="940"/>
    </row>
    <row r="3" spans="1:18" ht="14.45" customHeight="1">
      <c r="B3" s="941"/>
      <c r="C3" s="942"/>
      <c r="D3" s="942"/>
      <c r="E3" s="942"/>
      <c r="H3" s="943" t="s">
        <v>14</v>
      </c>
      <c r="I3" s="944">
        <f>Resultado!$D$8</f>
        <v>0</v>
      </c>
      <c r="J3" s="940"/>
      <c r="K3" s="940"/>
    </row>
    <row r="4" spans="1:18" ht="14.45" customHeight="1">
      <c r="B4" s="940"/>
      <c r="C4" s="942"/>
      <c r="D4" s="942"/>
      <c r="E4" s="942"/>
      <c r="F4" s="945"/>
      <c r="G4" s="940"/>
      <c r="H4" s="940"/>
      <c r="I4" s="940"/>
      <c r="J4" s="940"/>
      <c r="K4" s="940"/>
    </row>
    <row r="5" spans="1:18" ht="15" customHeight="1">
      <c r="B5" s="940"/>
      <c r="C5" s="946"/>
      <c r="D5" s="942"/>
      <c r="E5" s="942"/>
      <c r="F5" s="945"/>
      <c r="G5" s="940"/>
      <c r="H5" s="940"/>
      <c r="I5" s="940"/>
      <c r="J5" s="940"/>
      <c r="K5" s="940"/>
      <c r="R5" s="1470" t="s">
        <v>953</v>
      </c>
    </row>
    <row r="6" spans="1:18" s="950" customFormat="1" ht="15" customHeight="1">
      <c r="A6" s="947"/>
      <c r="B6" s="948"/>
      <c r="C6" s="949"/>
      <c r="D6" s="949"/>
      <c r="E6" s="949"/>
      <c r="F6" s="948"/>
      <c r="G6" s="948"/>
      <c r="H6" s="948"/>
      <c r="I6" s="948"/>
      <c r="J6" s="948"/>
      <c r="K6" s="948"/>
      <c r="R6" s="996">
        <f>DATE(YEAR(R8),MONTH(R8)-1,1)</f>
        <v>44317</v>
      </c>
    </row>
    <row r="7" spans="1:18" s="950" customFormat="1" ht="15" customHeight="1">
      <c r="A7" s="947"/>
      <c r="B7" s="951" t="s">
        <v>1434</v>
      </c>
      <c r="C7" s="949"/>
      <c r="D7" s="952"/>
      <c r="E7" s="952"/>
      <c r="F7" s="953"/>
      <c r="G7" s="948"/>
      <c r="H7" s="948"/>
      <c r="I7" s="948"/>
      <c r="J7" s="948"/>
      <c r="K7" s="948"/>
      <c r="R7" s="1470" t="s">
        <v>953</v>
      </c>
    </row>
    <row r="8" spans="1:18" ht="27.95" customHeight="1">
      <c r="B8" s="954" t="s">
        <v>854</v>
      </c>
      <c r="C8" s="954" t="s">
        <v>1435</v>
      </c>
      <c r="D8" s="954" t="s">
        <v>1436</v>
      </c>
      <c r="E8" s="954" t="s">
        <v>1437</v>
      </c>
      <c r="F8" s="940"/>
      <c r="G8" s="940"/>
      <c r="H8" s="940"/>
      <c r="I8" s="955"/>
      <c r="R8" s="996">
        <f>DATE(YEAR(R10),MONTH(R10)-1,1)</f>
        <v>44348</v>
      </c>
    </row>
    <row r="9" spans="1:18" ht="14.45" customHeight="1">
      <c r="B9" s="1471" t="s">
        <v>1438</v>
      </c>
      <c r="C9" s="1472"/>
      <c r="D9" s="1472"/>
      <c r="E9" s="1472"/>
      <c r="F9" s="940"/>
      <c r="G9" s="449"/>
      <c r="H9" s="1473" t="s">
        <v>1439</v>
      </c>
      <c r="I9" s="1474"/>
      <c r="R9" s="1470" t="s">
        <v>953</v>
      </c>
    </row>
    <row r="10" spans="1:18" ht="14.45" customHeight="1">
      <c r="B10" s="956" t="s">
        <v>41</v>
      </c>
      <c r="C10" s="957"/>
      <c r="D10" s="957"/>
      <c r="E10" s="957"/>
      <c r="F10" s="940"/>
      <c r="G10" s="449"/>
      <c r="H10" s="958" t="s">
        <v>1440</v>
      </c>
      <c r="I10" s="959">
        <f>Indexador!F173</f>
        <v>0</v>
      </c>
      <c r="R10" s="996">
        <f>DATE(YEAR(R12),MONTH(R12)-1,1)</f>
        <v>44378</v>
      </c>
    </row>
    <row r="11" spans="1:18" ht="14.45" customHeight="1">
      <c r="B11" s="956" t="s">
        <v>1441</v>
      </c>
      <c r="C11" s="957"/>
      <c r="D11" s="957"/>
      <c r="E11" s="957"/>
      <c r="F11" s="940"/>
      <c r="G11" s="940"/>
      <c r="H11" s="958" t="s">
        <v>1442</v>
      </c>
      <c r="I11" s="960"/>
      <c r="R11" s="1470" t="s">
        <v>953</v>
      </c>
    </row>
    <row r="12" spans="1:18" ht="14.45" customHeight="1">
      <c r="B12" s="956" t="s">
        <v>703</v>
      </c>
      <c r="C12" s="957"/>
      <c r="D12" s="957"/>
      <c r="E12" s="957"/>
      <c r="F12" s="940"/>
      <c r="G12" s="449"/>
      <c r="H12" s="958" t="s">
        <v>1443</v>
      </c>
      <c r="I12" s="960"/>
      <c r="R12" s="996">
        <f>DATE(YEAR(R14),MONTH(R14)-1,1)</f>
        <v>44409</v>
      </c>
    </row>
    <row r="13" spans="1:18" ht="14.45" customHeight="1">
      <c r="B13" s="956" t="s">
        <v>1444</v>
      </c>
      <c r="C13" s="957"/>
      <c r="D13" s="957"/>
      <c r="E13" s="957"/>
      <c r="F13" s="940"/>
      <c r="G13" s="449"/>
      <c r="H13" s="958" t="s">
        <v>1445</v>
      </c>
      <c r="I13" s="1475"/>
      <c r="R13" s="1470" t="s">
        <v>953</v>
      </c>
    </row>
    <row r="14" spans="1:18" ht="14.45" customHeight="1">
      <c r="B14" s="956" t="s">
        <v>126</v>
      </c>
      <c r="C14" s="957"/>
      <c r="D14" s="957"/>
      <c r="E14" s="957"/>
      <c r="F14" s="940"/>
      <c r="G14" s="449"/>
      <c r="H14" s="1473" t="s">
        <v>1446</v>
      </c>
      <c r="I14" s="1476"/>
      <c r="J14" s="940"/>
      <c r="K14" s="940"/>
      <c r="R14" s="996">
        <f>DATE(YEAR(R16),MONTH(R16)-1,1)</f>
        <v>44440</v>
      </c>
    </row>
    <row r="15" spans="1:18" ht="14.45" customHeight="1">
      <c r="B15" s="956" t="s">
        <v>1447</v>
      </c>
      <c r="C15" s="957"/>
      <c r="D15" s="957"/>
      <c r="E15" s="957"/>
      <c r="F15" s="940"/>
      <c r="G15" s="449"/>
      <c r="H15" s="1477" t="s">
        <v>1448</v>
      </c>
      <c r="I15" s="1478" t="e">
        <f ca="1">-I14*K67/K66</f>
        <v>#DIV/0!</v>
      </c>
      <c r="J15" s="940"/>
      <c r="K15" s="940"/>
      <c r="R15" s="1470" t="s">
        <v>953</v>
      </c>
    </row>
    <row r="16" spans="1:18" ht="14.45" customHeight="1">
      <c r="B16" s="956" t="s">
        <v>122</v>
      </c>
      <c r="C16" s="957"/>
      <c r="D16" s="957"/>
      <c r="E16" s="957"/>
      <c r="F16" s="941"/>
      <c r="G16" s="449"/>
      <c r="H16" s="940"/>
      <c r="I16" s="955"/>
      <c r="J16" s="940"/>
      <c r="K16" s="940"/>
      <c r="R16" s="996">
        <f>DATE(YEAR(R18),MONTH(R18)-1,1)</f>
        <v>44470</v>
      </c>
    </row>
    <row r="17" spans="1:18" ht="14.45" customHeight="1">
      <c r="B17" s="956" t="s">
        <v>46</v>
      </c>
      <c r="C17" s="957"/>
      <c r="D17" s="957"/>
      <c r="E17" s="957"/>
      <c r="F17" s="940"/>
      <c r="G17" s="449"/>
      <c r="H17" s="940"/>
      <c r="I17" s="940"/>
      <c r="J17" s="940"/>
      <c r="K17" s="940"/>
      <c r="R17" s="1470" t="s">
        <v>953</v>
      </c>
    </row>
    <row r="18" spans="1:18" ht="14.45" customHeight="1">
      <c r="B18" s="961" t="s">
        <v>845</v>
      </c>
      <c r="C18" s="962">
        <f>SUM(C9:C17)</f>
        <v>0</v>
      </c>
      <c r="D18" s="962">
        <f t="shared" ref="D18:E18" si="0">SUM(D9:D17)</f>
        <v>0</v>
      </c>
      <c r="E18" s="962">
        <f t="shared" si="0"/>
        <v>0</v>
      </c>
      <c r="F18" s="940"/>
      <c r="G18" s="940"/>
      <c r="H18" s="940"/>
      <c r="I18" s="940"/>
      <c r="J18" s="940"/>
      <c r="K18" s="940"/>
      <c r="R18" s="996">
        <f>DATE(YEAR(R20),MONTH(R20)-1,1)</f>
        <v>44501</v>
      </c>
    </row>
    <row r="19" spans="1:18" ht="14.45" hidden="1" customHeight="1">
      <c r="B19" s="940"/>
      <c r="C19" s="942"/>
      <c r="D19" s="942"/>
      <c r="E19" s="942"/>
      <c r="F19" s="940"/>
      <c r="G19" s="940"/>
      <c r="R19" s="1470" t="s">
        <v>953</v>
      </c>
    </row>
    <row r="20" spans="1:18" ht="14.45" customHeight="1">
      <c r="B20" s="940"/>
      <c r="C20" s="942"/>
      <c r="D20" s="942"/>
      <c r="E20" s="942"/>
      <c r="F20" s="940"/>
      <c r="G20" s="940"/>
      <c r="R20" s="996">
        <f>DATE(YEAR(R22),MONTH(R22)-1,1)</f>
        <v>44531</v>
      </c>
    </row>
    <row r="21" spans="1:18" s="950" customFormat="1" ht="14.45" customHeight="1">
      <c r="A21" s="947"/>
      <c r="B21" s="948"/>
      <c r="C21" s="949"/>
      <c r="D21" s="949"/>
      <c r="E21" s="949"/>
      <c r="F21" s="948"/>
      <c r="G21" s="948"/>
      <c r="R21" s="1470" t="s">
        <v>953</v>
      </c>
    </row>
    <row r="22" spans="1:18" ht="14.45" customHeight="1">
      <c r="B22" s="951" t="s">
        <v>1449</v>
      </c>
      <c r="C22" s="942"/>
      <c r="D22" s="942"/>
      <c r="E22" s="942"/>
      <c r="F22" s="940"/>
      <c r="G22" s="940"/>
      <c r="R22" s="996">
        <f>DATE(YEAR(R24),MONTH(R24)-1,1)</f>
        <v>44562</v>
      </c>
    </row>
    <row r="23" spans="1:18" ht="42" customHeight="1">
      <c r="B23" s="1479" t="s">
        <v>854</v>
      </c>
      <c r="C23" s="1479" t="s">
        <v>1450</v>
      </c>
      <c r="D23" s="1479" t="s">
        <v>1451</v>
      </c>
      <c r="E23" s="1479" t="s">
        <v>1452</v>
      </c>
      <c r="F23" s="1479" t="s">
        <v>1453</v>
      </c>
      <c r="G23" s="1479" t="s">
        <v>1454</v>
      </c>
      <c r="R23" s="1470" t="s">
        <v>953</v>
      </c>
    </row>
    <row r="24" spans="1:18" ht="14.45" customHeight="1">
      <c r="B24" s="1480" t="s">
        <v>1438</v>
      </c>
      <c r="C24" s="1481">
        <f>BD!AM7</f>
        <v>0</v>
      </c>
      <c r="D24" s="963"/>
      <c r="E24" s="1482">
        <f t="shared" ref="E24:E32" si="1">D24-C24</f>
        <v>0</v>
      </c>
      <c r="F24" s="1483"/>
      <c r="G24" s="1483"/>
      <c r="H24" s="943"/>
      <c r="I24" s="968"/>
      <c r="J24" s="968"/>
      <c r="K24" s="998"/>
      <c r="R24" s="996">
        <f>DATE(YEAR(R26),MONTH(R26)-1,1)</f>
        <v>44593</v>
      </c>
    </row>
    <row r="25" spans="1:18" ht="14.45" customHeight="1">
      <c r="B25" s="964" t="s">
        <v>41</v>
      </c>
      <c r="C25" s="965">
        <f>BD!AM8</f>
        <v>0</v>
      </c>
      <c r="D25" s="966"/>
      <c r="E25" s="967">
        <f t="shared" si="1"/>
        <v>0</v>
      </c>
      <c r="F25" s="968">
        <f ca="1">M66</f>
        <v>0</v>
      </c>
      <c r="G25" s="999" t="e">
        <f ca="1">(D25+D39)/$D$33*Indexador!$T$80-M67</f>
        <v>#DIV/0!</v>
      </c>
      <c r="H25" s="943"/>
      <c r="I25" s="968"/>
      <c r="J25" s="968"/>
      <c r="K25" s="955"/>
      <c r="R25" s="1470" t="s">
        <v>953</v>
      </c>
    </row>
    <row r="26" spans="1:18" ht="14.45" customHeight="1">
      <c r="B26" s="964" t="s">
        <v>1441</v>
      </c>
      <c r="C26" s="965">
        <f>BD!AM14</f>
        <v>0</v>
      </c>
      <c r="D26" s="966"/>
      <c r="E26" s="967">
        <f t="shared" si="1"/>
        <v>0</v>
      </c>
      <c r="F26" s="968">
        <f ca="1">X66</f>
        <v>0</v>
      </c>
      <c r="G26" s="999" t="e">
        <f ca="1">(D26+D40)/$D$33*Indexador!$T$80-X67</f>
        <v>#DIV/0!</v>
      </c>
      <c r="H26" s="943"/>
      <c r="I26" s="968"/>
      <c r="J26" s="968"/>
      <c r="K26" s="955"/>
      <c r="R26" s="996">
        <f>DATE(YEAR(R28),MONTH(R28)-1,1)</f>
        <v>44621</v>
      </c>
    </row>
    <row r="27" spans="1:18" ht="14.45" customHeight="1">
      <c r="B27" s="964" t="s">
        <v>703</v>
      </c>
      <c r="C27" s="965">
        <f>BD!AM6</f>
        <v>0</v>
      </c>
      <c r="D27" s="966"/>
      <c r="E27" s="969">
        <f t="shared" si="1"/>
        <v>0</v>
      </c>
      <c r="F27" s="970">
        <f ca="1">L66</f>
        <v>0</v>
      </c>
      <c r="G27" s="1000" t="e">
        <f ca="1">D27/$D$33*Indexador!$T$80-L67</f>
        <v>#DIV/0!</v>
      </c>
      <c r="H27" s="943"/>
      <c r="I27" s="970"/>
      <c r="J27" s="970"/>
      <c r="K27" s="955"/>
      <c r="R27" s="1470" t="s">
        <v>953</v>
      </c>
    </row>
    <row r="28" spans="1:18" ht="14.45" customHeight="1">
      <c r="B28" s="964" t="s">
        <v>1444</v>
      </c>
      <c r="C28" s="965">
        <f>BD!AM13</f>
        <v>0</v>
      </c>
      <c r="D28" s="966"/>
      <c r="E28" s="969">
        <f t="shared" si="1"/>
        <v>0</v>
      </c>
      <c r="F28" s="970">
        <f ca="1">K66</f>
        <v>0</v>
      </c>
      <c r="G28" s="1000" t="e">
        <f ca="1">(IF(C42=0,D28,C42)+D42)/$D$33*Indexador!$T$80-K67</f>
        <v>#DIV/0!</v>
      </c>
      <c r="H28" s="943"/>
      <c r="I28" s="970"/>
      <c r="J28" s="970"/>
      <c r="K28" s="955"/>
      <c r="R28" s="996">
        <f>B65</f>
        <v>44652</v>
      </c>
    </row>
    <row r="29" spans="1:18" ht="14.45" customHeight="1">
      <c r="B29" s="964" t="s">
        <v>126</v>
      </c>
      <c r="C29" s="965">
        <f>BD!AM9</f>
        <v>0</v>
      </c>
      <c r="D29" s="966"/>
      <c r="E29" s="969">
        <f t="shared" si="1"/>
        <v>0</v>
      </c>
      <c r="F29" s="970">
        <f ca="1">N66</f>
        <v>0</v>
      </c>
      <c r="G29" s="1000" t="e">
        <f ca="1">D29/$D$33*Indexador!$T$80-N67</f>
        <v>#DIV/0!</v>
      </c>
      <c r="H29" s="943"/>
      <c r="I29" s="970"/>
      <c r="J29" s="970"/>
      <c r="K29" s="955"/>
    </row>
    <row r="30" spans="1:18" ht="14.45" customHeight="1">
      <c r="B30" s="964" t="s">
        <v>1447</v>
      </c>
      <c r="C30" s="965">
        <f>BD!AM12</f>
        <v>0</v>
      </c>
      <c r="D30" s="966"/>
      <c r="E30" s="969">
        <f t="shared" si="1"/>
        <v>0</v>
      </c>
      <c r="F30" s="970">
        <f ca="1">O66</f>
        <v>0</v>
      </c>
      <c r="G30" s="1000" t="e">
        <f ca="1">D30/$D$33*Indexador!$T$80-O67</f>
        <v>#DIV/0!</v>
      </c>
      <c r="H30" s="940"/>
      <c r="I30" s="970"/>
      <c r="J30" s="970"/>
      <c r="K30" s="955"/>
    </row>
    <row r="31" spans="1:18" ht="14.45" customHeight="1">
      <c r="B31" s="964" t="s">
        <v>122</v>
      </c>
      <c r="C31" s="965">
        <f>BD!AM11</f>
        <v>0</v>
      </c>
      <c r="D31" s="966"/>
      <c r="E31" s="969">
        <f t="shared" si="1"/>
        <v>0</v>
      </c>
      <c r="F31" s="970">
        <f ca="1">Q66</f>
        <v>0</v>
      </c>
      <c r="G31" s="1000" t="e">
        <f ca="1">D31/$D$33*Indexador!$T$80-Q67</f>
        <v>#DIV/0!</v>
      </c>
      <c r="I31" s="970"/>
      <c r="J31" s="970"/>
      <c r="K31" s="940"/>
    </row>
    <row r="32" spans="1:18" ht="14.45" customHeight="1">
      <c r="B32" s="971" t="s">
        <v>46</v>
      </c>
      <c r="C32" s="972">
        <f>BD!AM10</f>
        <v>0</v>
      </c>
      <c r="D32" s="966"/>
      <c r="E32" s="973">
        <f t="shared" si="1"/>
        <v>0</v>
      </c>
      <c r="F32" s="974">
        <f ca="1">P66</f>
        <v>0</v>
      </c>
      <c r="G32" s="1001" t="e">
        <f ca="1">IF(C46=0,D32,C46)/$D$33*Indexador!$T$80-P67</f>
        <v>#DIV/0!</v>
      </c>
      <c r="I32" s="970"/>
      <c r="J32" s="970"/>
      <c r="K32" s="940"/>
    </row>
    <row r="33" spans="2:11" ht="14.45" customHeight="1">
      <c r="B33" s="961" t="s">
        <v>845</v>
      </c>
      <c r="C33" s="975">
        <f>SUM(C24:C32)</f>
        <v>0</v>
      </c>
      <c r="D33" s="1484">
        <f>SUM(D24:D32)</f>
        <v>0</v>
      </c>
      <c r="E33" s="975">
        <f>SUM(E24:E32)</f>
        <v>0</v>
      </c>
      <c r="F33" s="976">
        <f ca="1">SUM(F24:F32)</f>
        <v>0</v>
      </c>
      <c r="G33" s="976" t="e">
        <f ca="1">SUM(G24:G32)</f>
        <v>#DIV/0!</v>
      </c>
      <c r="I33" s="997"/>
      <c r="J33" s="997"/>
      <c r="K33" s="940"/>
    </row>
    <row r="34" spans="2:11" ht="14.45" customHeight="1">
      <c r="B34" s="940"/>
      <c r="C34" s="977"/>
      <c r="D34" s="942"/>
      <c r="E34" s="942"/>
      <c r="F34" s="940"/>
      <c r="G34" s="940"/>
      <c r="K34" s="940"/>
    </row>
    <row r="35" spans="2:11" ht="14.45" customHeight="1">
      <c r="B35" s="940"/>
      <c r="C35" s="942"/>
      <c r="D35" s="942"/>
      <c r="E35" s="942"/>
      <c r="F35" s="449"/>
      <c r="G35" s="940"/>
      <c r="K35" s="940"/>
    </row>
    <row r="36" spans="2:11" ht="14.45" customHeight="1">
      <c r="B36" s="951" t="s">
        <v>1455</v>
      </c>
      <c r="C36" s="977"/>
      <c r="D36" s="942"/>
      <c r="E36" s="942"/>
      <c r="F36" s="940"/>
      <c r="G36" s="978"/>
      <c r="K36" s="940"/>
    </row>
    <row r="37" spans="2:11" ht="43.5" customHeight="1">
      <c r="B37" s="1485" t="s">
        <v>854</v>
      </c>
      <c r="C37" s="1485" t="s">
        <v>1456</v>
      </c>
      <c r="D37" s="1485" t="s">
        <v>1457</v>
      </c>
      <c r="E37" s="979"/>
      <c r="F37" s="449"/>
      <c r="G37" s="940"/>
      <c r="H37" s="940"/>
      <c r="I37" s="940"/>
      <c r="J37" s="940"/>
      <c r="K37" s="940"/>
    </row>
    <row r="38" spans="2:11" ht="14.45" customHeight="1">
      <c r="B38" s="1471" t="s">
        <v>1438</v>
      </c>
      <c r="C38" s="1486"/>
      <c r="D38" s="980"/>
      <c r="E38" s="979"/>
      <c r="F38" s="449"/>
      <c r="G38" s="940"/>
      <c r="H38" s="940"/>
      <c r="I38" s="940"/>
      <c r="J38" s="940"/>
      <c r="K38" s="940"/>
    </row>
    <row r="39" spans="2:11" ht="14.45" customHeight="1">
      <c r="B39" s="956" t="s">
        <v>41</v>
      </c>
      <c r="C39" s="981"/>
      <c r="D39" s="982">
        <v>0</v>
      </c>
      <c r="E39" s="979"/>
      <c r="F39" s="449"/>
      <c r="G39" s="449"/>
      <c r="H39" s="940"/>
      <c r="I39" s="940"/>
      <c r="J39" s="940"/>
      <c r="K39" s="940"/>
    </row>
    <row r="40" spans="2:11" ht="14.45" customHeight="1">
      <c r="B40" s="956" t="s">
        <v>1441</v>
      </c>
      <c r="C40" s="983"/>
      <c r="D40" s="982">
        <v>0</v>
      </c>
      <c r="E40" s="979"/>
      <c r="F40" s="449"/>
      <c r="G40" s="940"/>
      <c r="H40" s="940"/>
      <c r="I40" s="940"/>
      <c r="J40" s="940"/>
      <c r="K40" s="940"/>
    </row>
    <row r="41" spans="2:11" ht="14.45" customHeight="1">
      <c r="B41" s="956" t="s">
        <v>703</v>
      </c>
      <c r="C41" s="983"/>
      <c r="D41" s="984"/>
      <c r="E41" s="979"/>
      <c r="F41" s="449"/>
      <c r="G41" s="940"/>
      <c r="H41" s="940"/>
      <c r="I41" s="940"/>
      <c r="J41" s="940"/>
      <c r="K41" s="940"/>
    </row>
    <row r="42" spans="2:11" ht="14.45" customHeight="1">
      <c r="B42" s="956" t="s">
        <v>1444</v>
      </c>
      <c r="C42" s="985"/>
      <c r="D42" s="982">
        <v>0</v>
      </c>
      <c r="E42" s="979"/>
      <c r="F42" s="449"/>
      <c r="G42" s="940"/>
      <c r="H42" s="940"/>
      <c r="I42" s="940"/>
      <c r="J42" s="940"/>
      <c r="K42" s="940"/>
    </row>
    <row r="43" spans="2:11" ht="14.45" customHeight="1">
      <c r="B43" s="956" t="s">
        <v>126</v>
      </c>
      <c r="C43" s="986"/>
      <c r="D43" s="980"/>
      <c r="E43" s="979"/>
      <c r="F43" s="449"/>
      <c r="G43" s="940"/>
      <c r="H43" s="940"/>
      <c r="I43" s="940"/>
      <c r="J43" s="940"/>
      <c r="K43" s="940"/>
    </row>
    <row r="44" spans="2:11" ht="14.45" customHeight="1">
      <c r="B44" s="956" t="s">
        <v>1447</v>
      </c>
      <c r="C44" s="986"/>
      <c r="D44" s="980"/>
      <c r="E44" s="979"/>
      <c r="F44" s="449"/>
      <c r="G44" s="940"/>
      <c r="H44" s="940"/>
      <c r="I44" s="940"/>
      <c r="J44" s="940"/>
      <c r="K44" s="940"/>
    </row>
    <row r="45" spans="2:11" ht="14.45" customHeight="1">
      <c r="B45" s="956" t="s">
        <v>122</v>
      </c>
      <c r="C45" s="986"/>
      <c r="D45" s="980"/>
      <c r="E45" s="979"/>
      <c r="F45" s="449"/>
      <c r="G45" s="940"/>
      <c r="H45" s="940"/>
      <c r="I45" s="940"/>
      <c r="J45" s="940"/>
      <c r="K45" s="940"/>
    </row>
    <row r="46" spans="2:11" ht="14.45" customHeight="1">
      <c r="B46" s="971" t="s">
        <v>46</v>
      </c>
      <c r="C46" s="987"/>
      <c r="D46" s="988"/>
      <c r="E46" s="979"/>
      <c r="F46" s="449"/>
      <c r="G46" s="940"/>
      <c r="H46" s="940"/>
      <c r="I46" s="940"/>
      <c r="J46" s="940"/>
      <c r="K46" s="940"/>
    </row>
    <row r="47" spans="2:11" ht="14.45" customHeight="1">
      <c r="B47" s="449"/>
      <c r="C47" s="979"/>
      <c r="D47" s="979"/>
      <c r="E47" s="979"/>
      <c r="F47" s="449"/>
      <c r="G47" s="940"/>
      <c r="H47" s="940"/>
      <c r="I47" s="940"/>
      <c r="J47" s="940"/>
      <c r="K47" s="940"/>
    </row>
    <row r="48" spans="2:11" ht="14.45" customHeight="1">
      <c r="B48" s="65"/>
      <c r="C48" s="989"/>
      <c r="D48" s="989"/>
      <c r="E48" s="989"/>
      <c r="F48" s="65"/>
    </row>
    <row r="49" spans="2:28" ht="14.45" customHeight="1">
      <c r="B49" s="65"/>
      <c r="C49" s="989"/>
      <c r="D49" s="989"/>
      <c r="E49" s="989"/>
      <c r="F49" s="65"/>
    </row>
    <row r="50" spans="2:28" ht="14.45" customHeight="1"/>
    <row r="52" spans="2:28" ht="15" customHeight="1">
      <c r="B52" s="924" t="s">
        <v>1003</v>
      </c>
      <c r="C52" s="924"/>
      <c r="D52" s="924"/>
      <c r="E52" s="924"/>
      <c r="F52" s="924"/>
      <c r="G52" s="924"/>
      <c r="H52" s="924"/>
      <c r="I52" s="924"/>
      <c r="J52" s="924"/>
      <c r="K52" s="990"/>
      <c r="L52" s="990"/>
      <c r="M52" s="990"/>
      <c r="N52" s="990"/>
      <c r="O52" s="990"/>
      <c r="P52" s="990"/>
      <c r="Q52" s="990"/>
      <c r="R52" s="990"/>
      <c r="S52" s="990"/>
      <c r="T52" s="990"/>
      <c r="U52" s="990"/>
      <c r="V52" s="990"/>
      <c r="W52" s="990"/>
      <c r="X52" s="990"/>
      <c r="Y52" s="990"/>
      <c r="Z52" s="990"/>
      <c r="AA52" s="990"/>
      <c r="AB52" s="990"/>
    </row>
    <row r="53" spans="2:28" ht="15" customHeight="1">
      <c r="B53" s="1487" t="s">
        <v>1004</v>
      </c>
      <c r="C53" s="1487"/>
      <c r="D53" s="991" t="s">
        <v>967</v>
      </c>
      <c r="E53" s="991" t="s">
        <v>49</v>
      </c>
      <c r="F53" s="991" t="s">
        <v>970</v>
      </c>
      <c r="G53" s="991" t="s">
        <v>47</v>
      </c>
      <c r="H53" s="991" t="s">
        <v>41</v>
      </c>
      <c r="I53" s="991" t="s">
        <v>40</v>
      </c>
      <c r="J53" s="991" t="s">
        <v>126</v>
      </c>
      <c r="K53" s="991" t="s">
        <v>1062</v>
      </c>
      <c r="L53" s="991" t="s">
        <v>1063</v>
      </c>
      <c r="M53" s="991" t="s">
        <v>1056</v>
      </c>
      <c r="N53" s="991" t="s">
        <v>1060</v>
      </c>
      <c r="O53" s="991" t="s">
        <v>1058</v>
      </c>
      <c r="P53" s="991" t="s">
        <v>1059</v>
      </c>
      <c r="Q53" s="991" t="s">
        <v>1057</v>
      </c>
      <c r="R53" s="1488" t="s">
        <v>1458</v>
      </c>
      <c r="S53" s="991" t="s">
        <v>1076</v>
      </c>
      <c r="T53" s="991" t="s">
        <v>1077</v>
      </c>
      <c r="U53" s="991" t="s">
        <v>1078</v>
      </c>
      <c r="V53" s="991" t="s">
        <v>1075</v>
      </c>
      <c r="W53" s="991" t="s">
        <v>1079</v>
      </c>
      <c r="X53" s="991" t="s">
        <v>1061</v>
      </c>
      <c r="Y53" s="991" t="s">
        <v>1055</v>
      </c>
      <c r="Z53" s="991" t="s">
        <v>1032</v>
      </c>
      <c r="AA53" s="991" t="s">
        <v>1459</v>
      </c>
      <c r="AB53" s="991" t="s">
        <v>1091</v>
      </c>
    </row>
    <row r="54" spans="2:28" ht="15" customHeight="1">
      <c r="B54" s="992">
        <f t="shared" ref="B54:B64" si="2">DATE(YEAR(B55),MONTH(B55)-1,1)</f>
        <v>44317</v>
      </c>
      <c r="C54" s="993"/>
      <c r="D54" s="1489" cm="1">
        <f t="array" aca="1" ref="D54" ca="1">DSUM(MercadoBase1,D$53,INDIRECT("r"&amp;5+2*(ROW()-54)&amp;":r"&amp;6+2*(ROW()-54)))</f>
        <v>0</v>
      </c>
      <c r="E54" s="1489" cm="1">
        <f t="array" aca="1" ref="E54" ca="1">DSUM(MercadoBase1,E$53,INDIRECT("r"&amp;5+2*(ROW()-54)&amp;":r"&amp;6+2*(ROW()-54)))</f>
        <v>0</v>
      </c>
      <c r="F54" s="1489" cm="1">
        <f t="array" aca="1" ref="F54" ca="1">DSUM(MercadoBase1,F$53,INDIRECT("r"&amp;5+2*(ROW()-54)&amp;":r"&amp;6+2*(ROW()-54)))</f>
        <v>0</v>
      </c>
      <c r="G54" s="1489" cm="1">
        <f t="array" aca="1" ref="G54" ca="1">DSUM(MercadoBase1,G$53,INDIRECT("r"&amp;5+2*(ROW()-54)&amp;":r"&amp;6+2*(ROW()-54)))</f>
        <v>35019.066729012702</v>
      </c>
      <c r="H54" s="1489" cm="1">
        <f t="array" aca="1" ref="H54" ca="1">DSUM(MercadoBase1,H$53,INDIRECT("r"&amp;5+2*(ROW()-54)&amp;":r"&amp;6+2*(ROW()-54)))</f>
        <v>201584.84693644018</v>
      </c>
      <c r="I54" s="1489" cm="1">
        <f t="array" aca="1" ref="I54" ca="1">DSUM(MercadoBase1,I$53,INDIRECT("r"&amp;5+2*(ROW()-54)&amp;":r"&amp;6+2*(ROW()-54)))</f>
        <v>3372.5296584322282</v>
      </c>
      <c r="J54" s="1489" cm="1">
        <f t="array" aca="1" ref="J54" ca="1">DSUM(MercadoBase1,J$53,INDIRECT("r"&amp;5+2*(ROW()-54)&amp;":r"&amp;6+2*(ROW()-54)))</f>
        <v>0</v>
      </c>
      <c r="K54" s="1489" cm="1">
        <f t="array" aca="1" ref="K54" ca="1">DSUM(MercadoBase1,K$53,INDIRECT("r"&amp;5+2*(ROW()-54)&amp;":r"&amp;6+2*(ROW()-54)))</f>
        <v>0</v>
      </c>
      <c r="L54" s="1489" cm="1">
        <f t="array" aca="1" ref="L54" ca="1">DSUM(MercadoBase1,L$53,INDIRECT("r"&amp;5+2*(ROW()-54)&amp;":r"&amp;6+2*(ROW()-54)))</f>
        <v>0</v>
      </c>
      <c r="M54" s="1489" cm="1">
        <f t="array" aca="1" ref="M54" ca="1">DSUM(MercadoBase1,M$53,INDIRECT("r"&amp;5+2*(ROW()-54)&amp;":r"&amp;6+2*(ROW()-54)))</f>
        <v>0</v>
      </c>
      <c r="N54" s="1489" cm="1">
        <f t="array" aca="1" ref="N54" ca="1">DSUM(MercadoBase1,N$53,INDIRECT("r"&amp;5+2*(ROW()-54)&amp;":r"&amp;6+2*(ROW()-54)))</f>
        <v>0</v>
      </c>
      <c r="O54" s="1489" cm="1">
        <f t="array" aca="1" ref="O54" ca="1">DSUM(MercadoBase1,O$53,INDIRECT("r"&amp;5+2*(ROW()-54)&amp;":r"&amp;6+2*(ROW()-54)))</f>
        <v>0</v>
      </c>
      <c r="P54" s="1489" cm="1">
        <f t="array" aca="1" ref="P54" ca="1">DSUM(MercadoBase1,P$53,INDIRECT("r"&amp;5+2*(ROW()-54)&amp;":r"&amp;6+2*(ROW()-54)))</f>
        <v>0</v>
      </c>
      <c r="Q54" s="1490" cm="1">
        <f t="array" aca="1" ref="Q54" ca="1">DSUM(MercadoBase1,Q$53,INDIRECT("r"&amp;5+2*(ROW()-54)&amp;":r"&amp;6+2*(ROW()-54)))</f>
        <v>0</v>
      </c>
      <c r="R54" s="1491">
        <f>VLOOKUP(CAPA!$C$17,Índices!B:F,5,FALSE)/VLOOKUP(DATE(YEAR(B54),MONTH(B54),1),Índices!B:F,5,FALSE)</f>
        <v>1.0682459450339878</v>
      </c>
      <c r="S54" s="1492" cm="1">
        <f t="array" aca="1" ref="S54" ca="1">DSUM(MercadoBase1,S$53,INDIRECT("r"&amp;5+2*(ROW()-54)&amp;":r"&amp;6+2*(ROW()-54)))</f>
        <v>0</v>
      </c>
      <c r="T54" s="1489" cm="1">
        <f t="array" aca="1" ref="T54" ca="1">DSUM(MercadoBase1,T$53,INDIRECT("r"&amp;5+2*(ROW()-54)&amp;":r"&amp;6+2*(ROW()-54)))</f>
        <v>0</v>
      </c>
      <c r="U54" s="1489" cm="1">
        <f t="array" aca="1" ref="U54" ca="1">DSUM(MercadoBase1,U$53,INDIRECT("r"&amp;5+2*(ROW()-54)&amp;":r"&amp;6+2*(ROW()-54)))</f>
        <v>0</v>
      </c>
      <c r="V54" s="1489" cm="1">
        <f t="array" aca="1" ref="V54" ca="1">DSUM(MercadoBase1,V$53,INDIRECT("r"&amp;5+2*(ROW()-54)&amp;":r"&amp;6+2*(ROW()-54)))</f>
        <v>0</v>
      </c>
      <c r="W54" s="1489" cm="1">
        <f t="array" aca="1" ref="W54" ca="1">DSUM(MercadoBase1,W$53,INDIRECT("r"&amp;5+2*(ROW()-54)&amp;":r"&amp;6+2*(ROW()-54)))</f>
        <v>0</v>
      </c>
      <c r="X54" s="1489" cm="1">
        <f t="array" aca="1" ref="X54" ca="1">DSUM(MercadoBase1,X$53,INDIRECT("r"&amp;5+2*(ROW()-54)&amp;":r"&amp;6+2*(ROW()-54)))</f>
        <v>0</v>
      </c>
      <c r="Y54" s="1489" cm="1">
        <f t="array" aca="1" ref="Y54" ca="1">DSUM(MercadoBase1,Y$53,INDIRECT("r"&amp;5+2*(ROW()-54)&amp;":r"&amp;6+2*(ROW()-54)))</f>
        <v>0</v>
      </c>
      <c r="Z54" s="1489" cm="1">
        <f t="array" aca="1" ref="Z54" ca="1">DSUM(MercadoBase1,Z$53,INDIRECT("r"&amp;5+2*(ROW()-54)&amp;":r"&amp;6+2*(ROW()-54)))</f>
        <v>671857.86530456599</v>
      </c>
      <c r="AA54" s="1489" cm="1">
        <f t="array" aca="1" ref="AA54" ca="1">DSUM(MercadoBase1,AA$53,INDIRECT("r"&amp;5+2*(ROW()-54)&amp;":r"&amp;6+2*(ROW()-54)))</f>
        <v>0</v>
      </c>
      <c r="AB54" s="1489" cm="1">
        <f t="array" aca="1" ref="AB54" ca="1">DSUM(MercadoBase1,AB$53,INDIRECT("r"&amp;5+2*(ROW()-54)&amp;":r"&amp;6+2*(ROW()-54)))</f>
        <v>0</v>
      </c>
    </row>
    <row r="55" spans="2:28" ht="15" customHeight="1">
      <c r="B55" s="992">
        <f t="shared" si="2"/>
        <v>44348</v>
      </c>
      <c r="C55" s="993"/>
      <c r="D55" s="994" cm="1">
        <f t="array" aca="1" ref="D55" ca="1">DSUM(MercadoBase1,D$53,INDIRECT("r"&amp;5+2*(ROW()-54)&amp;":r"&amp;6+2*(ROW()-54)))</f>
        <v>0</v>
      </c>
      <c r="E55" s="994" cm="1">
        <f t="array" aca="1" ref="E55" ca="1">DSUM(MercadoBase1,E$53,INDIRECT("r"&amp;5+2*(ROW()-54)&amp;":r"&amp;6+2*(ROW()-54)))</f>
        <v>0</v>
      </c>
      <c r="F55" s="994" cm="1">
        <f t="array" aca="1" ref="F55" ca="1">DSUM(MercadoBase1,F$53,INDIRECT("r"&amp;5+2*(ROW()-54)&amp;":r"&amp;6+2*(ROW()-54)))</f>
        <v>0</v>
      </c>
      <c r="G55" s="994" cm="1">
        <f t="array" aca="1" ref="G55" ca="1">DSUM(MercadoBase1,G$53,INDIRECT("r"&amp;5+2*(ROW()-54)&amp;":r"&amp;6+2*(ROW()-54)))</f>
        <v>40275.090157179598</v>
      </c>
      <c r="H55" s="994" cm="1">
        <f t="array" aca="1" ref="H55" ca="1">DSUM(MercadoBase1,H$53,INDIRECT("r"&amp;5+2*(ROW()-54)&amp;":r"&amp;6+2*(ROW()-54)))</f>
        <v>231495.31423413707</v>
      </c>
      <c r="I55" s="994" cm="1">
        <f t="array" aca="1" ref="I55" ca="1">DSUM(MercadoBase1,I$53,INDIRECT("r"&amp;5+2*(ROW()-54)&amp;":r"&amp;6+2*(ROW()-54)))</f>
        <v>3869.4560103991862</v>
      </c>
      <c r="J55" s="994" cm="1">
        <f t="array" aca="1" ref="J55" ca="1">DSUM(MercadoBase1,J$53,INDIRECT("r"&amp;5+2*(ROW()-54)&amp;":r"&amp;6+2*(ROW()-54)))</f>
        <v>0</v>
      </c>
      <c r="K55" s="994" cm="1">
        <f t="array" aca="1" ref="K55" ca="1">DSUM(MercadoBase1,K$53,INDIRECT("r"&amp;5+2*(ROW()-54)&amp;":r"&amp;6+2*(ROW()-54)))</f>
        <v>0</v>
      </c>
      <c r="L55" s="994" cm="1">
        <f t="array" aca="1" ref="L55" ca="1">DSUM(MercadoBase1,L$53,INDIRECT("r"&amp;5+2*(ROW()-54)&amp;":r"&amp;6+2*(ROW()-54)))</f>
        <v>0</v>
      </c>
      <c r="M55" s="994" cm="1">
        <f t="array" aca="1" ref="M55" ca="1">DSUM(MercadoBase1,M$53,INDIRECT("r"&amp;5+2*(ROW()-54)&amp;":r"&amp;6+2*(ROW()-54)))</f>
        <v>0</v>
      </c>
      <c r="N55" s="994" cm="1">
        <f t="array" aca="1" ref="N55" ca="1">DSUM(MercadoBase1,N$53,INDIRECT("r"&amp;5+2*(ROW()-54)&amp;":r"&amp;6+2*(ROW()-54)))</f>
        <v>0</v>
      </c>
      <c r="O55" s="994" cm="1">
        <f t="array" aca="1" ref="O55" ca="1">DSUM(MercadoBase1,O$53,INDIRECT("r"&amp;5+2*(ROW()-54)&amp;":r"&amp;6+2*(ROW()-54)))</f>
        <v>0</v>
      </c>
      <c r="P55" s="994" cm="1">
        <f t="array" aca="1" ref="P55" ca="1">DSUM(MercadoBase1,P$53,INDIRECT("r"&amp;5+2*(ROW()-54)&amp;":r"&amp;6+2*(ROW()-54)))</f>
        <v>0</v>
      </c>
      <c r="Q55" s="1002" cm="1">
        <f t="array" aca="1" ref="Q55" ca="1">DSUM(MercadoBase1,Q$53,INDIRECT("r"&amp;5+2*(ROW()-54)&amp;":r"&amp;6+2*(ROW()-54)))</f>
        <v>0</v>
      </c>
      <c r="R55" s="995">
        <f>VLOOKUP(CAPA!$C$17,Índices!B:F,5,FALSE)/VLOOKUP(DATE(YEAR(B55),MONTH(B55),1),Índices!B:F,5,FALSE)</f>
        <v>1.0649681969044948</v>
      </c>
      <c r="S55" s="1004" cm="1">
        <f t="array" aca="1" ref="S55" ca="1">DSUM(MercadoBase1,S$53,INDIRECT("r"&amp;5+2*(ROW()-54)&amp;":r"&amp;6+2*(ROW()-54)))</f>
        <v>0</v>
      </c>
      <c r="T55" s="994" cm="1">
        <f t="array" aca="1" ref="T55" ca="1">DSUM(MercadoBase1,T$53,INDIRECT("r"&amp;5+2*(ROW()-54)&amp;":r"&amp;6+2*(ROW()-54)))</f>
        <v>0</v>
      </c>
      <c r="U55" s="994" cm="1">
        <f t="array" aca="1" ref="U55" ca="1">DSUM(MercadoBase1,U$53,INDIRECT("r"&amp;5+2*(ROW()-54)&amp;":r"&amp;6+2*(ROW()-54)))</f>
        <v>0</v>
      </c>
      <c r="V55" s="994" cm="1">
        <f t="array" aca="1" ref="V55" ca="1">DSUM(MercadoBase1,V$53,INDIRECT("r"&amp;5+2*(ROW()-54)&amp;":r"&amp;6+2*(ROW()-54)))</f>
        <v>0</v>
      </c>
      <c r="W55" s="994" cm="1">
        <f t="array" aca="1" ref="W55" ca="1">DSUM(MercadoBase1,W$53,INDIRECT("r"&amp;5+2*(ROW()-54)&amp;":r"&amp;6+2*(ROW()-54)))</f>
        <v>0</v>
      </c>
      <c r="X55" s="994" cm="1">
        <f t="array" aca="1" ref="X55" ca="1">DSUM(MercadoBase1,X$53,INDIRECT("r"&amp;5+2*(ROW()-54)&amp;":r"&amp;6+2*(ROW()-54)))</f>
        <v>0</v>
      </c>
      <c r="Y55" s="994" cm="1">
        <f t="array" aca="1" ref="Y55" ca="1">DSUM(MercadoBase1,Y$53,INDIRECT("r"&amp;5+2*(ROW()-54)&amp;":r"&amp;6+2*(ROW()-54)))</f>
        <v>0</v>
      </c>
      <c r="Z55" s="994" cm="1">
        <f t="array" aca="1" ref="Z55" ca="1">DSUM(MercadoBase1,Z$53,INDIRECT("r"&amp;5+2*(ROW()-54)&amp;":r"&amp;6+2*(ROW()-54)))</f>
        <v>699429.90062481014</v>
      </c>
      <c r="AA55" s="994" cm="1">
        <f t="array" aca="1" ref="AA55" ca="1">DSUM(MercadoBase1,AA$53,INDIRECT("r"&amp;5+2*(ROW()-54)&amp;":r"&amp;6+2*(ROW()-54)))</f>
        <v>0</v>
      </c>
      <c r="AB55" s="994" cm="1">
        <f t="array" aca="1" ref="AB55" ca="1">DSUM(MercadoBase1,AB$53,INDIRECT("r"&amp;5+2*(ROW()-54)&amp;":r"&amp;6+2*(ROW()-54)))</f>
        <v>0</v>
      </c>
    </row>
    <row r="56" spans="2:28" ht="15" customHeight="1">
      <c r="B56" s="992">
        <f t="shared" si="2"/>
        <v>44378</v>
      </c>
      <c r="C56" s="993"/>
      <c r="D56" s="994" cm="1">
        <f t="array" aca="1" ref="D56" ca="1">DSUM(MercadoBase1,D$53,INDIRECT("r"&amp;5+2*(ROW()-54)&amp;":r"&amp;6+2*(ROW()-54)))</f>
        <v>0</v>
      </c>
      <c r="E56" s="994" cm="1">
        <f t="array" aca="1" ref="E56" ca="1">DSUM(MercadoBase1,E$53,INDIRECT("r"&amp;5+2*(ROW()-54)&amp;":r"&amp;6+2*(ROW()-54)))</f>
        <v>0</v>
      </c>
      <c r="F56" s="994" cm="1">
        <f t="array" aca="1" ref="F56" ca="1">DSUM(MercadoBase1,F$53,INDIRECT("r"&amp;5+2*(ROW()-54)&amp;":r"&amp;6+2*(ROW()-54)))</f>
        <v>0</v>
      </c>
      <c r="G56" s="994" cm="1">
        <f t="array" aca="1" ref="G56" ca="1">DSUM(MercadoBase1,G$53,INDIRECT("r"&amp;5+2*(ROW()-54)&amp;":r"&amp;6+2*(ROW()-54)))</f>
        <v>38075.666088711056</v>
      </c>
      <c r="H56" s="994" cm="1">
        <f t="array" aca="1" ref="H56" ca="1">DSUM(MercadoBase1,H$53,INDIRECT("r"&amp;5+2*(ROW()-54)&amp;":r"&amp;6+2*(ROW()-54)))</f>
        <v>219025.41348848451</v>
      </c>
      <c r="I56" s="994" cm="1">
        <f t="array" aca="1" ref="I56" ca="1">DSUM(MercadoBase1,I$53,INDIRECT("r"&amp;5+2*(ROW()-54)&amp;":r"&amp;6+2*(ROW()-54)))</f>
        <v>3662.5262942153468</v>
      </c>
      <c r="J56" s="994" cm="1">
        <f t="array" aca="1" ref="J56" ca="1">DSUM(MercadoBase1,J$53,INDIRECT("r"&amp;5+2*(ROW()-54)&amp;":r"&amp;6+2*(ROW()-54)))</f>
        <v>0</v>
      </c>
      <c r="K56" s="994" cm="1">
        <f t="array" aca="1" ref="K56" ca="1">DSUM(MercadoBase1,K$53,INDIRECT("r"&amp;5+2*(ROW()-54)&amp;":r"&amp;6+2*(ROW()-54)))</f>
        <v>0</v>
      </c>
      <c r="L56" s="994" cm="1">
        <f t="array" aca="1" ref="L56" ca="1">DSUM(MercadoBase1,L$53,INDIRECT("r"&amp;5+2*(ROW()-54)&amp;":r"&amp;6+2*(ROW()-54)))</f>
        <v>0</v>
      </c>
      <c r="M56" s="994" cm="1">
        <f t="array" aca="1" ref="M56" ca="1">DSUM(MercadoBase1,M$53,INDIRECT("r"&amp;5+2*(ROW()-54)&amp;":r"&amp;6+2*(ROW()-54)))</f>
        <v>0</v>
      </c>
      <c r="N56" s="994" cm="1">
        <f t="array" aca="1" ref="N56" ca="1">DSUM(MercadoBase1,N$53,INDIRECT("r"&amp;5+2*(ROW()-54)&amp;":r"&amp;6+2*(ROW()-54)))</f>
        <v>0</v>
      </c>
      <c r="O56" s="994" cm="1">
        <f t="array" aca="1" ref="O56" ca="1">DSUM(MercadoBase1,O$53,INDIRECT("r"&amp;5+2*(ROW()-54)&amp;":r"&amp;6+2*(ROW()-54)))</f>
        <v>0</v>
      </c>
      <c r="P56" s="994" cm="1">
        <f t="array" aca="1" ref="P56" ca="1">DSUM(MercadoBase1,P$53,INDIRECT("r"&amp;5+2*(ROW()-54)&amp;":r"&amp;6+2*(ROW()-54)))</f>
        <v>0</v>
      </c>
      <c r="Q56" s="1002" cm="1">
        <f t="array" aca="1" ref="Q56" ca="1">DSUM(MercadoBase1,Q$53,INDIRECT("r"&amp;5+2*(ROW()-54)&amp;":r"&amp;6+2*(ROW()-54)))</f>
        <v>0</v>
      </c>
      <c r="R56" s="995">
        <f>VLOOKUP(CAPA!$C$17,Índices!B:F,5,FALSE)/VLOOKUP(DATE(YEAR(B56),MONTH(B56),1),Índices!B:F,5,FALSE)</f>
        <v>1.0611944178742971</v>
      </c>
      <c r="S56" s="1004" cm="1">
        <f t="array" aca="1" ref="S56" ca="1">DSUM(MercadoBase1,S$53,INDIRECT("r"&amp;5+2*(ROW()-54)&amp;":r"&amp;6+2*(ROW()-54)))</f>
        <v>0</v>
      </c>
      <c r="T56" s="994" cm="1">
        <f t="array" aca="1" ref="T56" ca="1">DSUM(MercadoBase1,T$53,INDIRECT("r"&amp;5+2*(ROW()-54)&amp;":r"&amp;6+2*(ROW()-54)))</f>
        <v>0</v>
      </c>
      <c r="U56" s="994" cm="1">
        <f t="array" aca="1" ref="U56" ca="1">DSUM(MercadoBase1,U$53,INDIRECT("r"&amp;5+2*(ROW()-54)&amp;":r"&amp;6+2*(ROW()-54)))</f>
        <v>0</v>
      </c>
      <c r="V56" s="994" cm="1">
        <f t="array" aca="1" ref="V56" ca="1">DSUM(MercadoBase1,V$53,INDIRECT("r"&amp;5+2*(ROW()-54)&amp;":r"&amp;6+2*(ROW()-54)))</f>
        <v>0</v>
      </c>
      <c r="W56" s="994" cm="1">
        <f t="array" aca="1" ref="W56" ca="1">DSUM(MercadoBase1,W$53,INDIRECT("r"&amp;5+2*(ROW()-54)&amp;":r"&amp;6+2*(ROW()-54)))</f>
        <v>0</v>
      </c>
      <c r="X56" s="994" cm="1">
        <f t="array" aca="1" ref="X56" ca="1">DSUM(MercadoBase1,X$53,INDIRECT("r"&amp;5+2*(ROW()-54)&amp;":r"&amp;6+2*(ROW()-54)))</f>
        <v>0</v>
      </c>
      <c r="Y56" s="994" cm="1">
        <f t="array" aca="1" ref="Y56" ca="1">DSUM(MercadoBase1,Y$53,INDIRECT("r"&amp;5+2*(ROW()-54)&amp;":r"&amp;6+2*(ROW()-54)))</f>
        <v>0</v>
      </c>
      <c r="Z56" s="994" cm="1">
        <f t="array" aca="1" ref="Z56" ca="1">DSUM(MercadoBase1,Z$53,INDIRECT("r"&amp;5+2*(ROW()-54)&amp;":r"&amp;6+2*(ROW()-54)))</f>
        <v>688386.85871728929</v>
      </c>
      <c r="AA56" s="994" cm="1">
        <f t="array" aca="1" ref="AA56" ca="1">DSUM(MercadoBase1,AA$53,INDIRECT("r"&amp;5+2*(ROW()-54)&amp;":r"&amp;6+2*(ROW()-54)))</f>
        <v>0</v>
      </c>
      <c r="AB56" s="994" cm="1">
        <f t="array" aca="1" ref="AB56" ca="1">DSUM(MercadoBase1,AB$53,INDIRECT("r"&amp;5+2*(ROW()-54)&amp;":r"&amp;6+2*(ROW()-54)))</f>
        <v>0</v>
      </c>
    </row>
    <row r="57" spans="2:28" ht="15" customHeight="1">
      <c r="B57" s="992">
        <f t="shared" si="2"/>
        <v>44409</v>
      </c>
      <c r="C57" s="993"/>
      <c r="D57" s="994" cm="1">
        <f t="array" aca="1" ref="D57" ca="1">DSUM(MercadoBase1,D$53,INDIRECT("r"&amp;5+2*(ROW()-54)&amp;":r"&amp;6+2*(ROW()-54)))</f>
        <v>0</v>
      </c>
      <c r="E57" s="994" cm="1">
        <f t="array" aca="1" ref="E57" ca="1">DSUM(MercadoBase1,E$53,INDIRECT("r"&amp;5+2*(ROW()-54)&amp;":r"&amp;6+2*(ROW()-54)))</f>
        <v>0</v>
      </c>
      <c r="F57" s="994" cm="1">
        <f t="array" aca="1" ref="F57" ca="1">DSUM(MercadoBase1,F$53,INDIRECT("r"&amp;5+2*(ROW()-54)&amp;":r"&amp;6+2*(ROW()-54)))</f>
        <v>0</v>
      </c>
      <c r="G57" s="994" cm="1">
        <f t="array" aca="1" ref="G57" ca="1">DSUM(MercadoBase1,G$53,INDIRECT("r"&amp;5+2*(ROW()-54)&amp;":r"&amp;6+2*(ROW()-54)))</f>
        <v>38190.944457255857</v>
      </c>
      <c r="H57" s="994" cm="1">
        <f t="array" aca="1" ref="H57" ca="1">DSUM(MercadoBase1,H$53,INDIRECT("r"&amp;5+2*(ROW()-54)&amp;":r"&amp;6+2*(ROW()-54)))</f>
        <v>219839.39097352506</v>
      </c>
      <c r="I57" s="994" cm="1">
        <f t="array" aca="1" ref="I57" ca="1">DSUM(MercadoBase1,I$53,INDIRECT("r"&amp;5+2*(ROW()-54)&amp;":r"&amp;6+2*(ROW()-54)))</f>
        <v>3677.60703459658</v>
      </c>
      <c r="J57" s="994" cm="1">
        <f t="array" aca="1" ref="J57" ca="1">DSUM(MercadoBase1,J$53,INDIRECT("r"&amp;5+2*(ROW()-54)&amp;":r"&amp;6+2*(ROW()-54)))</f>
        <v>0</v>
      </c>
      <c r="K57" s="994" cm="1">
        <f t="array" aca="1" ref="K57" ca="1">DSUM(MercadoBase1,K$53,INDIRECT("r"&amp;5+2*(ROW()-54)&amp;":r"&amp;6+2*(ROW()-54)))</f>
        <v>0</v>
      </c>
      <c r="L57" s="994" cm="1">
        <f t="array" aca="1" ref="L57" ca="1">DSUM(MercadoBase1,L$53,INDIRECT("r"&amp;5+2*(ROW()-54)&amp;":r"&amp;6+2*(ROW()-54)))</f>
        <v>0</v>
      </c>
      <c r="M57" s="994" cm="1">
        <f t="array" aca="1" ref="M57" ca="1">DSUM(MercadoBase1,M$53,INDIRECT("r"&amp;5+2*(ROW()-54)&amp;":r"&amp;6+2*(ROW()-54)))</f>
        <v>0</v>
      </c>
      <c r="N57" s="994" cm="1">
        <f t="array" aca="1" ref="N57" ca="1">DSUM(MercadoBase1,N$53,INDIRECT("r"&amp;5+2*(ROW()-54)&amp;":r"&amp;6+2*(ROW()-54)))</f>
        <v>0</v>
      </c>
      <c r="O57" s="994" cm="1">
        <f t="array" aca="1" ref="O57" ca="1">DSUM(MercadoBase1,O$53,INDIRECT("r"&amp;5+2*(ROW()-54)&amp;":r"&amp;6+2*(ROW()-54)))</f>
        <v>0</v>
      </c>
      <c r="P57" s="994" cm="1">
        <f t="array" aca="1" ref="P57" ca="1">DSUM(MercadoBase1,P$53,INDIRECT("r"&amp;5+2*(ROW()-54)&amp;":r"&amp;6+2*(ROW()-54)))</f>
        <v>0</v>
      </c>
      <c r="Q57" s="1002" cm="1">
        <f t="array" aca="1" ref="Q57" ca="1">DSUM(MercadoBase1,Q$53,INDIRECT("r"&amp;5+2*(ROW()-54)&amp;":r"&amp;6+2*(ROW()-54)))</f>
        <v>0</v>
      </c>
      <c r="R57" s="995">
        <f>VLOOKUP(CAPA!$C$17,Índices!B:F,5,FALSE)/VLOOKUP(DATE(YEAR(B57),MONTH(B57),1),Índices!B:F,5,FALSE)</f>
        <v>1.0566723623223448</v>
      </c>
      <c r="S57" s="1004" cm="1">
        <f t="array" aca="1" ref="S57" ca="1">DSUM(MercadoBase1,S$53,INDIRECT("r"&amp;5+2*(ROW()-54)&amp;":r"&amp;6+2*(ROW()-54)))</f>
        <v>0</v>
      </c>
      <c r="T57" s="994" cm="1">
        <f t="array" aca="1" ref="T57" ca="1">DSUM(MercadoBase1,T$53,INDIRECT("r"&amp;5+2*(ROW()-54)&amp;":r"&amp;6+2*(ROW()-54)))</f>
        <v>0</v>
      </c>
      <c r="U57" s="994" cm="1">
        <f t="array" aca="1" ref="U57" ca="1">DSUM(MercadoBase1,U$53,INDIRECT("r"&amp;5+2*(ROW()-54)&amp;":r"&amp;6+2*(ROW()-54)))</f>
        <v>0</v>
      </c>
      <c r="V57" s="994" cm="1">
        <f t="array" aca="1" ref="V57" ca="1">DSUM(MercadoBase1,V$53,INDIRECT("r"&amp;5+2*(ROW()-54)&amp;":r"&amp;6+2*(ROW()-54)))</f>
        <v>0</v>
      </c>
      <c r="W57" s="994" cm="1">
        <f t="array" aca="1" ref="W57" ca="1">DSUM(MercadoBase1,W$53,INDIRECT("r"&amp;5+2*(ROW()-54)&amp;":r"&amp;6+2*(ROW()-54)))</f>
        <v>0</v>
      </c>
      <c r="X57" s="994" cm="1">
        <f t="array" aca="1" ref="X57" ca="1">DSUM(MercadoBase1,X$53,INDIRECT("r"&amp;5+2*(ROW()-54)&amp;":r"&amp;6+2*(ROW()-54)))</f>
        <v>0</v>
      </c>
      <c r="Y57" s="994" cm="1">
        <f t="array" aca="1" ref="Y57" ca="1">DSUM(MercadoBase1,Y$53,INDIRECT("r"&amp;5+2*(ROW()-54)&amp;":r"&amp;6+2*(ROW()-54)))</f>
        <v>0</v>
      </c>
      <c r="Z57" s="994" cm="1">
        <f t="array" aca="1" ref="Z57" ca="1">DSUM(MercadoBase1,Z$53,INDIRECT("r"&amp;5+2*(ROW()-54)&amp;":r"&amp;6+2*(ROW()-54)))</f>
        <v>707669.74580472289</v>
      </c>
      <c r="AA57" s="994" cm="1">
        <f t="array" aca="1" ref="AA57" ca="1">DSUM(MercadoBase1,AA$53,INDIRECT("r"&amp;5+2*(ROW()-54)&amp;":r"&amp;6+2*(ROW()-54)))</f>
        <v>0</v>
      </c>
      <c r="AB57" s="994" cm="1">
        <f t="array" aca="1" ref="AB57" ca="1">DSUM(MercadoBase1,AB$53,INDIRECT("r"&amp;5+2*(ROW()-54)&amp;":r"&amp;6+2*(ROW()-54)))</f>
        <v>0</v>
      </c>
    </row>
    <row r="58" spans="2:28" ht="15" customHeight="1">
      <c r="B58" s="992">
        <f t="shared" si="2"/>
        <v>44440</v>
      </c>
      <c r="C58" s="993"/>
      <c r="D58" s="994" cm="1">
        <f t="array" aca="1" ref="D58" ca="1">DSUM(MercadoBase1,D$53,INDIRECT("r"&amp;5+2*(ROW()-54)&amp;":r"&amp;6+2*(ROW()-54)))</f>
        <v>0</v>
      </c>
      <c r="E58" s="994" cm="1">
        <f t="array" aca="1" ref="E58" ca="1">DSUM(MercadoBase1,E$53,INDIRECT("r"&amp;5+2*(ROW()-54)&amp;":r"&amp;6+2*(ROW()-54)))</f>
        <v>0</v>
      </c>
      <c r="F58" s="994" cm="1">
        <f t="array" aca="1" ref="F58" ca="1">DSUM(MercadoBase1,F$53,INDIRECT("r"&amp;5+2*(ROW()-54)&amp;":r"&amp;6+2*(ROW()-54)))</f>
        <v>0</v>
      </c>
      <c r="G58" s="994" cm="1">
        <f t="array" aca="1" ref="G58" ca="1">DSUM(MercadoBase1,G$53,INDIRECT("r"&amp;5+2*(ROW()-54)&amp;":r"&amp;6+2*(ROW()-54)))</f>
        <v>40686.085037178142</v>
      </c>
      <c r="H58" s="994" cm="1">
        <f t="array" aca="1" ref="H58" ca="1">DSUM(MercadoBase1,H$53,INDIRECT("r"&amp;5+2*(ROW()-54)&amp;":r"&amp;6+2*(ROW()-54)))</f>
        <v>234185.79546561503</v>
      </c>
      <c r="I58" s="994" cm="1">
        <f t="array" aca="1" ref="I58" ca="1">DSUM(MercadoBase1,I$53,INDIRECT("r"&amp;5+2*(ROW()-54)&amp;":r"&amp;6+2*(ROW()-54)))</f>
        <v>3917.3403500974132</v>
      </c>
      <c r="J58" s="994" cm="1">
        <f t="array" aca="1" ref="J58" ca="1">DSUM(MercadoBase1,J$53,INDIRECT("r"&amp;5+2*(ROW()-54)&amp;":r"&amp;6+2*(ROW()-54)))</f>
        <v>0</v>
      </c>
      <c r="K58" s="994" cm="1">
        <f t="array" aca="1" ref="K58" ca="1">DSUM(MercadoBase1,K$53,INDIRECT("r"&amp;5+2*(ROW()-54)&amp;":r"&amp;6+2*(ROW()-54)))</f>
        <v>0</v>
      </c>
      <c r="L58" s="994" cm="1">
        <f t="array" aca="1" ref="L58" ca="1">DSUM(MercadoBase1,L$53,INDIRECT("r"&amp;5+2*(ROW()-54)&amp;":r"&amp;6+2*(ROW()-54)))</f>
        <v>0</v>
      </c>
      <c r="M58" s="994" cm="1">
        <f t="array" aca="1" ref="M58" ca="1">DSUM(MercadoBase1,M$53,INDIRECT("r"&amp;5+2*(ROW()-54)&amp;":r"&amp;6+2*(ROW()-54)))</f>
        <v>0</v>
      </c>
      <c r="N58" s="994" cm="1">
        <f t="array" aca="1" ref="N58" ca="1">DSUM(MercadoBase1,N$53,INDIRECT("r"&amp;5+2*(ROW()-54)&amp;":r"&amp;6+2*(ROW()-54)))</f>
        <v>0</v>
      </c>
      <c r="O58" s="994" cm="1">
        <f t="array" aca="1" ref="O58" ca="1">DSUM(MercadoBase1,O$53,INDIRECT("r"&amp;5+2*(ROW()-54)&amp;":r"&amp;6+2*(ROW()-54)))</f>
        <v>0</v>
      </c>
      <c r="P58" s="994" cm="1">
        <f t="array" aca="1" ref="P58" ca="1">DSUM(MercadoBase1,P$53,INDIRECT("r"&amp;5+2*(ROW()-54)&amp;":r"&amp;6+2*(ROW()-54)))</f>
        <v>0</v>
      </c>
      <c r="Q58" s="1002" cm="1">
        <f t="array" aca="1" ref="Q58" ca="1">DSUM(MercadoBase1,Q$53,INDIRECT("r"&amp;5+2*(ROW()-54)&amp;":r"&amp;6+2*(ROW()-54)))</f>
        <v>0</v>
      </c>
      <c r="R58" s="995">
        <f>VLOOKUP(CAPA!$C$17,Índices!B:F,5,FALSE)/VLOOKUP(DATE(YEAR(B58),MONTH(B58),1),Índices!B:F,5,FALSE)</f>
        <v>1.0520224302058701</v>
      </c>
      <c r="S58" s="1004" cm="1">
        <f t="array" aca="1" ref="S58" ca="1">DSUM(MercadoBase1,S$53,INDIRECT("r"&amp;5+2*(ROW()-54)&amp;":r"&amp;6+2*(ROW()-54)))</f>
        <v>0</v>
      </c>
      <c r="T58" s="994" cm="1">
        <f t="array" aca="1" ref="T58" ca="1">DSUM(MercadoBase1,T$53,INDIRECT("r"&amp;5+2*(ROW()-54)&amp;":r"&amp;6+2*(ROW()-54)))</f>
        <v>0</v>
      </c>
      <c r="U58" s="994" cm="1">
        <f t="array" aca="1" ref="U58" ca="1">DSUM(MercadoBase1,U$53,INDIRECT("r"&amp;5+2*(ROW()-54)&amp;":r"&amp;6+2*(ROW()-54)))</f>
        <v>0</v>
      </c>
      <c r="V58" s="994" cm="1">
        <f t="array" aca="1" ref="V58" ca="1">DSUM(MercadoBase1,V$53,INDIRECT("r"&amp;5+2*(ROW()-54)&amp;":r"&amp;6+2*(ROW()-54)))</f>
        <v>0</v>
      </c>
      <c r="W58" s="994" cm="1">
        <f t="array" aca="1" ref="W58" ca="1">DSUM(MercadoBase1,W$53,INDIRECT("r"&amp;5+2*(ROW()-54)&amp;":r"&amp;6+2*(ROW()-54)))</f>
        <v>0</v>
      </c>
      <c r="X58" s="994" cm="1">
        <f t="array" aca="1" ref="X58" ca="1">DSUM(MercadoBase1,X$53,INDIRECT("r"&amp;5+2*(ROW()-54)&amp;":r"&amp;6+2*(ROW()-54)))</f>
        <v>0</v>
      </c>
      <c r="Y58" s="994" cm="1">
        <f t="array" aca="1" ref="Y58" ca="1">DSUM(MercadoBase1,Y$53,INDIRECT("r"&amp;5+2*(ROW()-54)&amp;":r"&amp;6+2*(ROW()-54)))</f>
        <v>0</v>
      </c>
      <c r="Z58" s="994" cm="1">
        <f t="array" aca="1" ref="Z58" ca="1">DSUM(MercadoBase1,Z$53,INDIRECT("r"&amp;5+2*(ROW()-54)&amp;":r"&amp;6+2*(ROW()-54)))</f>
        <v>750516.37034449843</v>
      </c>
      <c r="AA58" s="994" cm="1">
        <f t="array" aca="1" ref="AA58" ca="1">DSUM(MercadoBase1,AA$53,INDIRECT("r"&amp;5+2*(ROW()-54)&amp;":r"&amp;6+2*(ROW()-54)))</f>
        <v>0</v>
      </c>
      <c r="AB58" s="994" cm="1">
        <f t="array" aca="1" ref="AB58" ca="1">DSUM(MercadoBase1,AB$53,INDIRECT("r"&amp;5+2*(ROW()-54)&amp;":r"&amp;6+2*(ROW()-54)))</f>
        <v>0</v>
      </c>
    </row>
    <row r="59" spans="2:28" ht="15" customHeight="1">
      <c r="B59" s="992">
        <f t="shared" si="2"/>
        <v>44470</v>
      </c>
      <c r="C59" s="993"/>
      <c r="D59" s="994" cm="1">
        <f t="array" aca="1" ref="D59" ca="1">DSUM(MercadoBase1,D$53,INDIRECT("r"&amp;5+2*(ROW()-54)&amp;":r"&amp;6+2*(ROW()-54)))</f>
        <v>0</v>
      </c>
      <c r="E59" s="994" cm="1">
        <f t="array" aca="1" ref="E59" ca="1">DSUM(MercadoBase1,E$53,INDIRECT("r"&amp;5+2*(ROW()-54)&amp;":r"&amp;6+2*(ROW()-54)))</f>
        <v>0</v>
      </c>
      <c r="F59" s="994" cm="1">
        <f t="array" aca="1" ref="F59" ca="1">DSUM(MercadoBase1,F$53,INDIRECT("r"&amp;5+2*(ROW()-54)&amp;":r"&amp;6+2*(ROW()-54)))</f>
        <v>0</v>
      </c>
      <c r="G59" s="994" cm="1">
        <f t="array" aca="1" ref="G59" ca="1">DSUM(MercadoBase1,G$53,INDIRECT("r"&amp;5+2*(ROW()-54)&amp;":r"&amp;6+2*(ROW()-54)))</f>
        <v>36836.822017393555</v>
      </c>
      <c r="H59" s="994" cm="1">
        <f t="array" aca="1" ref="H59" ca="1">DSUM(MercadoBase1,H$53,INDIRECT("r"&amp;5+2*(ROW()-54)&amp;":r"&amp;6+2*(ROW()-54)))</f>
        <v>213179.72381765535</v>
      </c>
      <c r="I59" s="994" cm="1">
        <f t="array" aca="1" ref="I59" ca="1">DSUM(MercadoBase1,I$53,INDIRECT("r"&amp;5+2*(ROW()-54)&amp;":r"&amp;6+2*(ROW()-54)))</f>
        <v>3576.1794994955844</v>
      </c>
      <c r="J59" s="994" cm="1">
        <f t="array" aca="1" ref="J59" ca="1">DSUM(MercadoBase1,J$53,INDIRECT("r"&amp;5+2*(ROW()-54)&amp;":r"&amp;6+2*(ROW()-54)))</f>
        <v>0</v>
      </c>
      <c r="K59" s="994" cm="1">
        <f t="array" aca="1" ref="K59" ca="1">DSUM(MercadoBase1,K$53,INDIRECT("r"&amp;5+2*(ROW()-54)&amp;":r"&amp;6+2*(ROW()-54)))</f>
        <v>0</v>
      </c>
      <c r="L59" s="994" cm="1">
        <f t="array" aca="1" ref="L59" ca="1">DSUM(MercadoBase1,L$53,INDIRECT("r"&amp;5+2*(ROW()-54)&amp;":r"&amp;6+2*(ROW()-54)))</f>
        <v>0</v>
      </c>
      <c r="M59" s="994" cm="1">
        <f t="array" aca="1" ref="M59" ca="1">DSUM(MercadoBase1,M$53,INDIRECT("r"&amp;5+2*(ROW()-54)&amp;":r"&amp;6+2*(ROW()-54)))</f>
        <v>0</v>
      </c>
      <c r="N59" s="994" cm="1">
        <f t="array" aca="1" ref="N59" ca="1">DSUM(MercadoBase1,N$53,INDIRECT("r"&amp;5+2*(ROW()-54)&amp;":r"&amp;6+2*(ROW()-54)))</f>
        <v>0</v>
      </c>
      <c r="O59" s="994" cm="1">
        <f t="array" aca="1" ref="O59" ca="1">DSUM(MercadoBase1,O$53,INDIRECT("r"&amp;5+2*(ROW()-54)&amp;":r"&amp;6+2*(ROW()-54)))</f>
        <v>0</v>
      </c>
      <c r="P59" s="994" cm="1">
        <f t="array" aca="1" ref="P59" ca="1">DSUM(MercadoBase1,P$53,INDIRECT("r"&amp;5+2*(ROW()-54)&amp;":r"&amp;6+2*(ROW()-54)))</f>
        <v>0</v>
      </c>
      <c r="Q59" s="1002" cm="1">
        <f t="array" aca="1" ref="Q59" ca="1">DSUM(MercadoBase1,Q$53,INDIRECT("r"&amp;5+2*(ROW()-54)&amp;":r"&amp;6+2*(ROW()-54)))</f>
        <v>0</v>
      </c>
      <c r="R59" s="995">
        <f>VLOOKUP(CAPA!$C$17,Índices!B:F,5,FALSE)/VLOOKUP(DATE(YEAR(B59),MONTH(B59),1),Índices!B:F,5,FALSE)</f>
        <v>1.0469343699718971</v>
      </c>
      <c r="S59" s="1004" cm="1">
        <f t="array" aca="1" ref="S59" ca="1">DSUM(MercadoBase1,S$53,INDIRECT("r"&amp;5+2*(ROW()-54)&amp;":r"&amp;6+2*(ROW()-54)))</f>
        <v>0</v>
      </c>
      <c r="T59" s="994" cm="1">
        <f t="array" aca="1" ref="T59" ca="1">DSUM(MercadoBase1,T$53,INDIRECT("r"&amp;5+2*(ROW()-54)&amp;":r"&amp;6+2*(ROW()-54)))</f>
        <v>0</v>
      </c>
      <c r="U59" s="994" cm="1">
        <f t="array" aca="1" ref="U59" ca="1">DSUM(MercadoBase1,U$53,INDIRECT("r"&amp;5+2*(ROW()-54)&amp;":r"&amp;6+2*(ROW()-54)))</f>
        <v>0</v>
      </c>
      <c r="V59" s="994" cm="1">
        <f t="array" aca="1" ref="V59" ca="1">DSUM(MercadoBase1,V$53,INDIRECT("r"&amp;5+2*(ROW()-54)&amp;":r"&amp;6+2*(ROW()-54)))</f>
        <v>0</v>
      </c>
      <c r="W59" s="994" cm="1">
        <f t="array" aca="1" ref="W59" ca="1">DSUM(MercadoBase1,W$53,INDIRECT("r"&amp;5+2*(ROW()-54)&amp;":r"&amp;6+2*(ROW()-54)))</f>
        <v>0</v>
      </c>
      <c r="X59" s="994" cm="1">
        <f t="array" aca="1" ref="X59" ca="1">DSUM(MercadoBase1,X$53,INDIRECT("r"&amp;5+2*(ROW()-54)&amp;":r"&amp;6+2*(ROW()-54)))</f>
        <v>0</v>
      </c>
      <c r="Y59" s="994" cm="1">
        <f t="array" aca="1" ref="Y59" ca="1">DSUM(MercadoBase1,Y$53,INDIRECT("r"&amp;5+2*(ROW()-54)&amp;":r"&amp;6+2*(ROW()-54)))</f>
        <v>0</v>
      </c>
      <c r="Z59" s="994" cm="1">
        <f t="array" aca="1" ref="Z59" ca="1">DSUM(MercadoBase1,Z$53,INDIRECT("r"&amp;5+2*(ROW()-54)&amp;":r"&amp;6+2*(ROW()-54)))</f>
        <v>709141.7640275117</v>
      </c>
      <c r="AA59" s="994" cm="1">
        <f t="array" aca="1" ref="AA59" ca="1">DSUM(MercadoBase1,AA$53,INDIRECT("r"&amp;5+2*(ROW()-54)&amp;":r"&amp;6+2*(ROW()-54)))</f>
        <v>0</v>
      </c>
      <c r="AB59" s="994" cm="1">
        <f t="array" aca="1" ref="AB59" ca="1">DSUM(MercadoBase1,AB$53,INDIRECT("r"&amp;5+2*(ROW()-54)&amp;":r"&amp;6+2*(ROW()-54)))</f>
        <v>0</v>
      </c>
    </row>
    <row r="60" spans="2:28" ht="15" customHeight="1">
      <c r="B60" s="992">
        <f t="shared" si="2"/>
        <v>44501</v>
      </c>
      <c r="C60" s="993"/>
      <c r="D60" s="994" cm="1">
        <f t="array" aca="1" ref="D60" ca="1">DSUM(MercadoBase1,D$53,INDIRECT("r"&amp;5+2*(ROW()-54)&amp;":r"&amp;6+2*(ROW()-54)))</f>
        <v>0</v>
      </c>
      <c r="E60" s="994" cm="1">
        <f t="array" aca="1" ref="E60" ca="1">DSUM(MercadoBase1,E$53,INDIRECT("r"&amp;5+2*(ROW()-54)&amp;":r"&amp;6+2*(ROW()-54)))</f>
        <v>0</v>
      </c>
      <c r="F60" s="994" cm="1">
        <f t="array" aca="1" ref="F60" ca="1">DSUM(MercadoBase1,F$53,INDIRECT("r"&amp;5+2*(ROW()-54)&amp;":r"&amp;6+2*(ROW()-54)))</f>
        <v>0</v>
      </c>
      <c r="G60" s="994" cm="1">
        <f t="array" aca="1" ref="G60" ca="1">DSUM(MercadoBase1,G$53,INDIRECT("r"&amp;5+2*(ROW()-54)&amp;":r"&amp;6+2*(ROW()-54)))</f>
        <v>37130.36423335311</v>
      </c>
      <c r="H60" s="994" cm="1">
        <f t="array" aca="1" ref="H60" ca="1">DSUM(MercadoBase1,H$53,INDIRECT("r"&amp;5+2*(ROW()-54)&amp;":r"&amp;6+2*(ROW()-54)))</f>
        <v>213729.88504498516</v>
      </c>
      <c r="I60" s="994" cm="1">
        <f t="array" aca="1" ref="I60" ca="1">DSUM(MercadoBase1,I$53,INDIRECT("r"&amp;5+2*(ROW()-54)&amp;":r"&amp;6+2*(ROW()-54)))</f>
        <v>3575.4077173124233</v>
      </c>
      <c r="J60" s="994" cm="1">
        <f t="array" aca="1" ref="J60" ca="1">DSUM(MercadoBase1,J$53,INDIRECT("r"&amp;5+2*(ROW()-54)&amp;":r"&amp;6+2*(ROW()-54)))</f>
        <v>0</v>
      </c>
      <c r="K60" s="994" cm="1">
        <f t="array" aca="1" ref="K60" ca="1">DSUM(MercadoBase1,K$53,INDIRECT("r"&amp;5+2*(ROW()-54)&amp;":r"&amp;6+2*(ROW()-54)))</f>
        <v>0</v>
      </c>
      <c r="L60" s="994" cm="1">
        <f t="array" aca="1" ref="L60" ca="1">DSUM(MercadoBase1,L$53,INDIRECT("r"&amp;5+2*(ROW()-54)&amp;":r"&amp;6+2*(ROW()-54)))</f>
        <v>0</v>
      </c>
      <c r="M60" s="994" cm="1">
        <f t="array" aca="1" ref="M60" ca="1">DSUM(MercadoBase1,M$53,INDIRECT("r"&amp;5+2*(ROW()-54)&amp;":r"&amp;6+2*(ROW()-54)))</f>
        <v>0</v>
      </c>
      <c r="N60" s="994" cm="1">
        <f t="array" aca="1" ref="N60" ca="1">DSUM(MercadoBase1,N$53,INDIRECT("r"&amp;5+2*(ROW()-54)&amp;":r"&amp;6+2*(ROW()-54)))</f>
        <v>0</v>
      </c>
      <c r="O60" s="994" cm="1">
        <f t="array" aca="1" ref="O60" ca="1">DSUM(MercadoBase1,O$53,INDIRECT("r"&amp;5+2*(ROW()-54)&amp;":r"&amp;6+2*(ROW()-54)))</f>
        <v>0</v>
      </c>
      <c r="P60" s="994" cm="1">
        <f t="array" aca="1" ref="P60" ca="1">DSUM(MercadoBase1,P$53,INDIRECT("r"&amp;5+2*(ROW()-54)&amp;":r"&amp;6+2*(ROW()-54)))</f>
        <v>0</v>
      </c>
      <c r="Q60" s="1002" cm="1">
        <f t="array" aca="1" ref="Q60" ca="1">DSUM(MercadoBase1,Q$53,INDIRECT("r"&amp;5+2*(ROW()-54)&amp;":r"&amp;6+2*(ROW()-54)))</f>
        <v>0</v>
      </c>
      <c r="R60" s="995">
        <f>VLOOKUP(CAPA!$C$17,Índices!B:F,5,FALSE)/VLOOKUP(DATE(YEAR(B60),MONTH(B60),1),Índices!B:F,5,FALSE)</f>
        <v>1.0408273250729632</v>
      </c>
      <c r="S60" s="1004" cm="1">
        <f t="array" aca="1" ref="S60" ca="1">DSUM(MercadoBase1,S$53,INDIRECT("r"&amp;5+2*(ROW()-54)&amp;":r"&amp;6+2*(ROW()-54)))</f>
        <v>0</v>
      </c>
      <c r="T60" s="994" cm="1">
        <f t="array" aca="1" ref="T60" ca="1">DSUM(MercadoBase1,T$53,INDIRECT("r"&amp;5+2*(ROW()-54)&amp;":r"&amp;6+2*(ROW()-54)))</f>
        <v>0</v>
      </c>
      <c r="U60" s="994" cm="1">
        <f t="array" aca="1" ref="U60" ca="1">DSUM(MercadoBase1,U$53,INDIRECT("r"&amp;5+2*(ROW()-54)&amp;":r"&amp;6+2*(ROW()-54)))</f>
        <v>0</v>
      </c>
      <c r="V60" s="994" cm="1">
        <f t="array" aca="1" ref="V60" ca="1">DSUM(MercadoBase1,V$53,INDIRECT("r"&amp;5+2*(ROW()-54)&amp;":r"&amp;6+2*(ROW()-54)))</f>
        <v>0</v>
      </c>
      <c r="W60" s="994" cm="1">
        <f t="array" aca="1" ref="W60" ca="1">DSUM(MercadoBase1,W$53,INDIRECT("r"&amp;5+2*(ROW()-54)&amp;":r"&amp;6+2*(ROW()-54)))</f>
        <v>0</v>
      </c>
      <c r="X60" s="994" cm="1">
        <f t="array" aca="1" ref="X60" ca="1">DSUM(MercadoBase1,X$53,INDIRECT("r"&amp;5+2*(ROW()-54)&amp;":r"&amp;6+2*(ROW()-54)))</f>
        <v>0</v>
      </c>
      <c r="Y60" s="994" cm="1">
        <f t="array" aca="1" ref="Y60" ca="1">DSUM(MercadoBase1,Y$53,INDIRECT("r"&amp;5+2*(ROW()-54)&amp;":r"&amp;6+2*(ROW()-54)))</f>
        <v>0</v>
      </c>
      <c r="Z60" s="994" cm="1">
        <f t="array" aca="1" ref="Z60" ca="1">DSUM(MercadoBase1,Z$53,INDIRECT("r"&amp;5+2*(ROW()-54)&amp;":r"&amp;6+2*(ROW()-54)))</f>
        <v>650319.91015663557</v>
      </c>
      <c r="AA60" s="994" cm="1">
        <f t="array" aca="1" ref="AA60" ca="1">DSUM(MercadoBase1,AA$53,INDIRECT("r"&amp;5+2*(ROW()-54)&amp;":r"&amp;6+2*(ROW()-54)))</f>
        <v>0</v>
      </c>
      <c r="AB60" s="994" cm="1">
        <f t="array" aca="1" ref="AB60" ca="1">DSUM(MercadoBase1,AB$53,INDIRECT("r"&amp;5+2*(ROW()-54)&amp;":r"&amp;6+2*(ROW()-54)))</f>
        <v>0</v>
      </c>
    </row>
    <row r="61" spans="2:28" ht="15" customHeight="1">
      <c r="B61" s="992">
        <f t="shared" si="2"/>
        <v>44531</v>
      </c>
      <c r="C61" s="993"/>
      <c r="D61" s="994" cm="1">
        <f t="array" aca="1" ref="D61" ca="1">DSUM(MercadoBase1,D$53,INDIRECT("r"&amp;5+2*(ROW()-54)&amp;":r"&amp;6+2*(ROW()-54)))</f>
        <v>0</v>
      </c>
      <c r="E61" s="994" cm="1">
        <f t="array" aca="1" ref="E61" ca="1">DSUM(MercadoBase1,E$53,INDIRECT("r"&amp;5+2*(ROW()-54)&amp;":r"&amp;6+2*(ROW()-54)))</f>
        <v>0</v>
      </c>
      <c r="F61" s="994" cm="1">
        <f t="array" aca="1" ref="F61" ca="1">DSUM(MercadoBase1,F$53,INDIRECT("r"&amp;5+2*(ROW()-54)&amp;":r"&amp;6+2*(ROW()-54)))</f>
        <v>0</v>
      </c>
      <c r="G61" s="994" cm="1">
        <f t="array" aca="1" ref="G61" ca="1">DSUM(MercadoBase1,G$53,INDIRECT("r"&amp;5+2*(ROW()-54)&amp;":r"&amp;6+2*(ROW()-54)))</f>
        <v>36870.825728273943</v>
      </c>
      <c r="H61" s="994" cm="1">
        <f t="array" aca="1" ref="H61" ca="1">DSUM(MercadoBase1,H$53,INDIRECT("r"&amp;5+2*(ROW()-54)&amp;":r"&amp;6+2*(ROW()-54)))</f>
        <v>213065.12835336727</v>
      </c>
      <c r="I61" s="994" cm="1">
        <f t="array" aca="1" ref="I61" ca="1">DSUM(MercadoBase1,I$53,INDIRECT("r"&amp;5+2*(ROW()-54)&amp;":r"&amp;6+2*(ROW()-54)))</f>
        <v>3571.6098082071012</v>
      </c>
      <c r="J61" s="994" cm="1">
        <f t="array" aca="1" ref="J61" ca="1">DSUM(MercadoBase1,J$53,INDIRECT("r"&amp;5+2*(ROW()-54)&amp;":r"&amp;6+2*(ROW()-54)))</f>
        <v>0</v>
      </c>
      <c r="K61" s="994" cm="1">
        <f t="array" aca="1" ref="K61" ca="1">DSUM(MercadoBase1,K$53,INDIRECT("r"&amp;5+2*(ROW()-54)&amp;":r"&amp;6+2*(ROW()-54)))</f>
        <v>0</v>
      </c>
      <c r="L61" s="994" cm="1">
        <f t="array" aca="1" ref="L61" ca="1">DSUM(MercadoBase1,L$53,INDIRECT("r"&amp;5+2*(ROW()-54)&amp;":r"&amp;6+2*(ROW()-54)))</f>
        <v>0</v>
      </c>
      <c r="M61" s="994" cm="1">
        <f t="array" aca="1" ref="M61" ca="1">DSUM(MercadoBase1,M$53,INDIRECT("r"&amp;5+2*(ROW()-54)&amp;":r"&amp;6+2*(ROW()-54)))</f>
        <v>0</v>
      </c>
      <c r="N61" s="994" cm="1">
        <f t="array" aca="1" ref="N61" ca="1">DSUM(MercadoBase1,N$53,INDIRECT("r"&amp;5+2*(ROW()-54)&amp;":r"&amp;6+2*(ROW()-54)))</f>
        <v>0</v>
      </c>
      <c r="O61" s="994" cm="1">
        <f t="array" aca="1" ref="O61" ca="1">DSUM(MercadoBase1,O$53,INDIRECT("r"&amp;5+2*(ROW()-54)&amp;":r"&amp;6+2*(ROW()-54)))</f>
        <v>0</v>
      </c>
      <c r="P61" s="994" cm="1">
        <f t="array" aca="1" ref="P61" ca="1">DSUM(MercadoBase1,P$53,INDIRECT("r"&amp;5+2*(ROW()-54)&amp;":r"&amp;6+2*(ROW()-54)))</f>
        <v>0</v>
      </c>
      <c r="Q61" s="1002" cm="1">
        <f t="array" aca="1" ref="Q61" ca="1">DSUM(MercadoBase1,Q$53,INDIRECT("r"&amp;5+2*(ROW()-54)&amp;":r"&amp;6+2*(ROW()-54)))</f>
        <v>0</v>
      </c>
      <c r="R61" s="995">
        <f>VLOOKUP(CAPA!$C$17,Índices!B:F,5,FALSE)/VLOOKUP(DATE(YEAR(B61),MONTH(B61),1),Índices!B:F,5,FALSE)</f>
        <v>1.0328835921106971</v>
      </c>
      <c r="S61" s="1004" cm="1">
        <f t="array" aca="1" ref="S61" ca="1">DSUM(MercadoBase1,S$53,INDIRECT("r"&amp;5+2*(ROW()-54)&amp;":r"&amp;6+2*(ROW()-54)))</f>
        <v>0</v>
      </c>
      <c r="T61" s="994" cm="1">
        <f t="array" aca="1" ref="T61" ca="1">DSUM(MercadoBase1,T$53,INDIRECT("r"&amp;5+2*(ROW()-54)&amp;":r"&amp;6+2*(ROW()-54)))</f>
        <v>0</v>
      </c>
      <c r="U61" s="994" cm="1">
        <f t="array" aca="1" ref="U61" ca="1">DSUM(MercadoBase1,U$53,INDIRECT("r"&amp;5+2*(ROW()-54)&amp;":r"&amp;6+2*(ROW()-54)))</f>
        <v>0</v>
      </c>
      <c r="V61" s="994" cm="1">
        <f t="array" aca="1" ref="V61" ca="1">DSUM(MercadoBase1,V$53,INDIRECT("r"&amp;5+2*(ROW()-54)&amp;":r"&amp;6+2*(ROW()-54)))</f>
        <v>0</v>
      </c>
      <c r="W61" s="994" cm="1">
        <f t="array" aca="1" ref="W61" ca="1">DSUM(MercadoBase1,W$53,INDIRECT("r"&amp;5+2*(ROW()-54)&amp;":r"&amp;6+2*(ROW()-54)))</f>
        <v>0</v>
      </c>
      <c r="X61" s="994" cm="1">
        <f t="array" aca="1" ref="X61" ca="1">DSUM(MercadoBase1,X$53,INDIRECT("r"&amp;5+2*(ROW()-54)&amp;":r"&amp;6+2*(ROW()-54)))</f>
        <v>0</v>
      </c>
      <c r="Y61" s="994" cm="1">
        <f t="array" aca="1" ref="Y61" ca="1">DSUM(MercadoBase1,Y$53,INDIRECT("r"&amp;5+2*(ROW()-54)&amp;":r"&amp;6+2*(ROW()-54)))</f>
        <v>0</v>
      </c>
      <c r="Z61" s="994" cm="1">
        <f t="array" aca="1" ref="Z61" ca="1">DSUM(MercadoBase1,Z$53,INDIRECT("r"&amp;5+2*(ROW()-54)&amp;":r"&amp;6+2*(ROW()-54)))</f>
        <v>691921.34092219989</v>
      </c>
      <c r="AA61" s="994" cm="1">
        <f t="array" aca="1" ref="AA61" ca="1">DSUM(MercadoBase1,AA$53,INDIRECT("r"&amp;5+2*(ROW()-54)&amp;":r"&amp;6+2*(ROW()-54)))</f>
        <v>0</v>
      </c>
      <c r="AB61" s="994" cm="1">
        <f t="array" aca="1" ref="AB61" ca="1">DSUM(MercadoBase1,AB$53,INDIRECT("r"&amp;5+2*(ROW()-54)&amp;":r"&amp;6+2*(ROW()-54)))</f>
        <v>0</v>
      </c>
    </row>
    <row r="62" spans="2:28" ht="15" customHeight="1">
      <c r="B62" s="992">
        <f t="shared" si="2"/>
        <v>44562</v>
      </c>
      <c r="C62" s="993"/>
      <c r="D62" s="994" cm="1">
        <f t="array" aca="1" ref="D62" ca="1">DSUM(MercadoBase1,D$53,INDIRECT("r"&amp;5+2*(ROW()-54)&amp;":r"&amp;6+2*(ROW()-54)))</f>
        <v>0</v>
      </c>
      <c r="E62" s="994" cm="1">
        <f t="array" aca="1" ref="E62" ca="1">DSUM(MercadoBase1,E$53,INDIRECT("r"&amp;5+2*(ROW()-54)&amp;":r"&amp;6+2*(ROW()-54)))</f>
        <v>0</v>
      </c>
      <c r="F62" s="994" cm="1">
        <f t="array" aca="1" ref="F62" ca="1">DSUM(MercadoBase1,F$53,INDIRECT("r"&amp;5+2*(ROW()-54)&amp;":r"&amp;6+2*(ROW()-54)))</f>
        <v>0</v>
      </c>
      <c r="G62" s="994" cm="1">
        <f t="array" aca="1" ref="G62" ca="1">DSUM(MercadoBase1,G$53,INDIRECT("r"&amp;5+2*(ROW()-54)&amp;":r"&amp;6+2*(ROW()-54)))</f>
        <v>40481.009422455521</v>
      </c>
      <c r="H62" s="994" cm="1">
        <f t="array" aca="1" ref="H62" ca="1">DSUM(MercadoBase1,H$53,INDIRECT("r"&amp;5+2*(ROW()-54)&amp;":r"&amp;6+2*(ROW()-54)))</f>
        <v>233217.70746350862</v>
      </c>
      <c r="I62" s="994" cm="1">
        <f t="array" aca="1" ref="I62" ca="1">DSUM(MercadoBase1,I$53,INDIRECT("r"&amp;5+2*(ROW()-54)&amp;":r"&amp;6+2*(ROW()-54)))</f>
        <v>3903.404155200411</v>
      </c>
      <c r="J62" s="994" cm="1">
        <f t="array" aca="1" ref="J62" ca="1">DSUM(MercadoBase1,J$53,INDIRECT("r"&amp;5+2*(ROW()-54)&amp;":r"&amp;6+2*(ROW()-54)))</f>
        <v>0</v>
      </c>
      <c r="K62" s="994" cm="1">
        <f t="array" aca="1" ref="K62" ca="1">DSUM(MercadoBase1,K$53,INDIRECT("r"&amp;5+2*(ROW()-54)&amp;":r"&amp;6+2*(ROW()-54)))</f>
        <v>0</v>
      </c>
      <c r="L62" s="994" cm="1">
        <f t="array" aca="1" ref="L62" ca="1">DSUM(MercadoBase1,L$53,INDIRECT("r"&amp;5+2*(ROW()-54)&amp;":r"&amp;6+2*(ROW()-54)))</f>
        <v>0</v>
      </c>
      <c r="M62" s="994" cm="1">
        <f t="array" aca="1" ref="M62" ca="1">DSUM(MercadoBase1,M$53,INDIRECT("r"&amp;5+2*(ROW()-54)&amp;":r"&amp;6+2*(ROW()-54)))</f>
        <v>0</v>
      </c>
      <c r="N62" s="994" cm="1">
        <f t="array" aca="1" ref="N62" ca="1">DSUM(MercadoBase1,N$53,INDIRECT("r"&amp;5+2*(ROW()-54)&amp;":r"&amp;6+2*(ROW()-54)))</f>
        <v>0</v>
      </c>
      <c r="O62" s="994" cm="1">
        <f t="array" aca="1" ref="O62" ca="1">DSUM(MercadoBase1,O$53,INDIRECT("r"&amp;5+2*(ROW()-54)&amp;":r"&amp;6+2*(ROW()-54)))</f>
        <v>0</v>
      </c>
      <c r="P62" s="994" cm="1">
        <f t="array" aca="1" ref="P62" ca="1">DSUM(MercadoBase1,P$53,INDIRECT("r"&amp;5+2*(ROW()-54)&amp;":r"&amp;6+2*(ROW()-54)))</f>
        <v>0</v>
      </c>
      <c r="Q62" s="1002" cm="1">
        <f t="array" aca="1" ref="Q62" ca="1">DSUM(MercadoBase1,Q$53,INDIRECT("r"&amp;5+2*(ROW()-54)&amp;":r"&amp;6+2*(ROW()-54)))</f>
        <v>0</v>
      </c>
      <c r="R62" s="995">
        <f>VLOOKUP(CAPA!$C$17,Índices!B:F,5,FALSE)/VLOOKUP(DATE(YEAR(B62),MONTH(B62),1),Índices!B:F,5,FALSE)</f>
        <v>1.0253750747225663</v>
      </c>
      <c r="S62" s="1004" cm="1">
        <f t="array" aca="1" ref="S62" ca="1">DSUM(MercadoBase1,S$53,INDIRECT("r"&amp;5+2*(ROW()-54)&amp;":r"&amp;6+2*(ROW()-54)))</f>
        <v>0</v>
      </c>
      <c r="T62" s="994" cm="1">
        <f t="array" aca="1" ref="T62" ca="1">DSUM(MercadoBase1,T$53,INDIRECT("r"&amp;5+2*(ROW()-54)&amp;":r"&amp;6+2*(ROW()-54)))</f>
        <v>0</v>
      </c>
      <c r="U62" s="994" cm="1">
        <f t="array" aca="1" ref="U62" ca="1">DSUM(MercadoBase1,U$53,INDIRECT("r"&amp;5+2*(ROW()-54)&amp;":r"&amp;6+2*(ROW()-54)))</f>
        <v>0</v>
      </c>
      <c r="V62" s="994" cm="1">
        <f t="array" aca="1" ref="V62" ca="1">DSUM(MercadoBase1,V$53,INDIRECT("r"&amp;5+2*(ROW()-54)&amp;":r"&amp;6+2*(ROW()-54)))</f>
        <v>0</v>
      </c>
      <c r="W62" s="994" cm="1">
        <f t="array" aca="1" ref="W62" ca="1">DSUM(MercadoBase1,W$53,INDIRECT("r"&amp;5+2*(ROW()-54)&amp;":r"&amp;6+2*(ROW()-54)))</f>
        <v>0</v>
      </c>
      <c r="X62" s="994" cm="1">
        <f t="array" aca="1" ref="X62" ca="1">DSUM(MercadoBase1,X$53,INDIRECT("r"&amp;5+2*(ROW()-54)&amp;":r"&amp;6+2*(ROW()-54)))</f>
        <v>0</v>
      </c>
      <c r="Y62" s="994" cm="1">
        <f t="array" aca="1" ref="Y62" ca="1">DSUM(MercadoBase1,Y$53,INDIRECT("r"&amp;5+2*(ROW()-54)&amp;":r"&amp;6+2*(ROW()-54)))</f>
        <v>0</v>
      </c>
      <c r="Z62" s="994" cm="1">
        <f t="array" aca="1" ref="Z62" ca="1">DSUM(MercadoBase1,Z$53,INDIRECT("r"&amp;5+2*(ROW()-54)&amp;":r"&amp;6+2*(ROW()-54)))</f>
        <v>761753.99549086019</v>
      </c>
      <c r="AA62" s="994" cm="1">
        <f t="array" aca="1" ref="AA62" ca="1">DSUM(MercadoBase1,AA$53,INDIRECT("r"&amp;5+2*(ROW()-54)&amp;":r"&amp;6+2*(ROW()-54)))</f>
        <v>0</v>
      </c>
      <c r="AB62" s="994" cm="1">
        <f t="array" aca="1" ref="AB62" ca="1">DSUM(MercadoBase1,AB$53,INDIRECT("r"&amp;5+2*(ROW()-54)&amp;":r"&amp;6+2*(ROW()-54)))</f>
        <v>0</v>
      </c>
    </row>
    <row r="63" spans="2:28" ht="15" customHeight="1">
      <c r="B63" s="992">
        <f t="shared" si="2"/>
        <v>44593</v>
      </c>
      <c r="C63" s="993"/>
      <c r="D63" s="994" cm="1">
        <f t="array" aca="1" ref="D63" ca="1">DSUM(MercadoBase1,D$53,INDIRECT("r"&amp;5+2*(ROW()-54)&amp;":r"&amp;6+2*(ROW()-54)))</f>
        <v>0</v>
      </c>
      <c r="E63" s="994" cm="1">
        <f t="array" aca="1" ref="E63" ca="1">DSUM(MercadoBase1,E$53,INDIRECT("r"&amp;5+2*(ROW()-54)&amp;":r"&amp;6+2*(ROW()-54)))</f>
        <v>0</v>
      </c>
      <c r="F63" s="994" cm="1">
        <f t="array" aca="1" ref="F63" ca="1">DSUM(MercadoBase1,F$53,INDIRECT("r"&amp;5+2*(ROW()-54)&amp;":r"&amp;6+2*(ROW()-54)))</f>
        <v>0</v>
      </c>
      <c r="G63" s="994" cm="1">
        <f t="array" aca="1" ref="G63" ca="1">DSUM(MercadoBase1,G$53,INDIRECT("r"&amp;5+2*(ROW()-54)&amp;":r"&amp;6+2*(ROW()-54)))</f>
        <v>44148.573305044643</v>
      </c>
      <c r="H63" s="994" cm="1">
        <f t="array" aca="1" ref="H63" ca="1">DSUM(MercadoBase1,H$53,INDIRECT("r"&amp;5+2*(ROW()-54)&amp;":r"&amp;6+2*(ROW()-54)))</f>
        <v>253938.56253961299</v>
      </c>
      <c r="I63" s="994" cm="1">
        <f t="array" aca="1" ref="I63" ca="1">DSUM(MercadoBase1,I$53,INDIRECT("r"&amp;5+2*(ROW()-54)&amp;":r"&amp;6+2*(ROW()-54)))</f>
        <v>4246.7352715823508</v>
      </c>
      <c r="J63" s="994" cm="1">
        <f t="array" aca="1" ref="J63" ca="1">DSUM(MercadoBase1,J$53,INDIRECT("r"&amp;5+2*(ROW()-54)&amp;":r"&amp;6+2*(ROW()-54)))</f>
        <v>0</v>
      </c>
      <c r="K63" s="994" cm="1">
        <f t="array" aca="1" ref="K63" ca="1">DSUM(MercadoBase1,K$53,INDIRECT("r"&amp;5+2*(ROW()-54)&amp;":r"&amp;6+2*(ROW()-54)))</f>
        <v>0</v>
      </c>
      <c r="L63" s="994" cm="1">
        <f t="array" aca="1" ref="L63" ca="1">DSUM(MercadoBase1,L$53,INDIRECT("r"&amp;5+2*(ROW()-54)&amp;":r"&amp;6+2*(ROW()-54)))</f>
        <v>0</v>
      </c>
      <c r="M63" s="994" cm="1">
        <f t="array" aca="1" ref="M63" ca="1">DSUM(MercadoBase1,M$53,INDIRECT("r"&amp;5+2*(ROW()-54)&amp;":r"&amp;6+2*(ROW()-54)))</f>
        <v>0</v>
      </c>
      <c r="N63" s="994" cm="1">
        <f t="array" aca="1" ref="N63" ca="1">DSUM(MercadoBase1,N$53,INDIRECT("r"&amp;5+2*(ROW()-54)&amp;":r"&amp;6+2*(ROW()-54)))</f>
        <v>0</v>
      </c>
      <c r="O63" s="994" cm="1">
        <f t="array" aca="1" ref="O63" ca="1">DSUM(MercadoBase1,O$53,INDIRECT("r"&amp;5+2*(ROW()-54)&amp;":r"&amp;6+2*(ROW()-54)))</f>
        <v>0</v>
      </c>
      <c r="P63" s="994" cm="1">
        <f t="array" aca="1" ref="P63" ca="1">DSUM(MercadoBase1,P$53,INDIRECT("r"&amp;5+2*(ROW()-54)&amp;":r"&amp;6+2*(ROW()-54)))</f>
        <v>0</v>
      </c>
      <c r="Q63" s="1002" cm="1">
        <f t="array" aca="1" ref="Q63" ca="1">DSUM(MercadoBase1,Q$53,INDIRECT("r"&amp;5+2*(ROW()-54)&amp;":r"&amp;6+2*(ROW()-54)))</f>
        <v>0</v>
      </c>
      <c r="R63" s="995">
        <f>VLOOKUP(CAPA!$C$17,Índices!B:F,5,FALSE)/VLOOKUP(DATE(YEAR(B63),MONTH(B63),1),Índices!B:F,5,FALSE)</f>
        <v>1.0176910898725859</v>
      </c>
      <c r="S63" s="1004" cm="1">
        <f t="array" aca="1" ref="S63" ca="1">DSUM(MercadoBase1,S$53,INDIRECT("r"&amp;5+2*(ROW()-54)&amp;":r"&amp;6+2*(ROW()-54)))</f>
        <v>0</v>
      </c>
      <c r="T63" s="994" cm="1">
        <f t="array" aca="1" ref="T63" ca="1">DSUM(MercadoBase1,T$53,INDIRECT("r"&amp;5+2*(ROW()-54)&amp;":r"&amp;6+2*(ROW()-54)))</f>
        <v>0</v>
      </c>
      <c r="U63" s="994" cm="1">
        <f t="array" aca="1" ref="U63" ca="1">DSUM(MercadoBase1,U$53,INDIRECT("r"&amp;5+2*(ROW()-54)&amp;":r"&amp;6+2*(ROW()-54)))</f>
        <v>0</v>
      </c>
      <c r="V63" s="994" cm="1">
        <f t="array" aca="1" ref="V63" ca="1">DSUM(MercadoBase1,V$53,INDIRECT("r"&amp;5+2*(ROW()-54)&amp;":r"&amp;6+2*(ROW()-54)))</f>
        <v>0</v>
      </c>
      <c r="W63" s="994" cm="1">
        <f t="array" aca="1" ref="W63" ca="1">DSUM(MercadoBase1,W$53,INDIRECT("r"&amp;5+2*(ROW()-54)&amp;":r"&amp;6+2*(ROW()-54)))</f>
        <v>0</v>
      </c>
      <c r="X63" s="994" cm="1">
        <f t="array" aca="1" ref="X63" ca="1">DSUM(MercadoBase1,X$53,INDIRECT("r"&amp;5+2*(ROW()-54)&amp;":r"&amp;6+2*(ROW()-54)))</f>
        <v>0</v>
      </c>
      <c r="Y63" s="994" cm="1">
        <f t="array" aca="1" ref="Y63" ca="1">DSUM(MercadoBase1,Y$53,INDIRECT("r"&amp;5+2*(ROW()-54)&amp;":r"&amp;6+2*(ROW()-54)))</f>
        <v>0</v>
      </c>
      <c r="Z63" s="994" cm="1">
        <f t="array" aca="1" ref="Z63" ca="1">DSUM(MercadoBase1,Z$53,INDIRECT("r"&amp;5+2*(ROW()-54)&amp;":r"&amp;6+2*(ROW()-54)))</f>
        <v>763305.13228889229</v>
      </c>
      <c r="AA63" s="994" cm="1">
        <f t="array" aca="1" ref="AA63" ca="1">DSUM(MercadoBase1,AA$53,INDIRECT("r"&amp;5+2*(ROW()-54)&amp;":r"&amp;6+2*(ROW()-54)))</f>
        <v>0</v>
      </c>
      <c r="AB63" s="994" cm="1">
        <f t="array" aca="1" ref="AB63" ca="1">DSUM(MercadoBase1,AB$53,INDIRECT("r"&amp;5+2*(ROW()-54)&amp;":r"&amp;6+2*(ROW()-54)))</f>
        <v>0</v>
      </c>
    </row>
    <row r="64" spans="2:28" ht="15" customHeight="1">
      <c r="B64" s="992">
        <f t="shared" si="2"/>
        <v>44621</v>
      </c>
      <c r="C64" s="993"/>
      <c r="D64" s="994" cm="1">
        <f t="array" aca="1" ref="D64" ca="1">DSUM(MercadoBase1,D$53,INDIRECT("r"&amp;5+2*(ROW()-54)&amp;":r"&amp;6+2*(ROW()-54)))</f>
        <v>0</v>
      </c>
      <c r="E64" s="994" cm="1">
        <f t="array" aca="1" ref="E64" ca="1">DSUM(MercadoBase1,E$53,INDIRECT("r"&amp;5+2*(ROW()-54)&amp;":r"&amp;6+2*(ROW()-54)))</f>
        <v>0</v>
      </c>
      <c r="F64" s="994" cm="1">
        <f t="array" aca="1" ref="F64" ca="1">DSUM(MercadoBase1,F$53,INDIRECT("r"&amp;5+2*(ROW()-54)&amp;":r"&amp;6+2*(ROW()-54)))</f>
        <v>0</v>
      </c>
      <c r="G64" s="994" cm="1">
        <f t="array" aca="1" ref="G64" ca="1">DSUM(MercadoBase1,G$53,INDIRECT("r"&amp;5+2*(ROW()-54)&amp;":r"&amp;6+2*(ROW()-54)))</f>
        <v>44148.573305044643</v>
      </c>
      <c r="H64" s="994" cm="1">
        <f t="array" aca="1" ref="H64" ca="1">DSUM(MercadoBase1,H$53,INDIRECT("r"&amp;5+2*(ROW()-54)&amp;":r"&amp;6+2*(ROW()-54)))</f>
        <v>253938.56253961299</v>
      </c>
      <c r="I64" s="994" cm="1">
        <f t="array" aca="1" ref="I64" ca="1">DSUM(MercadoBase1,I$53,INDIRECT("r"&amp;5+2*(ROW()-54)&amp;":r"&amp;6+2*(ROW()-54)))</f>
        <v>4246.7352715823508</v>
      </c>
      <c r="J64" s="994" cm="1">
        <f t="array" aca="1" ref="J64" ca="1">DSUM(MercadoBase1,J$53,INDIRECT("r"&amp;5+2*(ROW()-54)&amp;":r"&amp;6+2*(ROW()-54)))</f>
        <v>0</v>
      </c>
      <c r="K64" s="994" cm="1">
        <f t="array" aca="1" ref="K64" ca="1">DSUM(MercadoBase1,K$53,INDIRECT("r"&amp;5+2*(ROW()-54)&amp;":r"&amp;6+2*(ROW()-54)))</f>
        <v>0</v>
      </c>
      <c r="L64" s="994" cm="1">
        <f t="array" aca="1" ref="L64" ca="1">DSUM(MercadoBase1,L$53,INDIRECT("r"&amp;5+2*(ROW()-54)&amp;":r"&amp;6+2*(ROW()-54)))</f>
        <v>0</v>
      </c>
      <c r="M64" s="994" cm="1">
        <f t="array" aca="1" ref="M64" ca="1">DSUM(MercadoBase1,M$53,INDIRECT("r"&amp;5+2*(ROW()-54)&amp;":r"&amp;6+2*(ROW()-54)))</f>
        <v>0</v>
      </c>
      <c r="N64" s="994" cm="1">
        <f t="array" aca="1" ref="N64" ca="1">DSUM(MercadoBase1,N$53,INDIRECT("r"&amp;5+2*(ROW()-54)&amp;":r"&amp;6+2*(ROW()-54)))</f>
        <v>0</v>
      </c>
      <c r="O64" s="994" cm="1">
        <f t="array" aca="1" ref="O64" ca="1">DSUM(MercadoBase1,O$53,INDIRECT("r"&amp;5+2*(ROW()-54)&amp;":r"&amp;6+2*(ROW()-54)))</f>
        <v>0</v>
      </c>
      <c r="P64" s="994" cm="1">
        <f t="array" aca="1" ref="P64" ca="1">DSUM(MercadoBase1,P$53,INDIRECT("r"&amp;5+2*(ROW()-54)&amp;":r"&amp;6+2*(ROW()-54)))</f>
        <v>0</v>
      </c>
      <c r="Q64" s="1002" cm="1">
        <f t="array" aca="1" ref="Q64" ca="1">DSUM(MercadoBase1,Q$53,INDIRECT("r"&amp;5+2*(ROW()-54)&amp;":r"&amp;6+2*(ROW()-54)))</f>
        <v>0</v>
      </c>
      <c r="R64" s="995">
        <f>VLOOKUP(CAPA!$C$17,Índices!B:F,5,FALSE)/VLOOKUP(DATE(YEAR(B64),MONTH(B64),1),Índices!B:F,5,FALSE)</f>
        <v>1.0083432052372134</v>
      </c>
      <c r="S64" s="1004" cm="1">
        <f t="array" aca="1" ref="S64" ca="1">DSUM(MercadoBase1,S$53,INDIRECT("r"&amp;5+2*(ROW()-54)&amp;":r"&amp;6+2*(ROW()-54)))</f>
        <v>0</v>
      </c>
      <c r="T64" s="994" cm="1">
        <f t="array" aca="1" ref="T64" ca="1">DSUM(MercadoBase1,T$53,INDIRECT("r"&amp;5+2*(ROW()-54)&amp;":r"&amp;6+2*(ROW()-54)))</f>
        <v>0</v>
      </c>
      <c r="U64" s="994" cm="1">
        <f t="array" aca="1" ref="U64" ca="1">DSUM(MercadoBase1,U$53,INDIRECT("r"&amp;5+2*(ROW()-54)&amp;":r"&amp;6+2*(ROW()-54)))</f>
        <v>0</v>
      </c>
      <c r="V64" s="994" cm="1">
        <f t="array" aca="1" ref="V64" ca="1">DSUM(MercadoBase1,V$53,INDIRECT("r"&amp;5+2*(ROW()-54)&amp;":r"&amp;6+2*(ROW()-54)))</f>
        <v>0</v>
      </c>
      <c r="W64" s="994" cm="1">
        <f t="array" aca="1" ref="W64" ca="1">DSUM(MercadoBase1,W$53,INDIRECT("r"&amp;5+2*(ROW()-54)&amp;":r"&amp;6+2*(ROW()-54)))</f>
        <v>0</v>
      </c>
      <c r="X64" s="994" cm="1">
        <f t="array" aca="1" ref="X64" ca="1">DSUM(MercadoBase1,X$53,INDIRECT("r"&amp;5+2*(ROW()-54)&amp;":r"&amp;6+2*(ROW()-54)))</f>
        <v>0</v>
      </c>
      <c r="Y64" s="994" cm="1">
        <f t="array" aca="1" ref="Y64" ca="1">DSUM(MercadoBase1,Y$53,INDIRECT("r"&amp;5+2*(ROW()-54)&amp;":r"&amp;6+2*(ROW()-54)))</f>
        <v>0</v>
      </c>
      <c r="Z64" s="994" cm="1">
        <f t="array" aca="1" ref="Z64" ca="1">DSUM(MercadoBase1,Z$53,INDIRECT("r"&amp;5+2*(ROW()-54)&amp;":r"&amp;6+2*(ROW()-54)))</f>
        <v>763305.13228889229</v>
      </c>
      <c r="AA64" s="994" cm="1">
        <f t="array" aca="1" ref="AA64" ca="1">DSUM(MercadoBase1,AA$53,INDIRECT("r"&amp;5+2*(ROW()-54)&amp;":r"&amp;6+2*(ROW()-54)))</f>
        <v>0</v>
      </c>
      <c r="AB64" s="994" cm="1">
        <f t="array" aca="1" ref="AB64" ca="1">DSUM(MercadoBase1,AB$53,INDIRECT("r"&amp;5+2*(ROW()-54)&amp;":r"&amp;6+2*(ROW()-54)))</f>
        <v>0</v>
      </c>
    </row>
    <row r="65" spans="2:28" ht="15" customHeight="1">
      <c r="B65" s="992">
        <f>DATE(YEAR(CAPA!$C$15),MONTH(CAPA!$C$15)-1,1)</f>
        <v>44652</v>
      </c>
      <c r="C65" s="993"/>
      <c r="D65" s="1493" cm="1">
        <f t="array" aca="1" ref="D65" ca="1">DSUM(MercadoBase1,D$53,INDIRECT("r"&amp;5+2*(ROW()-54)&amp;":r"&amp;6+2*(ROW()-54)))</f>
        <v>0</v>
      </c>
      <c r="E65" s="1493" cm="1">
        <f t="array" aca="1" ref="E65" ca="1">DSUM(MercadoBase1,E$53,INDIRECT("r"&amp;5+2*(ROW()-54)&amp;":r"&amp;6+2*(ROW()-54)))</f>
        <v>0</v>
      </c>
      <c r="F65" s="994" cm="1">
        <f t="array" aca="1" ref="F65" ca="1">DSUM(MercadoBase1,F$53,INDIRECT("r"&amp;5+2*(ROW()-54)&amp;":r"&amp;6+2*(ROW()-54)))</f>
        <v>0</v>
      </c>
      <c r="G65" s="1493" cm="1">
        <f t="array" aca="1" ref="G65" ca="1">DSUM(MercadoBase1,G$53,INDIRECT("r"&amp;5+2*(ROW()-54)&amp;":r"&amp;6+2*(ROW()-54)))</f>
        <v>44148.573305044643</v>
      </c>
      <c r="H65" s="1493" cm="1">
        <f t="array" aca="1" ref="H65" ca="1">DSUM(MercadoBase1,H$53,INDIRECT("r"&amp;5+2*(ROW()-54)&amp;":r"&amp;6+2*(ROW()-54)))</f>
        <v>253938.56253961299</v>
      </c>
      <c r="I65" s="994" cm="1">
        <f t="array" aca="1" ref="I65" ca="1">DSUM(MercadoBase1,I$53,INDIRECT("r"&amp;5+2*(ROW()-54)&amp;":r"&amp;6+2*(ROW()-54)))</f>
        <v>4246.7352715823508</v>
      </c>
      <c r="J65" s="1493" cm="1">
        <f t="array" aca="1" ref="J65" ca="1">DSUM(MercadoBase1,J$53,INDIRECT("r"&amp;5+2*(ROW()-54)&amp;":r"&amp;6+2*(ROW()-54)))</f>
        <v>0</v>
      </c>
      <c r="K65" s="1493" cm="1">
        <f t="array" aca="1" ref="K65" ca="1">DSUM(MercadoBase1,K$53,INDIRECT("r"&amp;5+2*(ROW()-54)&amp;":r"&amp;6+2*(ROW()-54)))</f>
        <v>0</v>
      </c>
      <c r="L65" s="994" cm="1">
        <f t="array" aca="1" ref="L65" ca="1">DSUM(MercadoBase1,L$53,INDIRECT("r"&amp;5+2*(ROW()-54)&amp;":r"&amp;6+2*(ROW()-54)))</f>
        <v>0</v>
      </c>
      <c r="M65" s="1493" cm="1">
        <f t="array" aca="1" ref="M65" ca="1">DSUM(MercadoBase1,M$53,INDIRECT("r"&amp;5+2*(ROW()-54)&amp;":r"&amp;6+2*(ROW()-54)))</f>
        <v>0</v>
      </c>
      <c r="N65" s="1493" cm="1">
        <f t="array" aca="1" ref="N65" ca="1">DSUM(MercadoBase1,N$53,INDIRECT("r"&amp;5+2*(ROW()-54)&amp;":r"&amp;6+2*(ROW()-54)))</f>
        <v>0</v>
      </c>
      <c r="O65" s="994" cm="1">
        <f t="array" aca="1" ref="O65" ca="1">DSUM(MercadoBase1,O$53,INDIRECT("r"&amp;5+2*(ROW()-54)&amp;":r"&amp;6+2*(ROW()-54)))</f>
        <v>0</v>
      </c>
      <c r="P65" s="1493" cm="1">
        <f t="array" aca="1" ref="P65" ca="1">DSUM(MercadoBase1,P$53,INDIRECT("r"&amp;5+2*(ROW()-54)&amp;":r"&amp;6+2*(ROW()-54)))</f>
        <v>0</v>
      </c>
      <c r="Q65" s="1003" cm="1">
        <f t="array" aca="1" ref="Q65" ca="1">DSUM(MercadoBase1,Q$53,INDIRECT("r"&amp;5+2*(ROW()-54)&amp;":r"&amp;6+2*(ROW()-54)))</f>
        <v>0</v>
      </c>
      <c r="R65" s="1494">
        <f>VLOOKUP(CAPA!$C$17,Índices!B:F,5,FALSE)/VLOOKUP(DATE(YEAR(B65),MONTH(B65),1),Índices!B:F,5,FALSE)</f>
        <v>1</v>
      </c>
      <c r="S65" s="1004" cm="1">
        <f t="array" aca="1" ref="S65" ca="1">DSUM(MercadoBase1,S$53,INDIRECT("r"&amp;5+2*(ROW()-54)&amp;":r"&amp;6+2*(ROW()-54)))</f>
        <v>0</v>
      </c>
      <c r="T65" s="1493" cm="1">
        <f t="array" aca="1" ref="T65" ca="1">DSUM(MercadoBase1,T$53,INDIRECT("r"&amp;5+2*(ROW()-54)&amp;":r"&amp;6+2*(ROW()-54)))</f>
        <v>0</v>
      </c>
      <c r="U65" s="1493" cm="1">
        <f t="array" aca="1" ref="U65" ca="1">DSUM(MercadoBase1,U$53,INDIRECT("r"&amp;5+2*(ROW()-54)&amp;":r"&amp;6+2*(ROW()-54)))</f>
        <v>0</v>
      </c>
      <c r="V65" s="994" cm="1">
        <f t="array" aca="1" ref="V65" ca="1">DSUM(MercadoBase1,V$53,INDIRECT("r"&amp;5+2*(ROW()-54)&amp;":r"&amp;6+2*(ROW()-54)))</f>
        <v>0</v>
      </c>
      <c r="W65" s="1493" cm="1">
        <f t="array" aca="1" ref="W65" ca="1">DSUM(MercadoBase1,W$53,INDIRECT("r"&amp;5+2*(ROW()-54)&amp;":r"&amp;6+2*(ROW()-54)))</f>
        <v>0</v>
      </c>
      <c r="X65" s="1493" cm="1">
        <f t="array" aca="1" ref="X65" ca="1">DSUM(MercadoBase1,X$53,INDIRECT("r"&amp;5+2*(ROW()-54)&amp;":r"&amp;6+2*(ROW()-54)))</f>
        <v>0</v>
      </c>
      <c r="Y65" s="994" cm="1">
        <f t="array" aca="1" ref="Y65" ca="1">DSUM(MercadoBase1,Y$53,INDIRECT("r"&amp;5+2*(ROW()-54)&amp;":r"&amp;6+2*(ROW()-54)))</f>
        <v>0</v>
      </c>
      <c r="Z65" s="1493" cm="1">
        <f t="array" aca="1" ref="Z65" ca="1">DSUM(MercadoBase1,Z$53,INDIRECT("r"&amp;5+2*(ROW()-54)&amp;":r"&amp;6+2*(ROW()-54)))</f>
        <v>763305.13228889229</v>
      </c>
      <c r="AA65" s="1493" cm="1">
        <f t="array" aca="1" ref="AA65" ca="1">DSUM(MercadoBase1,AA$53,INDIRECT("r"&amp;5+2*(ROW()-54)&amp;":r"&amp;6+2*(ROW()-54)))</f>
        <v>0</v>
      </c>
      <c r="AB65" s="994" cm="1">
        <f t="array" aca="1" ref="AB65" ca="1">DSUM(MercadoBase1,AB$53,INDIRECT("r"&amp;5+2*(ROW()-54)&amp;":r"&amp;6+2*(ROW()-54)))</f>
        <v>0</v>
      </c>
    </row>
    <row r="66" spans="2:28" ht="15" customHeight="1">
      <c r="B66" s="1495" t="s">
        <v>1013</v>
      </c>
      <c r="C66" s="1496"/>
      <c r="D66" s="1497">
        <f ca="1">SUM(D54:D65)</f>
        <v>0</v>
      </c>
      <c r="E66" s="1497">
        <f t="shared" ref="E66:Q66" ca="1" si="3">SUM(E54:E65)</f>
        <v>0</v>
      </c>
      <c r="F66" s="1497">
        <f t="shared" ca="1" si="3"/>
        <v>0</v>
      </c>
      <c r="G66" s="1497">
        <f ca="1">SUM(G54:G65)</f>
        <v>476011.59378594742</v>
      </c>
      <c r="H66" s="1497">
        <f t="shared" ca="1" si="3"/>
        <v>2741138.8933965573</v>
      </c>
      <c r="I66" s="1497">
        <f t="shared" ca="1" si="3"/>
        <v>45866.266342703326</v>
      </c>
      <c r="J66" s="1497">
        <f t="shared" ca="1" si="3"/>
        <v>0</v>
      </c>
      <c r="K66" s="1497">
        <f t="shared" ca="1" si="3"/>
        <v>0</v>
      </c>
      <c r="L66" s="1497">
        <f t="shared" ca="1" si="3"/>
        <v>0</v>
      </c>
      <c r="M66" s="1497">
        <f t="shared" ca="1" si="3"/>
        <v>0</v>
      </c>
      <c r="N66" s="1497">
        <f t="shared" ca="1" si="3"/>
        <v>0</v>
      </c>
      <c r="O66" s="1497">
        <f t="shared" ca="1" si="3"/>
        <v>0</v>
      </c>
      <c r="P66" s="1497">
        <f t="shared" ca="1" si="3"/>
        <v>0</v>
      </c>
      <c r="Q66" s="1497">
        <f t="shared" ca="1" si="3"/>
        <v>0</v>
      </c>
      <c r="R66" s="1493"/>
      <c r="S66" s="1497">
        <f t="shared" ref="S66:AB66" ca="1" si="4">SUM(S54:S65)</f>
        <v>0</v>
      </c>
      <c r="T66" s="1497">
        <f t="shared" ca="1" si="4"/>
        <v>0</v>
      </c>
      <c r="U66" s="1497">
        <f t="shared" ca="1" si="4"/>
        <v>0</v>
      </c>
      <c r="V66" s="1497">
        <f t="shared" ca="1" si="4"/>
        <v>0</v>
      </c>
      <c r="W66" s="1497">
        <f t="shared" ca="1" si="4"/>
        <v>0</v>
      </c>
      <c r="X66" s="1497">
        <f t="shared" ca="1" si="4"/>
        <v>0</v>
      </c>
      <c r="Y66" s="1497">
        <f t="shared" ca="1" si="4"/>
        <v>0</v>
      </c>
      <c r="Z66" s="1497">
        <f t="shared" ca="1" si="4"/>
        <v>8620913.1482597701</v>
      </c>
      <c r="AA66" s="1497">
        <f t="shared" ca="1" si="4"/>
        <v>0</v>
      </c>
      <c r="AB66" s="1497">
        <f t="shared" ca="1" si="4"/>
        <v>0</v>
      </c>
    </row>
    <row r="67" spans="2:28" ht="15" customHeight="1">
      <c r="B67" s="1498" t="s">
        <v>1460</v>
      </c>
      <c r="C67" s="1499"/>
      <c r="D67" s="1500">
        <f t="shared" ref="D67:AB67" ca="1" si="5">SUMPRODUCT(D54:D65,$R$54:$R$65)</f>
        <v>0</v>
      </c>
      <c r="E67" s="1501">
        <f t="shared" ca="1" si="5"/>
        <v>0</v>
      </c>
      <c r="F67" s="1502">
        <f t="shared" ca="1" si="5"/>
        <v>0</v>
      </c>
      <c r="G67" s="1501">
        <f t="shared" ca="1" si="5"/>
        <v>494262.95866199967</v>
      </c>
      <c r="H67" s="1501">
        <f t="shared" ca="1" si="5"/>
        <v>2846247.7899607094</v>
      </c>
      <c r="I67" s="1502">
        <f t="shared" ca="1" si="5"/>
        <v>47625.031160612474</v>
      </c>
      <c r="J67" s="1500">
        <f t="shared" ca="1" si="5"/>
        <v>0</v>
      </c>
      <c r="K67" s="1501">
        <f t="shared" ca="1" si="5"/>
        <v>0</v>
      </c>
      <c r="L67" s="1502">
        <f t="shared" ca="1" si="5"/>
        <v>0</v>
      </c>
      <c r="M67" s="1501">
        <f t="shared" ca="1" si="5"/>
        <v>0</v>
      </c>
      <c r="N67" s="1501">
        <f t="shared" ca="1" si="5"/>
        <v>0</v>
      </c>
      <c r="O67" s="1502">
        <f t="shared" ca="1" si="5"/>
        <v>0</v>
      </c>
      <c r="P67" s="1500">
        <f t="shared" ca="1" si="5"/>
        <v>0</v>
      </c>
      <c r="Q67" s="1500">
        <f t="shared" ca="1" si="5"/>
        <v>0</v>
      </c>
      <c r="R67" s="1501">
        <f t="shared" si="5"/>
        <v>12.974834755294193</v>
      </c>
      <c r="S67" s="1502">
        <f t="shared" ca="1" si="5"/>
        <v>0</v>
      </c>
      <c r="T67" s="1501">
        <f t="shared" ca="1" si="5"/>
        <v>0</v>
      </c>
      <c r="U67" s="1501">
        <f t="shared" ca="1" si="5"/>
        <v>0</v>
      </c>
      <c r="V67" s="1502">
        <f t="shared" ca="1" si="5"/>
        <v>0</v>
      </c>
      <c r="W67" s="1500">
        <f t="shared" ca="1" si="5"/>
        <v>0</v>
      </c>
      <c r="X67" s="1501">
        <f t="shared" ca="1" si="5"/>
        <v>0</v>
      </c>
      <c r="Y67" s="1502">
        <f t="shared" ca="1" si="5"/>
        <v>0</v>
      </c>
      <c r="Z67" s="1501">
        <f t="shared" ca="1" si="5"/>
        <v>8955268.3366005961</v>
      </c>
      <c r="AA67" s="1501">
        <f t="shared" ca="1" si="5"/>
        <v>0</v>
      </c>
      <c r="AB67" s="1502">
        <f t="shared" ca="1" si="5"/>
        <v>0</v>
      </c>
    </row>
    <row r="71" spans="2:28" ht="15" customHeight="1">
      <c r="H71" s="1005"/>
      <c r="J71" s="1005"/>
    </row>
    <row r="72" spans="2:28" ht="15" customHeight="1">
      <c r="H72" s="1005"/>
      <c r="J72" s="1005"/>
    </row>
    <row r="73" spans="2:28" ht="15" customHeight="1">
      <c r="H73" s="1005"/>
      <c r="J73" s="1005"/>
    </row>
    <row r="74" spans="2:28" ht="15" customHeight="1">
      <c r="H74" s="1005"/>
      <c r="J74" s="1005"/>
    </row>
    <row r="75" spans="2:28" ht="15" customHeight="1">
      <c r="H75" s="1005"/>
      <c r="J75" s="1005"/>
    </row>
    <row r="76" spans="2:28" ht="15" customHeight="1">
      <c r="H76" s="1005"/>
      <c r="J76" s="1005"/>
    </row>
    <row r="77" spans="2:28" ht="15" customHeight="1">
      <c r="H77" s="1005"/>
      <c r="J77" s="1005"/>
    </row>
    <row r="78" spans="2:28" ht="15" customHeight="1">
      <c r="H78" s="1005"/>
      <c r="J78" s="1005"/>
    </row>
    <row r="79" spans="2:28" ht="15" customHeight="1">
      <c r="H79" s="1005"/>
      <c r="J79" s="1005"/>
    </row>
    <row r="80" spans="2:28" ht="15" customHeight="1">
      <c r="H80" s="1005"/>
      <c r="J80" s="1005"/>
    </row>
    <row r="81" spans="8:10" ht="15" customHeight="1">
      <c r="H81" s="1005"/>
      <c r="J81" s="1005"/>
    </row>
    <row r="82" spans="8:10" ht="15" customHeight="1">
      <c r="H82" s="1005"/>
      <c r="J82" s="1005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I29" sqref="I29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901" t="str">
        <f>CAPA!C9</f>
        <v>Cerpro</v>
      </c>
    </row>
    <row r="3" spans="1:14">
      <c r="A3" s="901" t="s">
        <v>1461</v>
      </c>
      <c r="B3" s="902">
        <v>0</v>
      </c>
    </row>
    <row r="7" spans="1:14">
      <c r="A7" s="903"/>
      <c r="B7" s="1750" t="s">
        <v>1462</v>
      </c>
      <c r="C7" s="1750"/>
      <c r="D7" s="1750"/>
      <c r="E7" s="903"/>
      <c r="F7" s="1750" t="s">
        <v>1463</v>
      </c>
      <c r="G7" s="1750"/>
      <c r="H7" s="1750"/>
      <c r="I7" s="903"/>
      <c r="J7" s="1750" t="s">
        <v>1464</v>
      </c>
      <c r="K7" s="1750"/>
      <c r="L7" s="1750"/>
    </row>
    <row r="8" spans="1:14">
      <c r="A8" s="1503" t="s">
        <v>1465</v>
      </c>
      <c r="B8" s="1503" t="s">
        <v>1466</v>
      </c>
      <c r="C8" s="1503" t="s">
        <v>110</v>
      </c>
      <c r="D8" s="1503" t="s">
        <v>1467</v>
      </c>
      <c r="E8" s="1503"/>
      <c r="F8" s="1503" t="s">
        <v>1466</v>
      </c>
      <c r="G8" s="1503" t="s">
        <v>1468</v>
      </c>
      <c r="H8" s="1503" t="s">
        <v>1469</v>
      </c>
      <c r="I8" s="1503"/>
      <c r="J8" s="1503" t="s">
        <v>1466</v>
      </c>
      <c r="K8" s="1503" t="s">
        <v>1468</v>
      </c>
      <c r="L8" s="1503" t="s">
        <v>1470</v>
      </c>
    </row>
    <row r="9" spans="1:14">
      <c r="A9" s="1504">
        <v>44013</v>
      </c>
      <c r="B9" s="1505">
        <f>SUMIFS(BDCOVID!F:F,BDCOVID!$C:$C,'Conta covid'!$A$1,BDCOVID!$AH:$AH,'Conta covid'!$A9)</f>
        <v>0</v>
      </c>
      <c r="C9" s="1505">
        <f>SUMIFS(BDCOVID!G:G,BDCOVID!$C:$C,'Conta covid'!$A$1,BDCOVID!$AH:$AH,'Conta covid'!$A9)</f>
        <v>0</v>
      </c>
      <c r="D9" s="1506">
        <f>B9-C9</f>
        <v>0</v>
      </c>
      <c r="E9" s="1505"/>
      <c r="F9" s="1507">
        <f>B9*VLOOKUP(SAS_RA0_DataFim,Índices!$B$6:$F$405,5,FALSE)/VLOOKUP(EDATE('Conta covid'!$A9,-1),Índices!$B$6:$F$405,5,FALSE)</f>
        <v>0</v>
      </c>
      <c r="G9" s="1507">
        <f>C9*VLOOKUP(SAS_RA0_DataFim,Índices!$B$6:$F$405,5,FALSE)/VLOOKUP(EDATE('Conta covid'!$A9,-1),Índices!$B$6:$F$405,5,FALSE)</f>
        <v>0</v>
      </c>
      <c r="H9" s="1507">
        <f>F9-G9</f>
        <v>0</v>
      </c>
      <c r="I9" s="1505"/>
      <c r="J9" s="1507">
        <f>IFERROR(IF($C$19,H9*$B$3,0),0)</f>
        <v>0</v>
      </c>
      <c r="K9" s="1507"/>
      <c r="L9" s="1507"/>
    </row>
    <row r="10" spans="1:14">
      <c r="A10" s="1504">
        <v>44044</v>
      </c>
      <c r="B10" s="1505">
        <f>SUMIFS(BDCOVID!F:F,BDCOVID!$C:$C,'Conta covid'!$A$1,BDCOVID!$AH:$AH,'Conta covid'!$A10)</f>
        <v>0</v>
      </c>
      <c r="C10" s="1505">
        <f>SUMIFS(BDCOVID!G:G,BDCOVID!$C:$C,'Conta covid'!$A$1,BDCOVID!$AH:$AH,'Conta covid'!$A10)</f>
        <v>0</v>
      </c>
      <c r="D10" s="1506">
        <f t="shared" ref="D10:D15" si="0">B10-C10</f>
        <v>0</v>
      </c>
      <c r="E10" s="1505"/>
      <c r="F10" s="1507">
        <f>B10*VLOOKUP(SAS_RA0_DataFim,Índices!$B$6:$F$405,5,FALSE)/VLOOKUP(EDATE('Conta covid'!$A10,-1),Índices!$B$6:$F$405,5,FALSE)</f>
        <v>0</v>
      </c>
      <c r="G10" s="1507">
        <f>C10*VLOOKUP(SAS_RA0_DataFim,Índices!$B$6:$F$405,5,FALSE)/VLOOKUP(EDATE('Conta covid'!$A10,-1),Índices!$B$6:$F$405,5,FALSE)</f>
        <v>0</v>
      </c>
      <c r="H10" s="1507">
        <f t="shared" ref="H10:H15" si="1">F10-G10</f>
        <v>0</v>
      </c>
      <c r="I10" s="1505"/>
      <c r="J10" s="1507">
        <f t="shared" ref="J10:J16" si="2">IFERROR(IF($C$19,H10*$B$3,0),0)</f>
        <v>0</v>
      </c>
      <c r="K10" s="1507"/>
      <c r="L10" s="1507"/>
    </row>
    <row r="11" spans="1:14">
      <c r="A11" s="1504">
        <v>44075</v>
      </c>
      <c r="B11" s="1505">
        <f>SUMIFS(BDCOVID!F:F,BDCOVID!$C:$C,'Conta covid'!$A$1,BDCOVID!$AH:$AH,'Conta covid'!$A11)</f>
        <v>0</v>
      </c>
      <c r="C11" s="1505">
        <f>SUMIFS(BDCOVID!G:G,BDCOVID!$C:$C,'Conta covid'!$A$1,BDCOVID!$AH:$AH,'Conta covid'!$A11)</f>
        <v>0</v>
      </c>
      <c r="D11" s="1506">
        <f t="shared" si="0"/>
        <v>0</v>
      </c>
      <c r="E11" s="1505"/>
      <c r="F11" s="1507">
        <f>B11*VLOOKUP(SAS_RA0_DataFim,Índices!$B$6:$F$405,5,FALSE)/VLOOKUP(EDATE('Conta covid'!$A11,-1),Índices!$B$6:$F$405,5,FALSE)</f>
        <v>0</v>
      </c>
      <c r="G11" s="1507">
        <f>C11*VLOOKUP(SAS_RA0_DataFim,Índices!$B$6:$F$405,5,FALSE)/VLOOKUP(EDATE('Conta covid'!$A11,-1),Índices!$B$6:$F$405,5,FALSE)</f>
        <v>0</v>
      </c>
      <c r="H11" s="1507">
        <f t="shared" si="1"/>
        <v>0</v>
      </c>
      <c r="I11" s="1505"/>
      <c r="J11" s="1507">
        <f t="shared" si="2"/>
        <v>0</v>
      </c>
      <c r="K11" s="1507"/>
      <c r="L11" s="1507"/>
    </row>
    <row r="12" spans="1:14">
      <c r="A12" s="1504">
        <v>44105</v>
      </c>
      <c r="B12" s="1505">
        <f>SUMIFS(BDCOVID!F:F,BDCOVID!$C:$C,'Conta covid'!$A$1,BDCOVID!$AH:$AH,'Conta covid'!$A12)</f>
        <v>0</v>
      </c>
      <c r="C12" s="1505">
        <f>SUMIFS(BDCOVID!G:G,BDCOVID!$C:$C,'Conta covid'!$A$1,BDCOVID!$AH:$AH,'Conta covid'!$A12)</f>
        <v>0</v>
      </c>
      <c r="D12" s="1506">
        <f t="shared" si="0"/>
        <v>0</v>
      </c>
      <c r="E12" s="1505"/>
      <c r="F12" s="1507">
        <f>B12*VLOOKUP(SAS_RA0_DataFim,Índices!$B$6:$F$405,5,FALSE)/VLOOKUP(EDATE('Conta covid'!$A12,-1),Índices!$B$6:$F$405,5,FALSE)</f>
        <v>0</v>
      </c>
      <c r="G12" s="1507">
        <f>C12*VLOOKUP(SAS_RA0_DataFim,Índices!$B$6:$F$405,5,FALSE)/VLOOKUP(EDATE('Conta covid'!$A12,-1),Índices!$B$6:$F$405,5,FALSE)</f>
        <v>0</v>
      </c>
      <c r="H12" s="1507">
        <f t="shared" si="1"/>
        <v>0</v>
      </c>
      <c r="I12" s="1505"/>
      <c r="J12" s="1507">
        <f t="shared" si="2"/>
        <v>0</v>
      </c>
      <c r="K12" s="1507"/>
      <c r="L12" s="1507"/>
    </row>
    <row r="13" spans="1:14">
      <c r="A13" s="1504">
        <v>44136</v>
      </c>
      <c r="B13" s="1505">
        <f>SUMIFS(BDCOVID!F:F,BDCOVID!$C:$C,'Conta covid'!$A$1,BDCOVID!$AH:$AH,'Conta covid'!$A13)</f>
        <v>0</v>
      </c>
      <c r="C13" s="1505">
        <f>SUMIFS(BDCOVID!G:G,BDCOVID!$C:$C,'Conta covid'!$A$1,BDCOVID!$AH:$AH,'Conta covid'!$A13)</f>
        <v>0</v>
      </c>
      <c r="D13" s="1506">
        <f t="shared" si="0"/>
        <v>0</v>
      </c>
      <c r="E13" s="1505"/>
      <c r="F13" s="1507">
        <f>B13*VLOOKUP(SAS_RA0_DataFim,Índices!$B$6:$F$405,5,FALSE)/VLOOKUP(EDATE('Conta covid'!$A13,-1),Índices!$B$6:$F$405,5,FALSE)</f>
        <v>0</v>
      </c>
      <c r="G13" s="1507">
        <f>C13*VLOOKUP(SAS_RA0_DataFim,Índices!$B$6:$F$405,5,FALSE)/VLOOKUP(EDATE('Conta covid'!$A13,-1),Índices!$B$6:$F$405,5,FALSE)</f>
        <v>0</v>
      </c>
      <c r="H13" s="1507">
        <f t="shared" si="1"/>
        <v>0</v>
      </c>
      <c r="I13" s="1505"/>
      <c r="J13" s="1507">
        <f t="shared" si="2"/>
        <v>0</v>
      </c>
      <c r="K13" s="1507"/>
      <c r="L13" s="1507"/>
      <c r="M13" s="904">
        <f t="shared" ref="M13:N13" si="3">SUM(M5:M12)</f>
        <v>0</v>
      </c>
      <c r="N13" s="904">
        <f t="shared" si="3"/>
        <v>0</v>
      </c>
    </row>
    <row r="14" spans="1:14">
      <c r="A14" s="1504">
        <v>44166</v>
      </c>
      <c r="B14" s="1505">
        <f>SUMIFS(BDCOVID!F:F,BDCOVID!$C:$C,'Conta covid'!$A$1,BDCOVID!$AH:$AH,'Conta covid'!$A14)</f>
        <v>0</v>
      </c>
      <c r="C14" s="1505">
        <f>SUMIFS(BDCOVID!G:G,BDCOVID!$C:$C,'Conta covid'!$A$1,BDCOVID!$AH:$AH,'Conta covid'!$A14)</f>
        <v>0</v>
      </c>
      <c r="D14" s="1506">
        <f t="shared" si="0"/>
        <v>0</v>
      </c>
      <c r="E14" s="1505"/>
      <c r="F14" s="1507">
        <f>B14*VLOOKUP(SAS_RA0_DataFim,Índices!$B$6:$F$405,5,FALSE)/VLOOKUP(EDATE('Conta covid'!$A14,-1),Índices!$B$6:$F$405,5,FALSE)</f>
        <v>0</v>
      </c>
      <c r="G14" s="1507">
        <f>C14*VLOOKUP(SAS_RA0_DataFim,Índices!$B$6:$F$405,5,FALSE)/VLOOKUP(EDATE('Conta covid'!$A14,-1),Índices!$B$6:$F$405,5,FALSE)</f>
        <v>0</v>
      </c>
      <c r="H14" s="1507">
        <f t="shared" si="1"/>
        <v>0</v>
      </c>
      <c r="I14" s="1505"/>
      <c r="J14" s="1507">
        <f t="shared" si="2"/>
        <v>0</v>
      </c>
      <c r="K14" s="1507"/>
      <c r="L14" s="1507"/>
    </row>
    <row r="15" spans="1:14">
      <c r="A15" s="1504">
        <v>44197</v>
      </c>
      <c r="B15" s="1505">
        <f>SUMIFS(BDCOVID!F:F,BDCOVID!$C:$C,'Conta covid'!$A$1,BDCOVID!$AH:$AH,'Conta covid'!$A15)</f>
        <v>0</v>
      </c>
      <c r="C15" s="1505">
        <f>SUMIFS(BDCOVID!G:G,BDCOVID!$C:$C,'Conta covid'!$A$1,BDCOVID!$AH:$AH,'Conta covid'!$A15)</f>
        <v>0</v>
      </c>
      <c r="D15" s="1506">
        <f t="shared" si="0"/>
        <v>0</v>
      </c>
      <c r="E15" s="1505"/>
      <c r="F15" s="1507">
        <f>B15*VLOOKUP(SAS_RA0_DataFim,Índices!$B$6:$F$405,5,FALSE)/VLOOKUP(EDATE('Conta covid'!$A15,-1),Índices!$B$6:$F$405,5,FALSE)</f>
        <v>0</v>
      </c>
      <c r="G15" s="1507">
        <f>C15*VLOOKUP(SAS_RA0_DataFim,Índices!$B$6:$F$405,5,FALSE)/VLOOKUP(EDATE('Conta covid'!$A15,-1),Índices!$B$6:$F$405,5,FALSE)</f>
        <v>0</v>
      </c>
      <c r="H15" s="1507">
        <f t="shared" si="1"/>
        <v>0</v>
      </c>
      <c r="I15" s="1505"/>
      <c r="J15" s="1507">
        <f t="shared" si="2"/>
        <v>0</v>
      </c>
      <c r="K15" s="1507"/>
      <c r="L15" s="1507"/>
    </row>
    <row r="16" spans="1:14">
      <c r="A16" s="1505"/>
      <c r="B16" s="1505"/>
      <c r="C16" s="1505"/>
      <c r="D16" s="1505"/>
      <c r="E16" s="1505"/>
      <c r="F16" s="1505"/>
      <c r="G16" s="1507"/>
      <c r="H16" s="1505"/>
      <c r="I16" s="1505"/>
      <c r="J16" s="1507">
        <f t="shared" si="2"/>
        <v>0</v>
      </c>
      <c r="K16" s="1505"/>
      <c r="L16" s="1505"/>
    </row>
    <row r="17" spans="1:12">
      <c r="A17" s="1508" t="s">
        <v>845</v>
      </c>
      <c r="B17" s="1509">
        <f>SUM(B9:B16)</f>
        <v>0</v>
      </c>
      <c r="C17" s="1509">
        <f t="shared" ref="C17:L17" si="4">SUM(C9:C16)</f>
        <v>0</v>
      </c>
      <c r="D17" s="1509">
        <f t="shared" si="4"/>
        <v>0</v>
      </c>
      <c r="E17" s="1509">
        <f t="shared" si="4"/>
        <v>0</v>
      </c>
      <c r="F17" s="1509">
        <f t="shared" si="4"/>
        <v>0</v>
      </c>
      <c r="G17" s="1509">
        <f t="shared" si="4"/>
        <v>0</v>
      </c>
      <c r="H17" s="1509">
        <f t="shared" si="4"/>
        <v>0</v>
      </c>
      <c r="I17" s="1509">
        <f t="shared" si="4"/>
        <v>0</v>
      </c>
      <c r="J17" s="1509">
        <f t="shared" si="4"/>
        <v>0</v>
      </c>
      <c r="K17" s="1509">
        <f t="shared" si="4"/>
        <v>0</v>
      </c>
      <c r="L17" s="1509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abSelected="1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7" t="s">
        <v>1471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6"/>
      <c r="B2" s="696"/>
      <c r="C2" s="696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358"/>
      <c r="P2" s="358"/>
      <c r="Q2" s="358"/>
      <c r="R2" s="9"/>
      <c r="S2" s="9"/>
      <c r="T2" s="9"/>
      <c r="U2" s="9"/>
      <c r="V2" s="9"/>
    </row>
    <row r="3" spans="1:22">
      <c r="A3" s="698" t="s">
        <v>1472</v>
      </c>
      <c r="B3" s="65"/>
      <c r="C3" s="65"/>
      <c r="D3" s="65"/>
      <c r="E3" s="65"/>
      <c r="F3" s="696"/>
      <c r="G3" s="358"/>
      <c r="H3" s="358"/>
      <c r="I3" s="698" t="s">
        <v>1473</v>
      </c>
      <c r="J3" s="358"/>
      <c r="K3" s="699"/>
      <c r="L3" s="9"/>
      <c r="M3" s="9"/>
      <c r="N3" s="696"/>
      <c r="O3" s="358"/>
      <c r="P3" s="358"/>
      <c r="Q3" s="358"/>
      <c r="R3" s="9"/>
      <c r="S3" s="9"/>
      <c r="T3" s="9"/>
      <c r="U3" s="9"/>
      <c r="V3" s="9"/>
    </row>
    <row r="4" spans="1:22" ht="25.5">
      <c r="A4" s="1510" t="s">
        <v>22</v>
      </c>
      <c r="B4" s="1511"/>
      <c r="C4" s="700" t="s">
        <v>929</v>
      </c>
      <c r="D4" s="700" t="s">
        <v>1474</v>
      </c>
      <c r="E4" s="700" t="s">
        <v>1475</v>
      </c>
      <c r="F4" s="700" t="s">
        <v>8</v>
      </c>
      <c r="G4" s="701" t="s">
        <v>1476</v>
      </c>
      <c r="H4" s="358"/>
      <c r="I4" s="1510" t="s">
        <v>22</v>
      </c>
      <c r="J4" s="1510"/>
      <c r="K4" s="1510"/>
      <c r="L4" s="700" t="s">
        <v>1475</v>
      </c>
      <c r="M4" s="700" t="s">
        <v>8</v>
      </c>
      <c r="N4" s="701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512" t="s">
        <v>772</v>
      </c>
      <c r="B5" s="1513"/>
      <c r="C5" s="1514">
        <f>SUMPRODUCT(C16:Q16,$C$22:$Q$22)</f>
        <v>5185164.2916374942</v>
      </c>
      <c r="D5" s="705">
        <f>SUMPRODUCT(C28:Q28,$C$34:$Q$34)</f>
        <v>5892977.0046994248</v>
      </c>
      <c r="E5" s="1515">
        <f>C5-D5</f>
        <v>-707812.71306193061</v>
      </c>
      <c r="F5" s="1516">
        <f>Resultado!M9</f>
        <v>5963028.9767337581</v>
      </c>
      <c r="G5" s="702">
        <f>F5+E5</f>
        <v>5255216.2636718275</v>
      </c>
      <c r="H5" s="358"/>
      <c r="I5" s="1512" t="s">
        <v>772</v>
      </c>
      <c r="J5" s="1512"/>
      <c r="K5" s="1512"/>
      <c r="L5" s="1516">
        <f t="shared" ref="L5:N10" si="0">E5/12</f>
        <v>-58984.392755160887</v>
      </c>
      <c r="M5" s="1516">
        <f t="shared" si="0"/>
        <v>496919.08139447984</v>
      </c>
      <c r="N5" s="1514">
        <f t="shared" si="0"/>
        <v>437934.68863931898</v>
      </c>
      <c r="P5" s="358"/>
      <c r="Q5" s="358"/>
      <c r="R5" s="9"/>
      <c r="S5" s="9"/>
      <c r="T5" s="9"/>
      <c r="U5" s="9"/>
      <c r="V5" s="9"/>
    </row>
    <row r="6" spans="1:22">
      <c r="A6" s="65" t="s">
        <v>774</v>
      </c>
      <c r="B6" s="703"/>
      <c r="C6" s="704">
        <f t="shared" ref="C6:C10" si="1">SUMPRODUCT(C17:Q17,$C$22:$Q$22)</f>
        <v>0</v>
      </c>
      <c r="D6" s="705">
        <f t="shared" ref="D6:D10" si="2">SUMPRODUCT(C29:Q29,$C$34:$Q$34)</f>
        <v>0</v>
      </c>
      <c r="E6" s="723">
        <f t="shared" ref="E6:E10" si="3">C6-D6</f>
        <v>0</v>
      </c>
      <c r="F6" s="705">
        <f>Resultado!M10</f>
        <v>0</v>
      </c>
      <c r="G6" s="702">
        <f t="shared" ref="G6:G10" si="4">F6+E6</f>
        <v>0</v>
      </c>
      <c r="H6" s="358"/>
      <c r="I6" s="65" t="s">
        <v>774</v>
      </c>
      <c r="J6" s="65"/>
      <c r="K6" s="65"/>
      <c r="L6" s="705">
        <f t="shared" si="0"/>
        <v>0</v>
      </c>
      <c r="M6" s="705">
        <f t="shared" si="0"/>
        <v>0</v>
      </c>
      <c r="N6" s="704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776</v>
      </c>
      <c r="B7" s="703"/>
      <c r="C7" s="704">
        <f t="shared" si="1"/>
        <v>0</v>
      </c>
      <c r="D7" s="705">
        <f t="shared" si="2"/>
        <v>0</v>
      </c>
      <c r="E7" s="723">
        <f t="shared" si="3"/>
        <v>0</v>
      </c>
      <c r="F7" s="705">
        <f>-Financeiros!D35+Resultado!M11</f>
        <v>0</v>
      </c>
      <c r="G7" s="702">
        <f t="shared" si="4"/>
        <v>0</v>
      </c>
      <c r="H7" s="358"/>
      <c r="I7" s="65" t="s">
        <v>776</v>
      </c>
      <c r="J7" s="65"/>
      <c r="K7" s="65"/>
      <c r="L7" s="705">
        <f t="shared" si="0"/>
        <v>0</v>
      </c>
      <c r="M7" s="705">
        <f t="shared" si="0"/>
        <v>0</v>
      </c>
      <c r="N7" s="704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777</v>
      </c>
      <c r="B8" s="703"/>
      <c r="C8" s="704">
        <f t="shared" si="1"/>
        <v>34224.639032654377</v>
      </c>
      <c r="D8" s="705">
        <f t="shared" si="2"/>
        <v>27583.969995148396</v>
      </c>
      <c r="E8" s="723">
        <f t="shared" si="3"/>
        <v>6640.6690375059807</v>
      </c>
      <c r="F8" s="705">
        <f>Resultado!M12</f>
        <v>19317.37723232566</v>
      </c>
      <c r="G8" s="702">
        <f t="shared" si="4"/>
        <v>25958.046269831641</v>
      </c>
      <c r="H8" s="358"/>
      <c r="I8" s="65" t="s">
        <v>777</v>
      </c>
      <c r="J8" s="65"/>
      <c r="K8" s="65"/>
      <c r="L8" s="705">
        <f t="shared" si="0"/>
        <v>553.38908645883168</v>
      </c>
      <c r="M8" s="705">
        <f t="shared" si="0"/>
        <v>1609.7814360271384</v>
      </c>
      <c r="N8" s="704">
        <f t="shared" si="0"/>
        <v>2163.1705224859702</v>
      </c>
      <c r="P8" s="358"/>
      <c r="Q8" s="358"/>
      <c r="R8" s="9"/>
      <c r="S8" s="9"/>
      <c r="T8" s="9"/>
      <c r="U8" s="9"/>
      <c r="V8" s="9"/>
    </row>
    <row r="9" spans="1:22">
      <c r="A9" s="65" t="s">
        <v>780</v>
      </c>
      <c r="B9" s="703"/>
      <c r="C9" s="704">
        <f t="shared" si="1"/>
        <v>491269.64042631997</v>
      </c>
      <c r="D9" s="705">
        <f t="shared" si="2"/>
        <v>485039.58570071636</v>
      </c>
      <c r="E9" s="723">
        <f>C9-D9</f>
        <v>6230.0547256036079</v>
      </c>
      <c r="F9" s="705">
        <f>Resultado!M13</f>
        <v>279855.42073307693</v>
      </c>
      <c r="G9" s="702">
        <f t="shared" si="4"/>
        <v>286085.47545868054</v>
      </c>
      <c r="H9" s="358"/>
      <c r="I9" s="65" t="s">
        <v>780</v>
      </c>
      <c r="J9" s="65"/>
      <c r="K9" s="65"/>
      <c r="L9" s="705">
        <f t="shared" si="0"/>
        <v>519.17122713363403</v>
      </c>
      <c r="M9" s="705">
        <f t="shared" si="0"/>
        <v>23321.285061089744</v>
      </c>
      <c r="N9" s="704">
        <f t="shared" si="0"/>
        <v>23840.456288223377</v>
      </c>
      <c r="P9" s="358"/>
      <c r="Q9" s="358"/>
      <c r="R9" s="9"/>
      <c r="S9" s="9"/>
      <c r="T9" s="9"/>
      <c r="U9" s="9"/>
      <c r="V9" s="9"/>
    </row>
    <row r="10" spans="1:22">
      <c r="A10" s="1208" t="s">
        <v>782</v>
      </c>
      <c r="B10" s="706"/>
      <c r="C10" s="704">
        <f t="shared" si="1"/>
        <v>110400.84650231888</v>
      </c>
      <c r="D10" s="705">
        <f t="shared" si="2"/>
        <v>102506.18436076457</v>
      </c>
      <c r="E10" s="1517">
        <f t="shared" si="3"/>
        <v>7894.662141554305</v>
      </c>
      <c r="F10" s="1518">
        <f>Resultado!M14</f>
        <v>119107.06402116618</v>
      </c>
      <c r="G10" s="702">
        <f t="shared" si="4"/>
        <v>127001.72616272049</v>
      </c>
      <c r="H10" s="358"/>
      <c r="I10" s="1208" t="s">
        <v>782</v>
      </c>
      <c r="J10" s="1208"/>
      <c r="K10" s="1208"/>
      <c r="L10" s="1518">
        <f t="shared" si="0"/>
        <v>657.88851179619212</v>
      </c>
      <c r="M10" s="1518">
        <f t="shared" si="0"/>
        <v>9925.5886684305151</v>
      </c>
      <c r="N10" s="707">
        <f t="shared" si="0"/>
        <v>10583.477180226708</v>
      </c>
      <c r="P10" s="358"/>
      <c r="Q10" s="358"/>
      <c r="R10" s="9"/>
      <c r="S10" s="9"/>
      <c r="T10" s="9"/>
      <c r="U10" s="9"/>
      <c r="V10" s="9"/>
    </row>
    <row r="11" spans="1:22">
      <c r="A11" s="1519" t="s">
        <v>845</v>
      </c>
      <c r="B11" s="1519"/>
      <c r="C11" s="1520">
        <f>SUM(C5:C10)</f>
        <v>5821059.4175987877</v>
      </c>
      <c r="D11" s="1520">
        <f>SUM(D5:D10)</f>
        <v>6508106.7447560541</v>
      </c>
      <c r="E11" s="1520">
        <f t="shared" ref="E11" si="5">SUM(E5:E10)</f>
        <v>-687047.32715726667</v>
      </c>
      <c r="F11" s="1520">
        <f>SUM(F5:F10)</f>
        <v>6381308.8387203263</v>
      </c>
      <c r="G11" s="1521">
        <f>SUM(G5:G10)</f>
        <v>5694261.5115630599</v>
      </c>
      <c r="H11" s="358"/>
      <c r="I11" s="1519" t="s">
        <v>845</v>
      </c>
      <c r="J11" s="1519"/>
      <c r="K11" s="1519"/>
      <c r="L11" s="1520">
        <f>SUM(L5:L10)</f>
        <v>-57253.943929772227</v>
      </c>
      <c r="M11" s="1520">
        <f>SUM(M5:M10)</f>
        <v>531775.73656002723</v>
      </c>
      <c r="N11" s="1521">
        <f>SUM(N5:N10)</f>
        <v>474521.79263025505</v>
      </c>
      <c r="P11" s="358"/>
      <c r="Q11" s="358"/>
      <c r="R11" s="9"/>
      <c r="S11" s="9"/>
      <c r="T11" s="9"/>
      <c r="U11" s="9"/>
      <c r="V11" s="9"/>
    </row>
    <row r="12" spans="1:22">
      <c r="A12" s="696"/>
      <c r="B12" s="696"/>
      <c r="C12" s="696"/>
      <c r="D12" s="696"/>
      <c r="E12" s="696"/>
      <c r="F12" s="696"/>
      <c r="G12" s="696"/>
      <c r="H12" s="696"/>
      <c r="I12" s="9"/>
      <c r="J12" s="696"/>
      <c r="K12" s="696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8" t="s">
        <v>1477</v>
      </c>
      <c r="B13" s="696"/>
      <c r="C13" s="358"/>
      <c r="D13" s="358"/>
      <c r="E13" s="358"/>
      <c r="F13" s="696"/>
      <c r="G13" s="696"/>
      <c r="H13" s="696"/>
      <c r="I13" s="696"/>
      <c r="J13" s="696"/>
      <c r="K13" s="696"/>
      <c r="L13" s="696"/>
      <c r="M13" s="696"/>
      <c r="N13" s="696"/>
      <c r="O13" s="358"/>
      <c r="P13" s="358"/>
      <c r="Q13" s="358"/>
      <c r="R13" s="9"/>
      <c r="S13" s="9"/>
      <c r="T13" s="9"/>
      <c r="U13" s="9"/>
      <c r="V13" s="9"/>
    </row>
    <row r="14" spans="1:22">
      <c r="A14" s="1751" t="s">
        <v>22</v>
      </c>
      <c r="B14" s="1752" t="s">
        <v>1478</v>
      </c>
      <c r="C14" s="358"/>
      <c r="D14" s="358"/>
      <c r="E14" s="358"/>
      <c r="F14" s="708" t="s">
        <v>953</v>
      </c>
      <c r="G14" s="708" t="s">
        <v>953</v>
      </c>
      <c r="H14" s="708" t="s">
        <v>953</v>
      </c>
      <c r="I14" s="708" t="s">
        <v>953</v>
      </c>
      <c r="J14" s="708" t="s">
        <v>953</v>
      </c>
      <c r="K14" s="708" t="s">
        <v>953</v>
      </c>
      <c r="L14" s="708" t="s">
        <v>953</v>
      </c>
      <c r="M14" s="708" t="s">
        <v>953</v>
      </c>
      <c r="N14" s="708" t="s">
        <v>953</v>
      </c>
      <c r="O14" s="708" t="s">
        <v>953</v>
      </c>
      <c r="P14" s="708" t="s">
        <v>953</v>
      </c>
      <c r="Q14" s="708" t="s">
        <v>953</v>
      </c>
      <c r="R14" s="9"/>
      <c r="S14" s="9"/>
      <c r="T14" s="9"/>
      <c r="U14" s="9"/>
      <c r="V14" s="9"/>
    </row>
    <row r="15" spans="1:22">
      <c r="A15" s="1751"/>
      <c r="B15" s="1752"/>
      <c r="C15" s="709">
        <f t="shared" ref="C15:P15" si="6">EDATE(D15,-1)</f>
        <v>44228</v>
      </c>
      <c r="D15" s="709">
        <f>EDATE(E15,-1)</f>
        <v>44256</v>
      </c>
      <c r="E15" s="709">
        <f>EDATE(F15,-1)</f>
        <v>44287</v>
      </c>
      <c r="F15" s="710">
        <f>EDATE(G15,-1)</f>
        <v>44317</v>
      </c>
      <c r="G15" s="710">
        <f t="shared" si="6"/>
        <v>44348</v>
      </c>
      <c r="H15" s="710">
        <f t="shared" si="6"/>
        <v>44378</v>
      </c>
      <c r="I15" s="710">
        <f t="shared" si="6"/>
        <v>44409</v>
      </c>
      <c r="J15" s="710">
        <f t="shared" si="6"/>
        <v>44440</v>
      </c>
      <c r="K15" s="710">
        <f t="shared" si="6"/>
        <v>44470</v>
      </c>
      <c r="L15" s="710">
        <f t="shared" si="6"/>
        <v>44501</v>
      </c>
      <c r="M15" s="710">
        <f t="shared" si="6"/>
        <v>44531</v>
      </c>
      <c r="N15" s="710">
        <f t="shared" si="6"/>
        <v>44562</v>
      </c>
      <c r="O15" s="710">
        <f t="shared" si="6"/>
        <v>44593</v>
      </c>
      <c r="P15" s="710">
        <f t="shared" si="6"/>
        <v>44621</v>
      </c>
      <c r="Q15" s="710">
        <f>DATE(YEAR(DataRevRea),MONTH(DataRevRea)-1,1)</f>
        <v>44652</v>
      </c>
      <c r="R15" s="9" t="s">
        <v>1016</v>
      </c>
      <c r="S15" s="9"/>
      <c r="T15" s="9"/>
      <c r="U15" s="9"/>
      <c r="V15" s="9"/>
    </row>
    <row r="16" spans="1:22">
      <c r="A16" s="711" t="s">
        <v>1479</v>
      </c>
      <c r="B16" s="712" t="s">
        <v>1005</v>
      </c>
      <c r="C16" s="713">
        <f>C40</f>
        <v>0</v>
      </c>
      <c r="D16" s="713">
        <f t="shared" ref="D16:E16" si="7">D40</f>
        <v>0</v>
      </c>
      <c r="E16" s="713">
        <f t="shared" si="7"/>
        <v>0</v>
      </c>
      <c r="F16" s="713">
        <f t="shared" ref="F16:Q21" si="8">DSUM(MercadoBase,$B16,F$14:F$15)</f>
        <v>381338.12427153846</v>
      </c>
      <c r="G16" s="713">
        <f t="shared" si="8"/>
        <v>395011.09156051843</v>
      </c>
      <c r="H16" s="713">
        <f t="shared" si="8"/>
        <v>389998.99540021474</v>
      </c>
      <c r="I16" s="713">
        <f t="shared" si="8"/>
        <v>400333.37668038253</v>
      </c>
      <c r="J16" s="713">
        <f t="shared" si="8"/>
        <v>420620.06926328072</v>
      </c>
      <c r="K16" s="713">
        <f t="shared" si="8"/>
        <v>385474.12245884468</v>
      </c>
      <c r="L16" s="713">
        <f t="shared" si="8"/>
        <v>366118.19636830996</v>
      </c>
      <c r="M16" s="713">
        <f t="shared" si="8"/>
        <v>380654.57257973112</v>
      </c>
      <c r="N16" s="713">
        <f t="shared" si="8"/>
        <v>425932.8874165517</v>
      </c>
      <c r="O16" s="713">
        <f t="shared" si="8"/>
        <v>425192.4921002849</v>
      </c>
      <c r="P16" s="713">
        <f t="shared" si="8"/>
        <v>425192.4921002849</v>
      </c>
      <c r="Q16" s="713">
        <f t="shared" si="8"/>
        <v>425192.4921002849</v>
      </c>
      <c r="R16" s="9"/>
      <c r="S16" s="9"/>
      <c r="T16" s="9"/>
      <c r="U16" s="9"/>
      <c r="V16" s="9"/>
    </row>
    <row r="17" spans="1:22">
      <c r="A17" s="711" t="s">
        <v>1480</v>
      </c>
      <c r="B17" s="712" t="s">
        <v>1006</v>
      </c>
      <c r="C17" s="713">
        <f t="shared" ref="C17:E21" si="9">C41</f>
        <v>0</v>
      </c>
      <c r="D17" s="713">
        <f t="shared" si="9"/>
        <v>0</v>
      </c>
      <c r="E17" s="713">
        <f t="shared" si="9"/>
        <v>0</v>
      </c>
      <c r="F17" s="713">
        <f t="shared" si="8"/>
        <v>0</v>
      </c>
      <c r="G17" s="713">
        <f t="shared" si="8"/>
        <v>0</v>
      </c>
      <c r="H17" s="713">
        <f t="shared" si="8"/>
        <v>0</v>
      </c>
      <c r="I17" s="713">
        <f t="shared" si="8"/>
        <v>0</v>
      </c>
      <c r="J17" s="713">
        <f t="shared" si="8"/>
        <v>0</v>
      </c>
      <c r="K17" s="713">
        <f t="shared" si="8"/>
        <v>0</v>
      </c>
      <c r="L17" s="713">
        <f t="shared" si="8"/>
        <v>0</v>
      </c>
      <c r="M17" s="713">
        <f t="shared" si="8"/>
        <v>0</v>
      </c>
      <c r="N17" s="713">
        <f t="shared" si="8"/>
        <v>0</v>
      </c>
      <c r="O17" s="713">
        <f t="shared" si="8"/>
        <v>0</v>
      </c>
      <c r="P17" s="713">
        <f t="shared" si="8"/>
        <v>0</v>
      </c>
      <c r="Q17" s="713">
        <f t="shared" si="8"/>
        <v>0</v>
      </c>
      <c r="R17" s="9"/>
      <c r="S17" s="9"/>
      <c r="T17" s="9"/>
      <c r="U17" s="9"/>
      <c r="V17" s="9"/>
    </row>
    <row r="18" spans="1:22">
      <c r="A18" s="711" t="s">
        <v>1481</v>
      </c>
      <c r="B18" s="712" t="s">
        <v>1007</v>
      </c>
      <c r="C18" s="713">
        <f t="shared" si="9"/>
        <v>0</v>
      </c>
      <c r="D18" s="713">
        <f t="shared" si="9"/>
        <v>0</v>
      </c>
      <c r="E18" s="713">
        <f t="shared" si="9"/>
        <v>0</v>
      </c>
      <c r="F18" s="1060">
        <f t="shared" ref="F18:Q18" si="10">IFERROR(DSUM(MercadoBase,$B18,F$14:F$15)+(DSUM(MercadoBase,$R$15,F$14:F$15)/($D$53/12))*$F$30,0)</f>
        <v>0</v>
      </c>
      <c r="G18" s="1060">
        <f t="shared" si="10"/>
        <v>0</v>
      </c>
      <c r="H18" s="1060">
        <f t="shared" si="10"/>
        <v>0</v>
      </c>
      <c r="I18" s="1060">
        <f t="shared" si="10"/>
        <v>0</v>
      </c>
      <c r="J18" s="1060">
        <f t="shared" si="10"/>
        <v>0</v>
      </c>
      <c r="K18" s="1060">
        <f t="shared" si="10"/>
        <v>0</v>
      </c>
      <c r="L18" s="1060">
        <f t="shared" si="10"/>
        <v>0</v>
      </c>
      <c r="M18" s="1060">
        <f t="shared" si="10"/>
        <v>0</v>
      </c>
      <c r="N18" s="1060">
        <f t="shared" si="10"/>
        <v>0</v>
      </c>
      <c r="O18" s="1060">
        <f t="shared" si="10"/>
        <v>0</v>
      </c>
      <c r="P18" s="1060">
        <f t="shared" si="10"/>
        <v>0</v>
      </c>
      <c r="Q18" s="1060">
        <f t="shared" si="10"/>
        <v>0</v>
      </c>
      <c r="R18" s="9"/>
      <c r="S18" s="9"/>
      <c r="T18" s="9"/>
      <c r="U18" s="9"/>
      <c r="V18" s="9"/>
    </row>
    <row r="19" spans="1:22">
      <c r="A19" s="711" t="s">
        <v>1482</v>
      </c>
      <c r="B19" s="712" t="s">
        <v>1008</v>
      </c>
      <c r="C19" s="713">
        <f t="shared" si="9"/>
        <v>0</v>
      </c>
      <c r="D19" s="713">
        <f t="shared" si="9"/>
        <v>0</v>
      </c>
      <c r="E19" s="713">
        <f t="shared" si="9"/>
        <v>0</v>
      </c>
      <c r="F19" s="713">
        <f t="shared" si="8"/>
        <v>2490.1286238000034</v>
      </c>
      <c r="G19" s="713">
        <f t="shared" si="8"/>
        <v>2688.5591790000044</v>
      </c>
      <c r="H19" s="713">
        <f t="shared" si="8"/>
        <v>2331.3512520000004</v>
      </c>
      <c r="I19" s="713">
        <f t="shared" si="8"/>
        <v>2474.6063196000027</v>
      </c>
      <c r="J19" s="713">
        <f t="shared" si="8"/>
        <v>2851.7622630000023</v>
      </c>
      <c r="K19" s="713">
        <f t="shared" si="8"/>
        <v>2974.6618674000006</v>
      </c>
      <c r="L19" s="713">
        <f t="shared" si="8"/>
        <v>2825.310750600001</v>
      </c>
      <c r="M19" s="713">
        <f t="shared" si="8"/>
        <v>2796.647904000004</v>
      </c>
      <c r="N19" s="713">
        <f t="shared" si="8"/>
        <v>2628.0416694000019</v>
      </c>
      <c r="O19" s="713">
        <f t="shared" si="8"/>
        <v>2576.8421838000031</v>
      </c>
      <c r="P19" s="713">
        <f t="shared" si="8"/>
        <v>2576.8421838000031</v>
      </c>
      <c r="Q19" s="713">
        <f t="shared" si="8"/>
        <v>2576.8421838000031</v>
      </c>
      <c r="R19" s="9"/>
      <c r="S19" s="9"/>
      <c r="T19" s="9"/>
      <c r="U19" s="9"/>
      <c r="V19" s="9"/>
    </row>
    <row r="20" spans="1:22">
      <c r="A20" s="711" t="s">
        <v>1483</v>
      </c>
      <c r="B20" s="712" t="s">
        <v>1009</v>
      </c>
      <c r="C20" s="713">
        <f t="shared" si="9"/>
        <v>0</v>
      </c>
      <c r="D20" s="713">
        <f t="shared" si="9"/>
        <v>0</v>
      </c>
      <c r="E20" s="713">
        <f t="shared" si="9"/>
        <v>0</v>
      </c>
      <c r="F20" s="713">
        <f t="shared" si="8"/>
        <v>38491.60024</v>
      </c>
      <c r="G20" s="713">
        <f t="shared" si="8"/>
        <v>35649.523680000006</v>
      </c>
      <c r="H20" s="713">
        <f t="shared" si="8"/>
        <v>34630.431199999999</v>
      </c>
      <c r="I20" s="713">
        <f t="shared" si="8"/>
        <v>35297.064640000004</v>
      </c>
      <c r="J20" s="713">
        <f t="shared" si="8"/>
        <v>37471.220159999997</v>
      </c>
      <c r="K20" s="713">
        <f t="shared" si="8"/>
        <v>42742.053679999997</v>
      </c>
      <c r="L20" s="713">
        <f t="shared" si="8"/>
        <v>34884.946800000005</v>
      </c>
      <c r="M20" s="713">
        <f t="shared" si="8"/>
        <v>39722.459999999992</v>
      </c>
      <c r="N20" s="713">
        <f t="shared" si="8"/>
        <v>38699.762240000004</v>
      </c>
      <c r="O20" s="713">
        <f t="shared" si="8"/>
        <v>39662.715360000009</v>
      </c>
      <c r="P20" s="713">
        <f t="shared" si="8"/>
        <v>39662.715360000009</v>
      </c>
      <c r="Q20" s="713">
        <f t="shared" si="8"/>
        <v>39662.715360000009</v>
      </c>
      <c r="R20" s="9"/>
      <c r="S20" s="9"/>
      <c r="T20" s="9"/>
      <c r="U20" s="9"/>
      <c r="V20" s="9"/>
    </row>
    <row r="21" spans="1:22">
      <c r="A21" s="711" t="s">
        <v>1484</v>
      </c>
      <c r="B21" s="712" t="s">
        <v>1010</v>
      </c>
      <c r="C21" s="713">
        <f t="shared" si="9"/>
        <v>0</v>
      </c>
      <c r="D21" s="713">
        <f t="shared" si="9"/>
        <v>0</v>
      </c>
      <c r="E21" s="713">
        <f t="shared" si="9"/>
        <v>0</v>
      </c>
      <c r="F21" s="713">
        <f t="shared" si="8"/>
        <v>8408.8113200000007</v>
      </c>
      <c r="G21" s="713">
        <f t="shared" si="8"/>
        <v>11599.622579999999</v>
      </c>
      <c r="H21" s="713">
        <f t="shared" si="8"/>
        <v>9858.0099799999989</v>
      </c>
      <c r="I21" s="713">
        <f t="shared" si="8"/>
        <v>14473.082259999997</v>
      </c>
      <c r="J21" s="713">
        <f t="shared" si="8"/>
        <v>16414.195979999997</v>
      </c>
      <c r="K21" s="713">
        <f t="shared" si="8"/>
        <v>15869.187880000003</v>
      </c>
      <c r="L21" s="713">
        <f t="shared" si="8"/>
        <v>5190.2468799999997</v>
      </c>
      <c r="M21" s="713">
        <f t="shared" si="8"/>
        <v>7332.4706000000006</v>
      </c>
      <c r="N21" s="713">
        <f t="shared" si="8"/>
        <v>6436.7266600000003</v>
      </c>
      <c r="O21" s="713">
        <f t="shared" si="8"/>
        <v>1973.69354</v>
      </c>
      <c r="P21" s="713">
        <f>DSUM(MercadoBase,$B21,P$14:P$15)</f>
        <v>1973.69354</v>
      </c>
      <c r="Q21" s="713">
        <f t="shared" si="8"/>
        <v>1973.69354</v>
      </c>
      <c r="R21" s="9"/>
      <c r="S21" s="9"/>
      <c r="T21" s="9"/>
      <c r="U21" s="9"/>
      <c r="V21" s="9"/>
    </row>
    <row r="22" spans="1:22">
      <c r="A22" s="1522" t="s">
        <v>1485</v>
      </c>
      <c r="B22" s="1523" t="s">
        <v>1278</v>
      </c>
      <c r="C22" s="1524">
        <f>VLOOKUP($Q$15,Índices!$B:$F,2,FALSE)/VLOOKUP(EDATE(C15,-1),Índices!$B:$F,2,FALSE)</f>
        <v>1.2283635294166724</v>
      </c>
      <c r="D22" s="1524">
        <f>VLOOKUP($Q$15,Índices!$B:$F,2,FALSE)/VLOOKUP(EDATE(D15,-1),Índices!$B:$F,2,FALSE)</f>
        <v>1.1981012407139726</v>
      </c>
      <c r="E22" s="1524">
        <f>VLOOKUP($Q$15,Índices!$B:$F,2,FALSE)/VLOOKUP(EDATE(E15,-1),Índices!$B:$F,2,FALSE)</f>
        <v>1.1639026906520888</v>
      </c>
      <c r="F22" s="1524">
        <f>VLOOKUP($Q$15,Índices!$B:$F,2,FALSE)/VLOOKUP(EDATE(F15,-1),Índices!$B:$F,2,FALSE)</f>
        <v>1.1466086325010147</v>
      </c>
      <c r="G22" s="1524">
        <f>VLOOKUP($Q$15,Índices!$B:$F,2,FALSE)/VLOOKUP(EDATE(G15,-1),Índices!$B:$F,2,FALSE)</f>
        <v>1.1014879980996719</v>
      </c>
      <c r="H22" s="1524">
        <f>VLOOKUP($Q$15,Índices!$B:$F,2,FALSE)/VLOOKUP(EDATE(H15,-1),Índices!$B:$F,2,FALSE)</f>
        <v>1.0948897170580432</v>
      </c>
      <c r="I22" s="1524">
        <f>VLOOKUP($Q$15,Índices!$B:$F,2,FALSE)/VLOOKUP(EDATE(I15,-1),Índices!$B:$F,2,FALSE)</f>
        <v>1.0864444536687283</v>
      </c>
      <c r="J22" s="1524">
        <f>VLOOKUP($Q$15,Índices!$B:$F,2,FALSE)/VLOOKUP(EDATE(J15,-1),Índices!$B:$F,2,FALSE)</f>
        <v>1.0792814009108487</v>
      </c>
      <c r="K22" s="1524">
        <f>VLOOKUP($Q$15,Índices!$B:$F,2,FALSE)/VLOOKUP(EDATE(K15,-1),Índices!$B:$F,2,FALSE)</f>
        <v>1.0862270269073846</v>
      </c>
      <c r="L22" s="1524">
        <f>VLOOKUP($Q$15,Índices!$B:$F,2,FALSE)/VLOOKUP(EDATE(L15,-1),Índices!$B:$F,2,FALSE)</f>
        <v>1.0792883239269742</v>
      </c>
      <c r="M22" s="1524">
        <f>VLOOKUP($Q$15,Índices!$B:$F,2,FALSE)/VLOOKUP(EDATE(M15,-1),Índices!$B:$F,2,FALSE)</f>
        <v>1.0790905584420463</v>
      </c>
      <c r="N22" s="1524">
        <f>VLOOKUP($Q$15,Índices!$B:$F,2,FALSE)/VLOOKUP(EDATE(N15,-1),Índices!$B:$F,2,FALSE)</f>
        <v>1.0697746024479831</v>
      </c>
      <c r="O22" s="1524">
        <f>VLOOKUP($Q$15,Índices!$B:$F,2,FALSE)/VLOOKUP(EDATE(O15,-1),Índices!$B:$F,2,FALSE)</f>
        <v>1.0506780113095551</v>
      </c>
      <c r="P22" s="1524">
        <f>VLOOKUP($Q$15,Índices!$B:$F,2,FALSE)/VLOOKUP(EDATE(P15,-1),Índices!$B:$F,2,FALSE)</f>
        <v>1.0317665691965106</v>
      </c>
      <c r="Q22" s="1524">
        <f>VLOOKUP($Q$15,Índices!$B:$F,2,FALSE)/VLOOKUP(EDATE(Q15,-1),Índices!$B:$F,2,FALSE)</f>
        <v>1.014112920585009</v>
      </c>
      <c r="R22" s="9"/>
      <c r="S22" s="9"/>
      <c r="T22" s="9"/>
      <c r="U22" s="9"/>
      <c r="V22" s="9"/>
    </row>
    <row r="23" spans="1:22">
      <c r="A23" s="1525" t="s">
        <v>1486</v>
      </c>
      <c r="B23" s="1526"/>
      <c r="C23" s="1527">
        <f t="shared" ref="C23:Q23" si="11">SUM(C16:C21)*C22</f>
        <v>0</v>
      </c>
      <c r="D23" s="1527">
        <f t="shared" si="11"/>
        <v>0</v>
      </c>
      <c r="E23" s="1527">
        <f t="shared" si="11"/>
        <v>0</v>
      </c>
      <c r="F23" s="1528">
        <f>SUM(F16:F21)*F22</f>
        <v>493877.20493012405</v>
      </c>
      <c r="G23" s="1528">
        <f t="shared" si="11"/>
        <v>490105.75966385688</v>
      </c>
      <c r="H23" s="1528">
        <f t="shared" si="11"/>
        <v>478268.39901525097</v>
      </c>
      <c r="I23" s="1528">
        <f t="shared" si="11"/>
        <v>491700.99908160127</v>
      </c>
      <c r="J23" s="1528">
        <f t="shared" si="11"/>
        <v>515202.79899621045</v>
      </c>
      <c r="K23" s="1528">
        <f t="shared" si="11"/>
        <v>485608.68276755395</v>
      </c>
      <c r="L23" s="1528">
        <f t="shared" si="11"/>
        <v>441449.10804004408</v>
      </c>
      <c r="M23" s="1528">
        <f t="shared" si="11"/>
        <v>464555.12298567931</v>
      </c>
      <c r="N23" s="1528">
        <f t="shared" si="11"/>
        <v>506749.46700655756</v>
      </c>
      <c r="O23" s="1528">
        <f t="shared" si="11"/>
        <v>493194.29274593812</v>
      </c>
      <c r="P23" s="1528">
        <f t="shared" si="11"/>
        <v>484317.15320618165</v>
      </c>
      <c r="Q23" s="1528">
        <f t="shared" si="11"/>
        <v>476030.42915978906</v>
      </c>
      <c r="R23" s="9"/>
      <c r="S23" s="9"/>
      <c r="T23" s="9"/>
      <c r="U23" s="9"/>
      <c r="V23" s="9"/>
    </row>
    <row r="24" spans="1:22">
      <c r="A24" s="9"/>
      <c r="B24" s="9"/>
      <c r="C24" s="9" t="s">
        <v>1487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8" t="s">
        <v>1488</v>
      </c>
      <c r="B25" s="696"/>
      <c r="C25" s="696"/>
      <c r="D25" s="696"/>
      <c r="E25" s="696"/>
      <c r="F25" s="696"/>
      <c r="G25" s="696"/>
      <c r="H25" s="696"/>
      <c r="I25" s="696"/>
      <c r="J25" s="696"/>
      <c r="K25" s="696"/>
      <c r="L25" s="696"/>
      <c r="M25" s="696"/>
      <c r="N25" s="696"/>
      <c r="O25" s="358"/>
      <c r="P25" s="358"/>
      <c r="Q25" s="358"/>
      <c r="R25" s="9"/>
      <c r="S25" s="9"/>
      <c r="T25" s="9"/>
      <c r="U25" s="9"/>
      <c r="V25" s="9"/>
    </row>
    <row r="26" spans="1:22">
      <c r="A26" s="1751" t="s">
        <v>22</v>
      </c>
      <c r="B26" s="1752" t="s">
        <v>1478</v>
      </c>
      <c r="C26" s="708" t="s">
        <v>953</v>
      </c>
      <c r="D26" s="708" t="s">
        <v>953</v>
      </c>
      <c r="E26" s="708" t="s">
        <v>953</v>
      </c>
      <c r="F26" s="708" t="s">
        <v>953</v>
      </c>
      <c r="G26" s="708" t="s">
        <v>953</v>
      </c>
      <c r="H26" s="708" t="s">
        <v>953</v>
      </c>
      <c r="I26" s="708" t="s">
        <v>953</v>
      </c>
      <c r="J26" s="708" t="s">
        <v>953</v>
      </c>
      <c r="K26" s="708" t="s">
        <v>953</v>
      </c>
      <c r="L26" s="708" t="s">
        <v>953</v>
      </c>
      <c r="M26" s="708" t="s">
        <v>953</v>
      </c>
      <c r="N26" s="708" t="s">
        <v>953</v>
      </c>
      <c r="O26" s="708" t="s">
        <v>953</v>
      </c>
      <c r="P26" s="708" t="s">
        <v>953</v>
      </c>
      <c r="Q26" s="708" t="s">
        <v>953</v>
      </c>
      <c r="R26" s="9"/>
      <c r="S26" s="9"/>
      <c r="T26" s="9"/>
      <c r="U26" s="9"/>
      <c r="V26" s="9"/>
    </row>
    <row r="27" spans="1:22">
      <c r="A27" s="1751"/>
      <c r="B27" s="1752"/>
      <c r="C27" s="709">
        <f t="shared" ref="C27:Q27" si="12">C15</f>
        <v>44228</v>
      </c>
      <c r="D27" s="709">
        <f t="shared" si="12"/>
        <v>44256</v>
      </c>
      <c r="E27" s="709">
        <f t="shared" si="12"/>
        <v>44287</v>
      </c>
      <c r="F27" s="710">
        <f>F15</f>
        <v>44317</v>
      </c>
      <c r="G27" s="710">
        <f t="shared" si="12"/>
        <v>44348</v>
      </c>
      <c r="H27" s="710">
        <f t="shared" si="12"/>
        <v>44378</v>
      </c>
      <c r="I27" s="710">
        <f t="shared" si="12"/>
        <v>44409</v>
      </c>
      <c r="J27" s="710">
        <f t="shared" si="12"/>
        <v>44440</v>
      </c>
      <c r="K27" s="710">
        <f t="shared" si="12"/>
        <v>44470</v>
      </c>
      <c r="L27" s="710">
        <f t="shared" si="12"/>
        <v>44501</v>
      </c>
      <c r="M27" s="710">
        <f t="shared" si="12"/>
        <v>44531</v>
      </c>
      <c r="N27" s="710">
        <f t="shared" si="12"/>
        <v>44562</v>
      </c>
      <c r="O27" s="710">
        <f t="shared" si="12"/>
        <v>44593</v>
      </c>
      <c r="P27" s="710">
        <f t="shared" si="12"/>
        <v>44621</v>
      </c>
      <c r="Q27" s="710">
        <f t="shared" si="12"/>
        <v>44652</v>
      </c>
      <c r="S27" s="9"/>
      <c r="T27" s="9"/>
      <c r="U27" s="9"/>
      <c r="V27" s="9"/>
    </row>
    <row r="28" spans="1:22">
      <c r="A28" s="711" t="s">
        <v>1479</v>
      </c>
      <c r="B28" s="712" t="s">
        <v>772</v>
      </c>
      <c r="C28" s="713">
        <f>IF(C40=0,0,VLOOKUP($B28,BD!$B$61:$C$66,2,FALSE))</f>
        <v>0</v>
      </c>
      <c r="D28" s="713">
        <f>IF(D40=0,0,VLOOKUP($B28,BD!$B$61:$C$66,2,FALSE))</f>
        <v>0</v>
      </c>
      <c r="E28" s="713">
        <f>IF(E40=0,0,VLOOKUP($B28,BD!$B$61:$C$66,2,FALSE))</f>
        <v>0</v>
      </c>
      <c r="F28" s="713">
        <f>VLOOKUP($B28,BD!$B$61:$C$66,2,FALSE)</f>
        <v>456125.12</v>
      </c>
      <c r="G28" s="713">
        <f>VLOOKUP($B28,BD!$B$61:$C$66,2,FALSE)</f>
        <v>456125.12</v>
      </c>
      <c r="H28" s="713">
        <f>VLOOKUP($B28,BD!$B$61:$C$66,2,FALSE)</f>
        <v>456125.12</v>
      </c>
      <c r="I28" s="713">
        <f>VLOOKUP($B28,BD!$B$61:$C$66,2,FALSE)</f>
        <v>456125.12</v>
      </c>
      <c r="J28" s="713">
        <f>VLOOKUP($B28,BD!$B$61:$C$66,2,FALSE)</f>
        <v>456125.12</v>
      </c>
      <c r="K28" s="713">
        <f>VLOOKUP($B28,BD!$B$61:$C$66,2,FALSE)</f>
        <v>456125.12</v>
      </c>
      <c r="L28" s="713">
        <f>VLOOKUP($B28,BD!$B$61:$C$66,2,FALSE)</f>
        <v>456125.12</v>
      </c>
      <c r="M28" s="713">
        <f>VLOOKUP($B28,BD!$B$61:$C$66,2,FALSE)</f>
        <v>456125.12</v>
      </c>
      <c r="N28" s="713">
        <f>VLOOKUP($B28,BD!$B$61:$C$66,2,FALSE)</f>
        <v>456125.12</v>
      </c>
      <c r="O28" s="713">
        <f>VLOOKUP($B28,BD!$B$61:$C$66,2,FALSE)</f>
        <v>456125.12</v>
      </c>
      <c r="P28" s="713">
        <f>VLOOKUP($B28,BD!$B$61:$C$66,2,FALSE)</f>
        <v>456125.12</v>
      </c>
      <c r="Q28" s="713">
        <f>VLOOKUP($B28,BD!$B$61:$C$66,2,FALSE)</f>
        <v>456125.12</v>
      </c>
      <c r="S28" s="9"/>
      <c r="T28" s="9"/>
      <c r="U28" s="9"/>
      <c r="V28" s="9"/>
    </row>
    <row r="29" spans="1:22">
      <c r="A29" s="711" t="s">
        <v>1480</v>
      </c>
      <c r="B29" s="712" t="s">
        <v>774</v>
      </c>
      <c r="C29" s="713">
        <f>IF(C41=0,0,VLOOKUP($B29,BD!$B$61:$C$66,2,FALSE))</f>
        <v>0</v>
      </c>
      <c r="D29" s="713">
        <f>IF(D41=0,0,VLOOKUP($B29,BD!$B$61:$C$66,2,FALSE))</f>
        <v>0</v>
      </c>
      <c r="E29" s="713">
        <f>IF(E41=0,0,VLOOKUP($B29,BD!$B$61:$C$66,2,FALSE))</f>
        <v>0</v>
      </c>
      <c r="F29" s="713">
        <f>VLOOKUP($B29,BD!$B$61:$C$66,2,FALSE)</f>
        <v>0</v>
      </c>
      <c r="G29" s="713">
        <f>VLOOKUP($B29,BD!$B$61:$C$66,2,FALSE)</f>
        <v>0</v>
      </c>
      <c r="H29" s="713">
        <f>VLOOKUP($B29,BD!$B$61:$C$66,2,FALSE)</f>
        <v>0</v>
      </c>
      <c r="I29" s="713">
        <f>VLOOKUP($B29,BD!$B$61:$C$66,2,FALSE)</f>
        <v>0</v>
      </c>
      <c r="J29" s="713">
        <f>VLOOKUP($B29,BD!$B$61:$C$66,2,FALSE)</f>
        <v>0</v>
      </c>
      <c r="K29" s="713">
        <f>VLOOKUP($B29,BD!$B$61:$C$66,2,FALSE)</f>
        <v>0</v>
      </c>
      <c r="L29" s="713">
        <f>VLOOKUP($B29,BD!$B$61:$C$66,2,FALSE)</f>
        <v>0</v>
      </c>
      <c r="M29" s="713">
        <f>VLOOKUP($B29,BD!$B$61:$C$66,2,FALSE)</f>
        <v>0</v>
      </c>
      <c r="N29" s="713">
        <f>VLOOKUP($B29,BD!$B$61:$C$66,2,FALSE)</f>
        <v>0</v>
      </c>
      <c r="O29" s="713">
        <f>VLOOKUP($B29,BD!$B$61:$C$66,2,FALSE)</f>
        <v>0</v>
      </c>
      <c r="P29" s="713">
        <f>VLOOKUP($B29,BD!$B$61:$C$66,2,FALSE)</f>
        <v>0</v>
      </c>
      <c r="Q29" s="713">
        <f>VLOOKUP($B29,BD!$B$61:$C$66,2,FALSE)</f>
        <v>0</v>
      </c>
      <c r="S29" s="9"/>
      <c r="T29" s="9"/>
      <c r="U29" s="9"/>
      <c r="V29" s="9"/>
    </row>
    <row r="30" spans="1:22">
      <c r="A30" s="711" t="s">
        <v>1481</v>
      </c>
      <c r="B30" s="712" t="s">
        <v>776</v>
      </c>
      <c r="C30" s="713">
        <f>IF(C42=0,0,VLOOKUP($B30,BD!$B$61:$C$66,2,FALSE))</f>
        <v>0</v>
      </c>
      <c r="D30" s="713">
        <f>IF(D42=0,0,VLOOKUP($B30,BD!$B$61:$C$66,2,FALSE))</f>
        <v>0</v>
      </c>
      <c r="E30" s="713">
        <f>IF(E42=0,0,VLOOKUP($B30,BD!$B$61:$C$66,2,FALSE))</f>
        <v>0</v>
      </c>
      <c r="F30" s="1060">
        <f>VLOOKUP($B30,BD!$B$61:$C$66,2,FALSE)</f>
        <v>0</v>
      </c>
      <c r="G30" s="1060">
        <f>VLOOKUP($B30,BD!$B$61:$C$66,2,FALSE)</f>
        <v>0</v>
      </c>
      <c r="H30" s="1060">
        <f>VLOOKUP($B30,BD!$B$61:$C$66,2,FALSE)</f>
        <v>0</v>
      </c>
      <c r="I30" s="1060">
        <f>VLOOKUP($B30,BD!$B$61:$C$66,2,FALSE)</f>
        <v>0</v>
      </c>
      <c r="J30" s="1060">
        <f>VLOOKUP($B30,BD!$B$61:$C$66,2,FALSE)</f>
        <v>0</v>
      </c>
      <c r="K30" s="1060">
        <f>VLOOKUP($B30,BD!$B$61:$C$66,2,FALSE)</f>
        <v>0</v>
      </c>
      <c r="L30" s="1060">
        <f>VLOOKUP($B30,BD!$B$61:$C$66,2,FALSE)</f>
        <v>0</v>
      </c>
      <c r="M30" s="1060">
        <f>VLOOKUP($B30,BD!$B$61:$C$66,2,FALSE)</f>
        <v>0</v>
      </c>
      <c r="N30" s="1060">
        <f>VLOOKUP($B30,BD!$B$61:$C$66,2,FALSE)</f>
        <v>0</v>
      </c>
      <c r="O30" s="1060">
        <f>VLOOKUP($B30,BD!$B$61:$C$66,2,FALSE)</f>
        <v>0</v>
      </c>
      <c r="P30" s="1060">
        <f>VLOOKUP($B30,BD!$B$61:$C$66,2,FALSE)</f>
        <v>0</v>
      </c>
      <c r="Q30" s="1060">
        <f>VLOOKUP($B30,BD!$B$61:$C$66,2,FALSE)</f>
        <v>0</v>
      </c>
      <c r="S30" s="9"/>
      <c r="T30" s="9"/>
      <c r="U30" s="9"/>
      <c r="V30" s="9"/>
    </row>
    <row r="31" spans="1:22">
      <c r="A31" s="711" t="s">
        <v>1482</v>
      </c>
      <c r="B31" s="712" t="s">
        <v>777</v>
      </c>
      <c r="C31" s="713">
        <f>IF(C43=0,0,VLOOKUP($B31,BD!$B$61:$C$66,2,FALSE))</f>
        <v>0</v>
      </c>
      <c r="D31" s="713">
        <f>IF(D43=0,0,VLOOKUP($B31,BD!$B$61:$C$66,2,FALSE))</f>
        <v>0</v>
      </c>
      <c r="E31" s="713">
        <f>IF(E43=0,0,VLOOKUP($B31,BD!$B$61:$C$66,2,FALSE))</f>
        <v>0</v>
      </c>
      <c r="F31" s="713">
        <f>VLOOKUP($B31,BD!$B$61:$C$66,2,FALSE)</f>
        <v>2135.04</v>
      </c>
      <c r="G31" s="713">
        <f>VLOOKUP($B31,BD!$B$61:$C$66,2,FALSE)</f>
        <v>2135.04</v>
      </c>
      <c r="H31" s="713">
        <f>VLOOKUP($B31,BD!$B$61:$C$66,2,FALSE)</f>
        <v>2135.04</v>
      </c>
      <c r="I31" s="713">
        <f>VLOOKUP($B31,BD!$B$61:$C$66,2,FALSE)</f>
        <v>2135.04</v>
      </c>
      <c r="J31" s="713">
        <f>VLOOKUP($B31,BD!$B$61:$C$66,2,FALSE)</f>
        <v>2135.04</v>
      </c>
      <c r="K31" s="713">
        <f>VLOOKUP($B31,BD!$B$61:$C$66,2,FALSE)</f>
        <v>2135.04</v>
      </c>
      <c r="L31" s="713">
        <f>VLOOKUP($B31,BD!$B$61:$C$66,2,FALSE)</f>
        <v>2135.04</v>
      </c>
      <c r="M31" s="713">
        <f>VLOOKUP($B31,BD!$B$61:$C$66,2,FALSE)</f>
        <v>2135.04</v>
      </c>
      <c r="N31" s="713">
        <f>VLOOKUP($B31,BD!$B$61:$C$66,2,FALSE)</f>
        <v>2135.04</v>
      </c>
      <c r="O31" s="713">
        <f>VLOOKUP($B31,BD!$B$61:$C$66,2,FALSE)</f>
        <v>2135.04</v>
      </c>
      <c r="P31" s="713">
        <f>VLOOKUP($B31,BD!$B$61:$C$66,2,FALSE)</f>
        <v>2135.04</v>
      </c>
      <c r="Q31" s="713">
        <f>VLOOKUP($B31,BD!$B$61:$C$66,2,FALSE)</f>
        <v>2135.04</v>
      </c>
      <c r="S31" s="9"/>
      <c r="T31" s="9"/>
      <c r="U31" s="9"/>
      <c r="V31" s="9"/>
    </row>
    <row r="32" spans="1:22">
      <c r="A32" s="711" t="s">
        <v>1483</v>
      </c>
      <c r="B32" s="712" t="s">
        <v>780</v>
      </c>
      <c r="C32" s="713">
        <f>IF(C44=0,0,VLOOKUP($B32,BD!$B$61:$C$66,2,FALSE))</f>
        <v>0</v>
      </c>
      <c r="D32" s="713">
        <f>IF(D44=0,0,VLOOKUP($B32,BD!$B$61:$C$66,2,FALSE))</f>
        <v>0</v>
      </c>
      <c r="E32" s="713">
        <f>IF(E44=0,0,VLOOKUP($B32,BD!$B$61:$C$66,2,FALSE))</f>
        <v>0</v>
      </c>
      <c r="F32" s="713">
        <f>VLOOKUP($B32,BD!$B$61:$C$66,2,FALSE)</f>
        <v>37542.78</v>
      </c>
      <c r="G32" s="713">
        <f>VLOOKUP($B32,BD!$B$61:$C$66,2,FALSE)</f>
        <v>37542.78</v>
      </c>
      <c r="H32" s="713">
        <f>VLOOKUP($B32,BD!$B$61:$C$66,2,FALSE)</f>
        <v>37542.78</v>
      </c>
      <c r="I32" s="713">
        <f>VLOOKUP($B32,BD!$B$61:$C$66,2,FALSE)</f>
        <v>37542.78</v>
      </c>
      <c r="J32" s="713">
        <f>VLOOKUP($B32,BD!$B$61:$C$66,2,FALSE)</f>
        <v>37542.78</v>
      </c>
      <c r="K32" s="713">
        <f>VLOOKUP($B32,BD!$B$61:$C$66,2,FALSE)</f>
        <v>37542.78</v>
      </c>
      <c r="L32" s="713">
        <f>VLOOKUP($B32,BD!$B$61:$C$66,2,FALSE)</f>
        <v>37542.78</v>
      </c>
      <c r="M32" s="713">
        <f>VLOOKUP($B32,BD!$B$61:$C$66,2,FALSE)</f>
        <v>37542.78</v>
      </c>
      <c r="N32" s="713">
        <f>VLOOKUP($B32,BD!$B$61:$C$66,2,FALSE)</f>
        <v>37542.78</v>
      </c>
      <c r="O32" s="713">
        <f>VLOOKUP($B32,BD!$B$61:$C$66,2,FALSE)</f>
        <v>37542.78</v>
      </c>
      <c r="P32" s="713">
        <f>VLOOKUP($B32,BD!$B$61:$C$66,2,FALSE)</f>
        <v>37542.78</v>
      </c>
      <c r="Q32" s="713">
        <f>VLOOKUP($B32,BD!$B$61:$C$66,2,FALSE)</f>
        <v>37542.78</v>
      </c>
      <c r="S32" s="9"/>
      <c r="T32" s="9"/>
      <c r="U32" s="9"/>
      <c r="V32" s="9"/>
    </row>
    <row r="33" spans="1:22">
      <c r="A33" s="714" t="s">
        <v>1484</v>
      </c>
      <c r="B33" s="712" t="s">
        <v>782</v>
      </c>
      <c r="C33" s="713">
        <f>IF(C45=0,0,VLOOKUP($B33,BD!$B$61:$C$66,2,FALSE))</f>
        <v>0</v>
      </c>
      <c r="D33" s="713">
        <f>IF(D45=0,0,VLOOKUP($B33,BD!$B$61:$C$66,2,FALSE))</f>
        <v>0</v>
      </c>
      <c r="E33" s="713">
        <f>IF(E45=0,0,VLOOKUP($B33,BD!$B$61:$C$66,2,FALSE))</f>
        <v>0</v>
      </c>
      <c r="F33" s="713">
        <f>VLOOKUP($B33,BD!$B$61:$C$66,2,FALSE)</f>
        <v>7934.13</v>
      </c>
      <c r="G33" s="713">
        <f>VLOOKUP($B33,BD!$B$61:$C$66,2,FALSE)</f>
        <v>7934.13</v>
      </c>
      <c r="H33" s="713">
        <f>VLOOKUP($B33,BD!$B$61:$C$66,2,FALSE)</f>
        <v>7934.13</v>
      </c>
      <c r="I33" s="713">
        <f>VLOOKUP($B33,BD!$B$61:$C$66,2,FALSE)</f>
        <v>7934.13</v>
      </c>
      <c r="J33" s="713">
        <f>VLOOKUP($B33,BD!$B$61:$C$66,2,FALSE)</f>
        <v>7934.13</v>
      </c>
      <c r="K33" s="713">
        <f>VLOOKUP($B33,BD!$B$61:$C$66,2,FALSE)</f>
        <v>7934.13</v>
      </c>
      <c r="L33" s="713">
        <f>VLOOKUP($B33,BD!$B$61:$C$66,2,FALSE)</f>
        <v>7934.13</v>
      </c>
      <c r="M33" s="713">
        <f>VLOOKUP($B33,BD!$B$61:$C$66,2,FALSE)</f>
        <v>7934.13</v>
      </c>
      <c r="N33" s="713">
        <f>VLOOKUP($B33,BD!$B$61:$C$66,2,FALSE)</f>
        <v>7934.13</v>
      </c>
      <c r="O33" s="713">
        <f>VLOOKUP($B33,BD!$B$61:$C$66,2,FALSE)</f>
        <v>7934.13</v>
      </c>
      <c r="P33" s="713">
        <f>VLOOKUP($B33,BD!$B$61:$C$66,2,FALSE)</f>
        <v>7934.13</v>
      </c>
      <c r="Q33" s="713">
        <f>VLOOKUP($B33,BD!$B$61:$C$66,2,FALSE)</f>
        <v>7934.13</v>
      </c>
      <c r="S33" s="9"/>
      <c r="T33" s="9"/>
      <c r="U33" s="9"/>
      <c r="V33" s="9"/>
    </row>
    <row r="34" spans="1:22">
      <c r="A34" s="1522" t="s">
        <v>1485</v>
      </c>
      <c r="B34" s="1523" t="s">
        <v>1278</v>
      </c>
      <c r="C34" s="1529">
        <f t="shared" ref="C34:Q34" si="13">C22</f>
        <v>1.2283635294166724</v>
      </c>
      <c r="D34" s="1529">
        <f t="shared" si="13"/>
        <v>1.1981012407139726</v>
      </c>
      <c r="E34" s="1529">
        <f t="shared" si="13"/>
        <v>1.1639026906520888</v>
      </c>
      <c r="F34" s="1524">
        <f t="shared" si="13"/>
        <v>1.1466086325010147</v>
      </c>
      <c r="G34" s="1524">
        <f t="shared" si="13"/>
        <v>1.1014879980996719</v>
      </c>
      <c r="H34" s="1524">
        <f t="shared" si="13"/>
        <v>1.0948897170580432</v>
      </c>
      <c r="I34" s="1524">
        <f t="shared" si="13"/>
        <v>1.0864444536687283</v>
      </c>
      <c r="J34" s="1524">
        <f t="shared" si="13"/>
        <v>1.0792814009108487</v>
      </c>
      <c r="K34" s="1524">
        <f t="shared" si="13"/>
        <v>1.0862270269073846</v>
      </c>
      <c r="L34" s="1524">
        <f t="shared" si="13"/>
        <v>1.0792883239269742</v>
      </c>
      <c r="M34" s="1524">
        <f t="shared" si="13"/>
        <v>1.0790905584420463</v>
      </c>
      <c r="N34" s="1524">
        <f t="shared" si="13"/>
        <v>1.0697746024479831</v>
      </c>
      <c r="O34" s="1524">
        <f t="shared" si="13"/>
        <v>1.0506780113095551</v>
      </c>
      <c r="P34" s="1524">
        <f t="shared" si="13"/>
        <v>1.0317665691965106</v>
      </c>
      <c r="Q34" s="1524">
        <f t="shared" si="13"/>
        <v>1.014112920585009</v>
      </c>
      <c r="S34" s="9"/>
      <c r="T34" s="9"/>
      <c r="U34" s="9"/>
      <c r="V34" s="9"/>
    </row>
    <row r="35" spans="1:22">
      <c r="A35" s="1525" t="s">
        <v>1486</v>
      </c>
      <c r="B35" s="1526"/>
      <c r="C35" s="1527">
        <f>SUM(C28:C33)*C34</f>
        <v>0</v>
      </c>
      <c r="D35" s="1527">
        <f t="shared" ref="D35:Q35" si="14">SUM(D28:D33)*D34</f>
        <v>0</v>
      </c>
      <c r="E35" s="1527">
        <f t="shared" si="14"/>
        <v>0</v>
      </c>
      <c r="F35" s="1528">
        <f t="shared" si="14"/>
        <v>577589.27297276782</v>
      </c>
      <c r="G35" s="1528">
        <f t="shared" si="14"/>
        <v>554860.33680289425</v>
      </c>
      <c r="H35" s="1528">
        <f t="shared" si="14"/>
        <v>551536.53804394766</v>
      </c>
      <c r="I35" s="1528">
        <f t="shared" si="14"/>
        <v>547282.34580883593</v>
      </c>
      <c r="J35" s="1528">
        <f t="shared" si="14"/>
        <v>543674.05060032615</v>
      </c>
      <c r="K35" s="1528">
        <f t="shared" si="14"/>
        <v>547172.81988913706</v>
      </c>
      <c r="L35" s="1528">
        <f t="shared" si="14"/>
        <v>543677.53798018477</v>
      </c>
      <c r="M35" s="1528">
        <f t="shared" si="14"/>
        <v>543577.91617426008</v>
      </c>
      <c r="N35" s="1528">
        <f t="shared" si="14"/>
        <v>538885.12379756174</v>
      </c>
      <c r="O35" s="1528">
        <f t="shared" si="14"/>
        <v>529265.46293050214</v>
      </c>
      <c r="P35" s="1528">
        <f t="shared" si="14"/>
        <v>519739.06849100243</v>
      </c>
      <c r="Q35" s="1528">
        <f t="shared" si="14"/>
        <v>510846.27126463508</v>
      </c>
      <c r="R35" s="9"/>
      <c r="S35" s="9"/>
      <c r="T35" s="9"/>
      <c r="U35" s="9"/>
      <c r="V35" s="9"/>
    </row>
    <row r="36" spans="1:22">
      <c r="A36" s="1530"/>
      <c r="B36" s="1512"/>
      <c r="C36" s="1530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8" t="s">
        <v>1489</v>
      </c>
      <c r="B37" s="712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51" t="s">
        <v>22</v>
      </c>
      <c r="B38" s="1752" t="s">
        <v>1478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51"/>
      <c r="B39" s="1753"/>
      <c r="C39" s="1531">
        <f>C27</f>
        <v>44228</v>
      </c>
      <c r="D39" s="1531">
        <f t="shared" ref="D39:E39" si="15">D27</f>
        <v>44256</v>
      </c>
      <c r="E39" s="1531">
        <f t="shared" si="15"/>
        <v>44287</v>
      </c>
      <c r="G39" s="916"/>
      <c r="H39" s="916"/>
      <c r="I39" s="916"/>
      <c r="J39" s="916"/>
      <c r="K39" s="916"/>
      <c r="L39" s="919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1" t="s">
        <v>1479</v>
      </c>
      <c r="B40" s="715"/>
      <c r="C40" s="716"/>
      <c r="D40" s="717"/>
      <c r="E40" s="717"/>
      <c r="F40" s="65"/>
      <c r="G40" s="920"/>
      <c r="H40" s="713"/>
      <c r="I40" s="713"/>
      <c r="J40" s="713"/>
      <c r="K40" s="713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1" t="s">
        <v>1480</v>
      </c>
      <c r="B41" s="715"/>
      <c r="C41" s="716"/>
      <c r="D41" s="717"/>
      <c r="E41" s="717"/>
      <c r="F41" s="65"/>
      <c r="G41" s="920"/>
      <c r="H41" s="713"/>
      <c r="I41" s="713"/>
      <c r="J41" s="713"/>
      <c r="K41" s="713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1" t="s">
        <v>1481</v>
      </c>
      <c r="B42" s="715"/>
      <c r="C42" s="716"/>
      <c r="D42" s="717"/>
      <c r="E42" s="717"/>
      <c r="F42" s="65"/>
      <c r="G42" s="920"/>
      <c r="H42" s="713"/>
      <c r="I42" s="713"/>
      <c r="J42" s="713"/>
      <c r="K42" s="713"/>
      <c r="L42" s="921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1" t="s">
        <v>1482</v>
      </c>
      <c r="B43" s="715"/>
      <c r="C43" s="716"/>
      <c r="D43" s="717"/>
      <c r="E43" s="717"/>
      <c r="F43" s="65"/>
      <c r="G43" s="920"/>
      <c r="H43" s="713"/>
      <c r="I43" s="713"/>
      <c r="J43" s="713"/>
      <c r="K43" s="713"/>
      <c r="L43" s="921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1" t="s">
        <v>1483</v>
      </c>
      <c r="B44" s="715"/>
      <c r="C44" s="716"/>
      <c r="D44" s="717"/>
      <c r="E44" s="717"/>
      <c r="F44" s="65"/>
      <c r="G44" s="920"/>
      <c r="H44" s="713"/>
      <c r="I44" s="713"/>
      <c r="J44" s="713"/>
      <c r="K44" s="713"/>
      <c r="L44" s="921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4" t="s">
        <v>1484</v>
      </c>
      <c r="B45" s="715"/>
      <c r="C45" s="718"/>
      <c r="D45" s="918"/>
      <c r="E45" s="918"/>
      <c r="F45" s="65"/>
      <c r="G45" s="920"/>
      <c r="H45" s="713"/>
      <c r="I45" s="713"/>
      <c r="J45" s="713"/>
      <c r="K45" s="713"/>
      <c r="L45" s="921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22"/>
      <c r="L46" s="923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32" t="s">
        <v>8</v>
      </c>
      <c r="B49" s="1533"/>
      <c r="C49" s="1532"/>
      <c r="D49" s="9" t="s">
        <v>1490</v>
      </c>
    </row>
    <row r="50" spans="1:10">
      <c r="A50" s="1533" t="s">
        <v>2</v>
      </c>
      <c r="B50" s="1533"/>
      <c r="C50" s="1507"/>
    </row>
    <row r="51" spans="1:10">
      <c r="A51" s="1533" t="s">
        <v>3</v>
      </c>
      <c r="B51" s="1533"/>
      <c r="C51" s="1507"/>
      <c r="D51" s="234"/>
    </row>
    <row r="52" spans="1:10">
      <c r="A52" s="1533" t="s">
        <v>4</v>
      </c>
      <c r="B52" s="1533"/>
      <c r="C52" s="1507"/>
      <c r="D52" s="234"/>
    </row>
    <row r="53" spans="1:10">
      <c r="A53" s="1533" t="s">
        <v>5</v>
      </c>
      <c r="B53" s="1533"/>
      <c r="C53" s="1507"/>
      <c r="D53" s="234">
        <f>VLOOKUP(idsreag,Subsidio!$A$1:$J$52,10,FALSE)</f>
        <v>0</v>
      </c>
    </row>
    <row r="54" spans="1:10">
      <c r="A54" s="1533" t="s">
        <v>6</v>
      </c>
      <c r="B54" s="1533"/>
      <c r="C54" s="1507"/>
      <c r="D54" s="234"/>
      <c r="H54" s="1534"/>
      <c r="I54" s="1535"/>
      <c r="J54" s="1536"/>
    </row>
    <row r="55" spans="1:10">
      <c r="A55" s="1533" t="s">
        <v>7</v>
      </c>
      <c r="B55" s="1533"/>
      <c r="C55" s="1507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Z100"/>
  <sheetViews>
    <sheetView showGridLines="0" zoomScale="85" zoomScaleNormal="85" workbookViewId="0">
      <pane ySplit="3" topLeftCell="A19" activePane="bottomLeft" state="frozen"/>
      <selection activeCell="D36" sqref="D36"/>
      <selection pane="bottomLeft" activeCell="C38" sqref="C3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35.85546875" style="68" customWidth="1"/>
    <col min="5" max="5" width="32.85546875" style="68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65" t="s">
        <v>1491</v>
      </c>
      <c r="C1" s="263"/>
      <c r="D1" s="263"/>
      <c r="E1" s="206"/>
      <c r="F1" s="1537"/>
      <c r="G1" s="1275" t="s">
        <v>952</v>
      </c>
      <c r="H1" s="1276">
        <f ca="1">LnkTXTIRTEco</f>
        <v>0.25069999999999998</v>
      </c>
    </row>
    <row r="2" spans="2:26" ht="14.25">
      <c r="B2" s="138" t="str">
        <f>CAPA!C9</f>
        <v>Cerpro</v>
      </c>
      <c r="C2" s="1538"/>
      <c r="D2" s="1538"/>
      <c r="E2" s="1538"/>
      <c r="F2" s="1539"/>
      <c r="G2" s="121" t="s">
        <v>956</v>
      </c>
      <c r="H2" s="122">
        <f ca="1">LnkTXTIRTTotal</f>
        <v>0.19489999999999999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54"/>
      <c r="P4" s="1754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40" t="s">
        <v>1492</v>
      </c>
      <c r="M6" s="1541"/>
      <c r="O6" s="272"/>
      <c r="P6" s="292"/>
      <c r="Z6" s="68"/>
    </row>
    <row r="7" spans="2:26" ht="14.25">
      <c r="C7" s="71"/>
      <c r="L7" s="214" t="s">
        <v>1278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1493</v>
      </c>
      <c r="D9" s="294" t="s">
        <v>1494</v>
      </c>
      <c r="L9" s="214" t="s">
        <v>1495</v>
      </c>
      <c r="M9" s="215">
        <v>4</v>
      </c>
      <c r="O9" s="272"/>
      <c r="P9" s="292"/>
      <c r="Z9" s="68"/>
    </row>
    <row r="10" spans="2:26" ht="14.25">
      <c r="L10" s="214" t="s">
        <v>1496</v>
      </c>
      <c r="M10" s="216">
        <f>CAPA!K16</f>
        <v>0.14660863250101475</v>
      </c>
      <c r="O10" s="272"/>
      <c r="P10" s="292"/>
      <c r="Z10" s="68"/>
    </row>
    <row r="11" spans="2:26" ht="14.25">
      <c r="B11" s="1757" t="s">
        <v>1497</v>
      </c>
      <c r="C11" s="1758"/>
      <c r="D11" s="1542" t="s">
        <v>2264</v>
      </c>
      <c r="E11" s="1542" t="s">
        <v>2265</v>
      </c>
      <c r="F11" s="1544"/>
      <c r="G11" s="1543"/>
      <c r="H11" s="1543"/>
      <c r="I11" s="1543"/>
      <c r="J11" s="1543"/>
      <c r="L11" s="214" t="s">
        <v>1498</v>
      </c>
      <c r="M11" s="216">
        <f>CAPA!K17</f>
        <v>0.12131630216906664</v>
      </c>
      <c r="O11" s="272"/>
      <c r="P11" s="292"/>
      <c r="Z11" s="68"/>
    </row>
    <row r="12" spans="2:26" ht="14.25">
      <c r="B12" s="1763" t="s">
        <v>1499</v>
      </c>
      <c r="C12" s="1758"/>
      <c r="D12" s="1545" t="s">
        <v>848</v>
      </c>
      <c r="E12" s="1545" t="s">
        <v>848</v>
      </c>
      <c r="F12" s="1545" t="s">
        <v>848</v>
      </c>
      <c r="G12" s="1545" t="s">
        <v>848</v>
      </c>
      <c r="H12" s="1545" t="s">
        <v>848</v>
      </c>
      <c r="I12" s="1545" t="s">
        <v>848</v>
      </c>
      <c r="J12" s="1545" t="s">
        <v>848</v>
      </c>
      <c r="L12" s="1546" t="s">
        <v>1500</v>
      </c>
      <c r="M12" s="1547">
        <v>41275</v>
      </c>
      <c r="O12" s="272"/>
      <c r="P12" s="292"/>
      <c r="Z12" s="68"/>
    </row>
    <row r="13" spans="2:26" ht="14.25">
      <c r="B13" s="1764" t="s">
        <v>1501</v>
      </c>
      <c r="C13" s="1765"/>
      <c r="D13" s="1548">
        <v>44652</v>
      </c>
      <c r="E13" s="1548">
        <v>44652</v>
      </c>
      <c r="F13" s="1548">
        <v>43617</v>
      </c>
      <c r="G13" s="1548">
        <f t="shared" ref="G13:J14" si="0">F13</f>
        <v>43617</v>
      </c>
      <c r="H13" s="1548">
        <f t="shared" si="0"/>
        <v>43617</v>
      </c>
      <c r="I13" s="1548">
        <f t="shared" si="0"/>
        <v>43617</v>
      </c>
      <c r="J13" s="1548">
        <f t="shared" si="0"/>
        <v>43617</v>
      </c>
      <c r="L13" s="199"/>
      <c r="M13" s="217">
        <v>41306</v>
      </c>
      <c r="O13" s="272"/>
      <c r="P13" s="292"/>
      <c r="Z13" s="68"/>
    </row>
    <row r="14" spans="2:26" ht="14.25">
      <c r="B14" s="1755" t="s">
        <v>1502</v>
      </c>
      <c r="C14" s="1756"/>
      <c r="D14" s="1548">
        <v>44287</v>
      </c>
      <c r="E14" s="1548">
        <v>44287</v>
      </c>
      <c r="F14" s="1548">
        <v>43252</v>
      </c>
      <c r="G14" s="1548">
        <f t="shared" si="0"/>
        <v>43252</v>
      </c>
      <c r="H14" s="1548">
        <f t="shared" si="0"/>
        <v>43252</v>
      </c>
      <c r="I14" s="1548">
        <f t="shared" si="0"/>
        <v>43252</v>
      </c>
      <c r="J14" s="1548">
        <f t="shared" si="0"/>
        <v>43252</v>
      </c>
      <c r="L14" s="1549"/>
      <c r="M14" s="1550">
        <v>41334</v>
      </c>
      <c r="O14" s="272"/>
      <c r="P14" s="292"/>
      <c r="Z14" s="68"/>
    </row>
    <row r="15" spans="2:26" ht="14.25">
      <c r="B15" s="1755" t="s">
        <v>1503</v>
      </c>
      <c r="C15" s="1756"/>
      <c r="D15" s="1551">
        <f>VLOOKUP(D13,Índices!$B$6:$F$500,VLOOKUP(D12,$L$7:$M$9,2,FALSE)+1,FALSE)/VLOOKUP(D14,Índices!$B$6:$F$500,VLOOKUP(D12,$L$7:$M$9,2,FALSE)+1,FALSE)</f>
        <v>1.1213163021690666</v>
      </c>
      <c r="E15" s="1551">
        <f>VLOOKUP(E13,Índices!$B$6:$F$500,VLOOKUP(E12,$L$7:$M$9,2,FALSE)+1,FALSE)/VLOOKUP(E14,Índices!$B$6:$F$500,VLOOKUP(E12,$L$7:$M$9,2,FALSE)+1,FALSE)</f>
        <v>1.1213163021690666</v>
      </c>
      <c r="F15" s="1551">
        <f>VLOOKUP(F13,Índices!$B$6:$F$500,VLOOKUP(F12,$L$7:$M$9,2,FALSE)+1,FALSE)/VLOOKUP(F14,Índices!$B$6:$F$500,VLOOKUP(F12,$L$7:$M$9,2,FALSE)+1,FALSE)</f>
        <v>1.0336626715248016</v>
      </c>
      <c r="G15" s="1551">
        <f>VLOOKUP(G13,Índices!$B$6:$F$500,VLOOKUP(G12,$L$7:$M$9,2,FALSE)+1,FALSE)/VLOOKUP(G14,Índices!$B$6:$F$500,VLOOKUP(G12,$L$7:$M$9,2,FALSE)+1,FALSE)</f>
        <v>1.0336626715248016</v>
      </c>
      <c r="H15" s="1551">
        <f>VLOOKUP(H13,Índices!$B$6:$F$500,VLOOKUP(H12,$L$7:$M$9,2,FALSE)+1,FALSE)/VLOOKUP(H14,Índices!$B$6:$F$500,VLOOKUP(H12,$L$7:$M$9,2,FALSE)+1,FALSE)</f>
        <v>1.0336626715248016</v>
      </c>
      <c r="I15" s="1551">
        <f>VLOOKUP(I13,Índices!$B$6:$F$500,VLOOKUP(I12,$L$7:$M$9,2,FALSE)+1,FALSE)/VLOOKUP(I14,Índices!$B$6:$F$500,VLOOKUP(I12,$L$7:$M$9,2,FALSE)+1,FALSE)</f>
        <v>1.0336626715248016</v>
      </c>
      <c r="J15" s="1551">
        <f>VLOOKUP(J13,Índices!$B$6:$F$500,VLOOKUP(J12,$L$7:$M$9,2,FALSE)+1,FALSE)/VLOOKUP(J14,Índices!$B$6:$F$500,VLOOKUP(J12,$L$7:$M$9,2,FALSE)+1,FALSE)</f>
        <v>1.0336626715248016</v>
      </c>
      <c r="O15" s="272"/>
      <c r="P15" s="292"/>
      <c r="Z15" s="68"/>
    </row>
    <row r="16" spans="2:26" ht="14.25">
      <c r="B16" s="1755" t="s">
        <v>1504</v>
      </c>
      <c r="C16" s="1756"/>
      <c r="D16" s="1552">
        <v>-25308.079721017901</v>
      </c>
      <c r="E16" s="1552">
        <v>18820.799397048799</v>
      </c>
      <c r="F16" s="1552"/>
      <c r="G16" s="1552"/>
      <c r="H16" s="1552"/>
      <c r="I16" s="1552"/>
      <c r="J16" s="1552"/>
      <c r="O16" s="272"/>
      <c r="P16" s="292"/>
      <c r="Z16" s="68"/>
    </row>
    <row r="17" spans="1:26" ht="14.25">
      <c r="B17" s="1761" t="s">
        <v>1505</v>
      </c>
      <c r="C17" s="1762"/>
      <c r="D17" s="1553">
        <f t="shared" ref="D17:E17" si="1">D16*D15</f>
        <v>-28378.362367771737</v>
      </c>
      <c r="E17" s="1553">
        <f t="shared" si="1"/>
        <v>21104.069183764557</v>
      </c>
      <c r="F17" s="1553">
        <f>F16*F15</f>
        <v>0</v>
      </c>
      <c r="G17" s="1553">
        <f>G16*G15</f>
        <v>0</v>
      </c>
      <c r="H17" s="1553">
        <f>H16*H15</f>
        <v>0</v>
      </c>
      <c r="I17" s="1553">
        <f>I16*I15</f>
        <v>0</v>
      </c>
      <c r="J17" s="1553">
        <f>J16*J15</f>
        <v>0</v>
      </c>
      <c r="O17" s="272"/>
      <c r="P17" s="93"/>
      <c r="Z17" s="68"/>
    </row>
    <row r="18" spans="1:26" ht="14.25">
      <c r="E18" s="295" t="s">
        <v>1506</v>
      </c>
      <c r="F18" s="507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1507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1508</v>
      </c>
      <c r="E20" s="296" t="s">
        <v>1509</v>
      </c>
      <c r="F20" s="143">
        <f>F17-F19</f>
        <v>0</v>
      </c>
      <c r="J20" s="409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54" t="s">
        <v>1497</v>
      </c>
      <c r="C22" s="1759" t="str">
        <f>Financeiros!C9</f>
        <v>Repasse de PIS COFINS</v>
      </c>
      <c r="D22" s="1760"/>
      <c r="E22" s="1772" t="s">
        <v>1510</v>
      </c>
      <c r="F22" s="1773"/>
      <c r="G22" s="1772" t="str">
        <f>Financeiros!C25</f>
        <v>Compensação DIC FIC</v>
      </c>
      <c r="H22" s="1773"/>
      <c r="I22" s="1776" t="s">
        <v>1260</v>
      </c>
      <c r="J22" s="1777"/>
      <c r="K22" s="1766" t="s">
        <v>1511</v>
      </c>
      <c r="L22" s="1767"/>
      <c r="M22" s="1768" t="s">
        <v>1512</v>
      </c>
      <c r="N22" s="1769"/>
      <c r="O22" s="1770" t="s">
        <v>1513</v>
      </c>
      <c r="P22" s="1771"/>
      <c r="Q22" s="1770" t="s">
        <v>232</v>
      </c>
      <c r="R22" s="1771"/>
      <c r="S22" s="1770" t="s">
        <v>2226</v>
      </c>
      <c r="T22" s="1771"/>
      <c r="U22" s="1770" t="s">
        <v>2227</v>
      </c>
      <c r="V22" s="1771"/>
      <c r="Z22" s="68"/>
    </row>
    <row r="23" spans="1:26" ht="14.25">
      <c r="B23" s="1555" t="s">
        <v>1004</v>
      </c>
      <c r="C23" s="1556" t="s">
        <v>1514</v>
      </c>
      <c r="D23" s="1557" t="s">
        <v>848</v>
      </c>
      <c r="E23" s="1556" t="s">
        <v>1514</v>
      </c>
      <c r="F23" s="1557" t="s">
        <v>848</v>
      </c>
      <c r="G23" s="1556" t="s">
        <v>1514</v>
      </c>
      <c r="H23" s="1557" t="s">
        <v>848</v>
      </c>
      <c r="I23" s="1556" t="s">
        <v>1514</v>
      </c>
      <c r="J23" s="1557" t="s">
        <v>848</v>
      </c>
      <c r="K23" s="1556" t="s">
        <v>1514</v>
      </c>
      <c r="L23" s="1557" t="s">
        <v>1495</v>
      </c>
      <c r="M23" s="1558" t="s">
        <v>1514</v>
      </c>
      <c r="N23" s="1559" t="s">
        <v>1495</v>
      </c>
      <c r="O23" s="1558" t="s">
        <v>1514</v>
      </c>
      <c r="P23" s="1559" t="s">
        <v>848</v>
      </c>
      <c r="Q23" s="1558" t="s">
        <v>1514</v>
      </c>
      <c r="R23" s="1559" t="s">
        <v>848</v>
      </c>
      <c r="S23" s="1558" t="s">
        <v>1514</v>
      </c>
      <c r="T23" s="1559" t="s">
        <v>848</v>
      </c>
      <c r="U23" s="1558" t="s">
        <v>1514</v>
      </c>
      <c r="V23" s="1559" t="s">
        <v>848</v>
      </c>
      <c r="Z23" s="68"/>
    </row>
    <row r="24" spans="1:26" ht="14.25">
      <c r="B24" s="1560">
        <f>DATE(YEAR(B25),MONTH(B25)-1,1)</f>
        <v>43922</v>
      </c>
      <c r="C24" s="497"/>
      <c r="D24" s="498"/>
      <c r="E24" s="497"/>
      <c r="F24" s="498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7"/>
      <c r="N24" s="100">
        <f>VLOOKUP($B$48,Índices!$B$6:$F$500,VLOOKUP(N$23,$L$7:$M$9,2,FALSE)+1,FALSE)/VLOOKUP(DATE(YEAR($B24),MONTH($B24)-1,1),Índices!$B$6:$F$500,VLOOKUP(N$23,$L$7:$M$9,2,FALSE)+1,FALSE)*M24</f>
        <v>0</v>
      </c>
      <c r="O24" s="417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43952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7"/>
      <c r="N25" s="100">
        <f>VLOOKUP($B$48,Índices!$B$6:$F$500,VLOOKUP(N$23,$L$7:$M$9,2,FALSE)+1,FALSE)/VLOOKUP(DATE(YEAR($B25),MONTH($B25)-1,1),Índices!$B$6:$F$500,VLOOKUP(N$23,$L$7:$M$9,2,FALSE)+1,FALSE)*M25</f>
        <v>0</v>
      </c>
      <c r="O25" s="417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43983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7"/>
      <c r="N26" s="100">
        <f>VLOOKUP($B$48,Índices!$B$6:$F$500,VLOOKUP(N$23,$L$7:$M$9,2,FALSE)+1,FALSE)/VLOOKUP(DATE(YEAR($B26),MONTH($B26)-1,1),Índices!$B$6:$F$500,VLOOKUP(N$23,$L$7:$M$9,2,FALSE)+1,FALSE)*M26</f>
        <v>0</v>
      </c>
      <c r="O26" s="417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44013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7"/>
      <c r="N27" s="100">
        <f>VLOOKUP($B$48,Índices!$B$6:$F$500,VLOOKUP(N$23,$L$7:$M$9,2,FALSE)+1,FALSE)/VLOOKUP(DATE(YEAR($B27),MONTH($B27)-1,1),Índices!$B$6:$F$500,VLOOKUP(N$23,$L$7:$M$9,2,FALSE)+1,FALSE)*M27</f>
        <v>0</v>
      </c>
      <c r="O27" s="417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44044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7"/>
      <c r="N28" s="100">
        <f>VLOOKUP($B$48,Índices!$B$6:$F$500,VLOOKUP(N$23,$L$7:$M$9,2,FALSE)+1,FALSE)/VLOOKUP(DATE(YEAR($B28),MONTH($B28)-1,1),Índices!$B$6:$F$500,VLOOKUP(N$23,$L$7:$M$9,2,FALSE)+1,FALSE)*M28</f>
        <v>0</v>
      </c>
      <c r="O28" s="417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44075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7"/>
      <c r="N29" s="100">
        <f>VLOOKUP($B$48,Índices!$B$6:$F$500,VLOOKUP(N$23,$L$7:$M$9,2,FALSE)+1,FALSE)/VLOOKUP(DATE(YEAR($B29),MONTH($B29)-1,1),Índices!$B$6:$F$500,VLOOKUP(N$23,$L$7:$M$9,2,FALSE)+1,FALSE)*M29</f>
        <v>0</v>
      </c>
      <c r="O29" s="417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44105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7"/>
      <c r="N30" s="100">
        <f>VLOOKUP($B$48,Índices!$B$6:$F$500,VLOOKUP(N$23,$L$7:$M$9,2,FALSE)+1,FALSE)/VLOOKUP(DATE(YEAR($B30),MONTH($B30)-1,1),Índices!$B$6:$F$500,VLOOKUP(N$23,$L$7:$M$9,2,FALSE)+1,FALSE)*M30</f>
        <v>0</v>
      </c>
      <c r="O30" s="417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44136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7"/>
      <c r="N31" s="100">
        <f>VLOOKUP($B$48,Índices!$B$6:$F$500,VLOOKUP(N$23,$L$7:$M$9,2,FALSE)+1,FALSE)/VLOOKUP(DATE(YEAR($B31),MONTH($B31)-1,1),Índices!$B$6:$F$500,VLOOKUP(N$23,$L$7:$M$9,2,FALSE)+1,FALSE)*M31</f>
        <v>0</v>
      </c>
      <c r="O31" s="417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44166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7"/>
      <c r="N32" s="100">
        <f>VLOOKUP($B$48,Índices!$B$6:$F$500,VLOOKUP(N$23,$L$7:$M$9,2,FALSE)+1,FALSE)/VLOOKUP(DATE(YEAR($B32),MONTH($B32)-1,1),Índices!$B$6:$F$500,VLOOKUP(N$23,$L$7:$M$9,2,FALSE)+1,FALSE)*M32</f>
        <v>0</v>
      </c>
      <c r="O32" s="417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44197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7"/>
      <c r="N33" s="100">
        <f>VLOOKUP($B$48,Índices!$B$6:$F$500,VLOOKUP(N$23,$L$7:$M$9,2,FALSE)+1,FALSE)/VLOOKUP(DATE(YEAR($B33),MONTH($B33)-1,1),Índices!$B$6:$F$500,VLOOKUP(N$23,$L$7:$M$9,2,FALSE)+1,FALSE)*M33</f>
        <v>0</v>
      </c>
      <c r="O33" s="417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97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44228</v>
      </c>
      <c r="C34" s="1680">
        <f>CAPA!C63*0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1681">
        <f>CAPA!E63*0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7"/>
      <c r="N34" s="100">
        <f>VLOOKUP($B$48,Índices!$B$6:$F$500,VLOOKUP(N$23,$L$7:$M$9,2,FALSE)+1,FALSE)/VLOOKUP(DATE(YEAR($B34),MONTH($B34)-1,1),Índices!$B$6:$F$500,VLOOKUP(N$23,$L$7:$M$9,2,FALSE)+1,FALSE)*M34</f>
        <v>0</v>
      </c>
      <c r="O34" s="417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97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44256</v>
      </c>
      <c r="C35" s="1680">
        <f>CAPA!C64*0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7"/>
      <c r="N35" s="100">
        <f>VLOOKUP($B$48,Índices!$B$6:$F$500,VLOOKUP(N$23,$L$7:$M$9,2,FALSE)+1,FALSE)/VLOOKUP(DATE(YEAR($B35),MONTH($B35)-1,1),Índices!$B$6:$F$500,VLOOKUP(N$23,$L$7:$M$9,2,FALSE)+1,FALSE)*M35</f>
        <v>0</v>
      </c>
      <c r="O35" s="417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97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44287</v>
      </c>
      <c r="C36" s="298">
        <f>CAPA!C65</f>
        <v>28869.54</v>
      </c>
      <c r="D36" s="227">
        <f>VLOOKUP($B$48,Índices!$B$6:$F$500,VLOOKUP(D$23,$L$7:$M$9,2,FALSE)+1,FALSE)/VLOOKUP(DATE(YEAR($B36),MONTH($B36)-1,1),Índices!$B$6:$F$500,VLOOKUP(D$23,$L$7:$M$9,2,FALSE)+1,FALSE)*C36</f>
        <v>32472.229374347986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7"/>
      <c r="N36" s="100">
        <f>VLOOKUP($B$48,Índices!$B$6:$F$500,VLOOKUP(N$23,$L$7:$M$9,2,FALSE)+1,FALSE)/VLOOKUP(DATE(YEAR($B36),MONTH($B36)-1,1),Índices!$B$6:$F$500,VLOOKUP(N$23,$L$7:$M$9,2,FALSE)+1,FALSE)*M36</f>
        <v>0</v>
      </c>
      <c r="O36" s="417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97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99" customFormat="1" ht="14.25">
      <c r="A37" s="893"/>
      <c r="B37" s="894">
        <f t="shared" si="2"/>
        <v>44317</v>
      </c>
      <c r="C37" s="895">
        <f>CAPA!C66</f>
        <v>50661.73</v>
      </c>
      <c r="D37" s="896">
        <f>VLOOKUP($B$48,Índices!$B$6:$F$500,VLOOKUP(D$23,$L$7:$M$9,2,FALSE)+1,FALSE)/VLOOKUP(DATE(YEAR($B37),MONTH($B37)-1,1),Índices!$B$6:$F$500,VLOOKUP(D$23,$L$7:$M$9,2,FALSE)+1,FALSE)*C37</f>
        <v>56807.82374508767</v>
      </c>
      <c r="E37" s="897"/>
      <c r="F37" s="896">
        <f>VLOOKUP($B$48,Índices!$B$6:$F$500,VLOOKUP(F$23,$L$7:$M$9,2,FALSE)+1,FALSE)/VLOOKUP(DATE(YEAR($B37),MONTH($B37)-1,1),Índices!$B$6:$F$500,VLOOKUP(H$23,$L$7:$M$9,2,FALSE)+1,FALSE)*E37</f>
        <v>0</v>
      </c>
      <c r="G37" s="897">
        <f>CAPA!E66</f>
        <v>-1344.18</v>
      </c>
      <c r="H37" s="896">
        <f>VLOOKUP($B$48,Índices!$B$6:$F$500,VLOOKUP(H$23,$L$7:$M$9,2,FALSE)+1,FALSE)/VLOOKUP(DATE(YEAR($B37),MONTH($B37)-1,1),Índices!$B$6:$F$500,VLOOKUP(H$23,$L$7:$M$9,2,FALSE)+1,FALSE)*G37</f>
        <v>-1507.2509470496161</v>
      </c>
      <c r="I37" s="898">
        <f>IFERROR(HLOOKUP(B37,'Rede Básica + Ajuste'!$E$70:$P$71,2,FALSE),0)</f>
        <v>0</v>
      </c>
      <c r="J37" s="898">
        <f>VLOOKUP($B$48,Índices!$B$6:$F$500,VLOOKUP(J$23,$L$7:$M$9,2,FALSE)+1,FALSE)/VLOOKUP(DATE(YEAR($B37),MONTH($B37)-1,1),Índices!$B$6:$F$500,VLOOKUP(J$23,$L$7:$M$9,2,FALSE)+1,FALSE)*I37</f>
        <v>0</v>
      </c>
      <c r="K37" s="897">
        <f>CAPA!H66</f>
        <v>0</v>
      </c>
      <c r="L37" s="896">
        <f>VLOOKUP($B$48,Índices!$B$6:$F$500,VLOOKUP(L$23,$L$7:$M$9,2,FALSE)+1,FALSE)/VLOOKUP(DATE(YEAR($B37),MONTH($B37)-1,1),Índices!$B$6:$F$500,VLOOKUP(L$23,$L$7:$M$9,2,FALSE)+1,FALSE)*K37</f>
        <v>0</v>
      </c>
      <c r="M37" s="897"/>
      <c r="N37" s="896">
        <f>VLOOKUP($B$48,Índices!$B$6:$F$500,VLOOKUP(N$23,$L$7:$M$9,2,FALSE)+1,FALSE)/VLOOKUP(DATE(YEAR($B37),MONTH($B37)-1,1),Índices!$B$6:$F$500,VLOOKUP(N$23,$L$7:$M$9,2,FALSE)+1,FALSE)*M37</f>
        <v>0</v>
      </c>
      <c r="O37" s="417">
        <f>CAPA!G66</f>
        <v>0</v>
      </c>
      <c r="P37" s="896">
        <f>VLOOKUP($B$48,Índices!$B$6:$F$500,VLOOKUP(P$23,$L$7:$M$9,2,FALSE)+1,FALSE)/VLOOKUP(DATE(YEAR($B37),MONTH($B37)-1,1),Índices!$B$6:$F$500,VLOOKUP(P$23,$L$7:$M$9,2,FALSE)+1,FALSE)*O37</f>
        <v>0</v>
      </c>
      <c r="Q37" s="897">
        <f>CAPA!D66</f>
        <v>0</v>
      </c>
      <c r="R37" s="896">
        <f>VLOOKUP($B$48,Índices!$B$6:$F$500,VLOOKUP(R$23,$L$7:$M$9,2,FALSE)+1,FALSE)/VLOOKUP(DATE(YEAR($B37),MONTH($B37)-1,1),Índices!$B$6:$F$500,VLOOKUP(R$23,$L$7:$M$9,2,FALSE)+1,FALSE)*Q37</f>
        <v>0</v>
      </c>
      <c r="S37" s="897">
        <f>ICMS!$B$9/12</f>
        <v>0</v>
      </c>
      <c r="T37" s="896">
        <f>VLOOKUP($B$48,Índices!$B$6:$F$500,VLOOKUP(T$23,$L$7:$M$9,2,FALSE)+1,FALSE)/VLOOKUP(DATE(YEAR($B37),MONTH($B37)-1,1),Índices!$B$6:$F$500,VLOOKUP(T$23,$L$7:$M$9,2,FALSE)+1,FALSE)*S37</f>
        <v>0</v>
      </c>
      <c r="U37" s="897">
        <f>ICMS!$B$8/12</f>
        <v>0</v>
      </c>
      <c r="V37" s="896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44348</v>
      </c>
      <c r="C38" s="298">
        <f>CAPA!C67</f>
        <v>35516.120000000003</v>
      </c>
      <c r="D38" s="227">
        <f>VLOOKUP($B$48,Índices!$B$6:$F$500,VLOOKUP(D$23,$L$7:$M$9,2,FALSE)+1,FALSE)/VLOOKUP(DATE(YEAR($B38),MONTH($B38)-1,1),Índices!$B$6:$F$500,VLOOKUP(D$23,$L$7:$M$9,2,FALSE)+1,FALSE)*C38</f>
        <v>39496.953081002728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7"/>
      <c r="N38" s="100">
        <f>VLOOKUP($B$48,Índices!$B$6:$F$500,VLOOKUP(N$23,$L$7:$M$9,2,FALSE)+1,FALSE)/VLOOKUP(DATE(YEAR($B38),MONTH($B38)-1,1),Índices!$B$6:$F$500,VLOOKUP(N$23,$L$7:$M$9,2,FALSE)+1,FALSE)*M38</f>
        <v>0</v>
      </c>
      <c r="O38" s="417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97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97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44378</v>
      </c>
      <c r="C39" s="298">
        <f>CAPA!C68</f>
        <v>34472.43</v>
      </c>
      <c r="D39" s="227">
        <f>VLOOKUP($B$48,Índices!$B$6:$F$500,VLOOKUP(D$23,$L$7:$M$9,2,FALSE)+1,FALSE)/VLOOKUP(DATE(YEAR($B39),MONTH($B39)-1,1),Índices!$B$6:$F$500,VLOOKUP(D$23,$L$7:$M$9,2,FALSE)+1,FALSE)*C39</f>
        <v>38134.167535832021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-523.19000000000005</v>
      </c>
      <c r="H39" s="227">
        <f>VLOOKUP($B$48,Índices!$B$6:$F$500,VLOOKUP(H$23,$L$7:$M$9,2,FALSE)+1,FALSE)/VLOOKUP(DATE(YEAR($B39),MONTH($B39)-1,1),Índices!$B$6:$F$500,VLOOKUP(H$23,$L$7:$M$9,2,FALSE)+1,FALSE)*G39</f>
        <v>-578.76439557849437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7"/>
      <c r="N39" s="100">
        <f>VLOOKUP($B$48,Índices!$B$6:$F$500,VLOOKUP(N$23,$L$7:$M$9,2,FALSE)+1,FALSE)/VLOOKUP(DATE(YEAR($B39),MONTH($B39)-1,1),Índices!$B$6:$F$500,VLOOKUP(N$23,$L$7:$M$9,2,FALSE)+1,FALSE)*M39</f>
        <v>0</v>
      </c>
      <c r="O39" s="417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97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97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44409</v>
      </c>
      <c r="C40" s="298">
        <f>CAPA!C69</f>
        <v>31529.75</v>
      </c>
      <c r="D40" s="227">
        <f>VLOOKUP($B$48,Índices!$B$6:$F$500,VLOOKUP(D$23,$L$7:$M$9,2,FALSE)+1,FALSE)/VLOOKUP(DATE(YEAR($B40),MONTH($B40)-1,1),Índices!$B$6:$F$500,VLOOKUP(D$23,$L$7:$M$9,2,FALSE)+1,FALSE)*C40</f>
        <v>34547.266642290539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0</v>
      </c>
      <c r="H40" s="227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7"/>
      <c r="N40" s="100">
        <f>VLOOKUP($B$48,Índices!$B$6:$F$500,VLOOKUP(N$23,$L$7:$M$9,2,FALSE)+1,FALSE)/VLOOKUP(DATE(YEAR($B40),MONTH($B40)-1,1),Índices!$B$6:$F$500,VLOOKUP(N$23,$L$7:$M$9,2,FALSE)+1,FALSE)*M40</f>
        <v>0</v>
      </c>
      <c r="O40" s="417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97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97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44440</v>
      </c>
      <c r="C41" s="298">
        <f>CAPA!C70</f>
        <v>37985.410000000003</v>
      </c>
      <c r="D41" s="227">
        <f>VLOOKUP($B$48,Índices!$B$6:$F$500,VLOOKUP(D$23,$L$7:$M$9,2,FALSE)+1,FALSE)/VLOOKUP(DATE(YEAR($B41),MONTH($B41)-1,1),Índices!$B$6:$F$500,VLOOKUP(D$23,$L$7:$M$9,2,FALSE)+1,FALSE)*C41</f>
        <v>41261.785345733952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-25619.22</v>
      </c>
      <c r="H41" s="227">
        <f>VLOOKUP($B$48,Índices!$B$6:$F$500,VLOOKUP(H$23,$L$7:$M$9,2,FALSE)+1,FALSE)/VLOOKUP(DATE(YEAR($B41),MONTH($B41)-1,1),Índices!$B$6:$F$500,VLOOKUP(H$23,$L$7:$M$9,2,FALSE)+1,FALSE)*G41</f>
        <v>-27828.967921239608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7"/>
      <c r="N41" s="100">
        <f>VLOOKUP($B$48,Índices!$B$6:$F$500,VLOOKUP(N$23,$L$7:$M$9,2,FALSE)+1,FALSE)/VLOOKUP(DATE(YEAR($B41),MONTH($B41)-1,1),Índices!$B$6:$F$500,VLOOKUP(N$23,$L$7:$M$9,2,FALSE)+1,FALSE)*M41</f>
        <v>0</v>
      </c>
      <c r="O41" s="417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97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97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44470</v>
      </c>
      <c r="C42" s="298">
        <f>CAPA!C71</f>
        <v>35876.160000000003</v>
      </c>
      <c r="D42" s="227">
        <f>VLOOKUP($B$48,Índices!$B$6:$F$500,VLOOKUP(D$23,$L$7:$M$9,2,FALSE)+1,FALSE)/VLOOKUP(DATE(YEAR($B42),MONTH($B42)-1,1),Índices!$B$6:$F$500,VLOOKUP(D$23,$L$7:$M$9,2,FALSE)+1,FALSE)*C42</f>
        <v>38523.743969476185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-22757.63</v>
      </c>
      <c r="H42" s="227">
        <f>VLOOKUP($B$48,Índices!$B$6:$F$500,VLOOKUP(H$23,$L$7:$M$9,2,FALSE)+1,FALSE)/VLOOKUP(DATE(YEAR($B42),MONTH($B42)-1,1),Índices!$B$6:$F$500,VLOOKUP(H$23,$L$7:$M$9,2,FALSE)+1,FALSE)*G42</f>
        <v>-24437.094479232735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7"/>
      <c r="N42" s="100">
        <f>VLOOKUP($B$48,Índices!$B$6:$F$500,VLOOKUP(N$23,$L$7:$M$9,2,FALSE)+1,FALSE)/VLOOKUP(DATE(YEAR($B42),MONTH($B42)-1,1),Índices!$B$6:$F$500,VLOOKUP(N$23,$L$7:$M$9,2,FALSE)+1,FALSE)*M42</f>
        <v>0</v>
      </c>
      <c r="O42" s="417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97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97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44501</v>
      </c>
      <c r="C43" s="298">
        <f>CAPA!C72</f>
        <v>46464.72</v>
      </c>
      <c r="D43" s="227">
        <f>VLOOKUP($B$48,Índices!$B$6:$F$500,VLOOKUP(D$23,$L$7:$M$9,2,FALSE)+1,FALSE)/VLOOKUP(DATE(YEAR($B43),MONTH($B43)-1,1),Índices!$B$6:$F$500,VLOOKUP(D$23,$L$7:$M$9,2,FALSE)+1,FALSE)*C43</f>
        <v>49277.766755160337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-4222.92</v>
      </c>
      <c r="H43" s="227">
        <f>VLOOKUP($B$48,Índices!$B$6:$F$500,VLOOKUP(H$23,$L$7:$M$9,2,FALSE)+1,FALSE)/VLOOKUP(DATE(YEAR($B43),MONTH($B43)-1,1),Índices!$B$6:$F$500,VLOOKUP(H$23,$L$7:$M$9,2,FALSE)+1,FALSE)*G43</f>
        <v>-4478.5821755883107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7"/>
      <c r="N43" s="100">
        <f>VLOOKUP($B$48,Índices!$B$6:$F$500,VLOOKUP(N$23,$L$7:$M$9,2,FALSE)+1,FALSE)/VLOOKUP(DATE(YEAR($B43),MONTH($B43)-1,1),Índices!$B$6:$F$500,VLOOKUP(N$23,$L$7:$M$9,2,FALSE)+1,FALSE)*M43</f>
        <v>0</v>
      </c>
      <c r="O43" s="417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97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97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44531</v>
      </c>
      <c r="C44" s="298">
        <f>CAPA!C73</f>
        <v>22488.74</v>
      </c>
      <c r="D44" s="227">
        <f>VLOOKUP($B$48,Índices!$B$6:$F$500,VLOOKUP(D$23,$L$7:$M$9,2,FALSE)+1,FALSE)/VLOOKUP(DATE(YEAR($B44),MONTH($B44)-1,1),Índices!$B$6:$F$500,VLOOKUP(D$23,$L$7:$M$9,2,FALSE)+1,FALSE)*C44</f>
        <v>23625.782219171815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-5965.04</v>
      </c>
      <c r="H44" s="227">
        <f>VLOOKUP($B$48,Índices!$B$6:$F$500,VLOOKUP(H$23,$L$7:$M$9,2,FALSE)+1,FALSE)/VLOOKUP(DATE(YEAR($B44),MONTH($B44)-1,1),Índices!$B$6:$F$500,VLOOKUP(H$23,$L$7:$M$9,2,FALSE)+1,FALSE)*G44</f>
        <v>-6266.6354792953553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7"/>
      <c r="N44" s="100">
        <f>VLOOKUP($B$48,Índices!$B$6:$F$500,VLOOKUP(N$23,$L$7:$M$9,2,FALSE)+1,FALSE)/VLOOKUP(DATE(YEAR($B44),MONTH($B44)-1,1),Índices!$B$6:$F$500,VLOOKUP(N$23,$L$7:$M$9,2,FALSE)+1,FALSE)*M44</f>
        <v>0</v>
      </c>
      <c r="O44" s="417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4</v>
      </c>
      <c r="R44" s="100">
        <f>VLOOKUP($B$48,Índices!$B$6:$F$500,VLOOKUP(R$23,$L$7:$M$9,2,FALSE)+1,FALSE)/VLOOKUP(DATE(YEAR($B44),MONTH($B44)-1,1),Índices!$B$6:$F$500,VLOOKUP(R$23,$L$7:$M$9,2,FALSE)+1,FALSE)*Q44</f>
        <v>4.2022420498741706</v>
      </c>
      <c r="S44" s="897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97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44562</v>
      </c>
      <c r="C45" s="298">
        <f>CAPA!C74</f>
        <v>0</v>
      </c>
      <c r="D45" s="227">
        <f>VLOOKUP($B$48,Índices!$B$6:$F$500,VLOOKUP(D$23,$L$7:$M$9,2,FALSE)+1,FALSE)/VLOOKUP(DATE(YEAR($B45),MONTH($B45)-1,1),Índices!$B$6:$F$500,VLOOKUP(D$23,$L$7:$M$9,2,FALSE)+1,FALSE)*C45</f>
        <v>0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-30583.439999999999</v>
      </c>
      <c r="H45" s="227">
        <f>VLOOKUP($B$48,Índices!$B$6:$F$500,VLOOKUP(H$23,$L$7:$M$9,2,FALSE)+1,FALSE)/VLOOKUP(DATE(YEAR($B45),MONTH($B45)-1,1),Índices!$B$6:$F$500,VLOOKUP(H$23,$L$7:$M$9,2,FALSE)+1,FALSE)*G45</f>
        <v>-31896.920201044439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7"/>
      <c r="N45" s="100">
        <f>VLOOKUP($B$48,Índices!$B$6:$F$500,VLOOKUP(N$23,$L$7:$M$9,2,FALSE)+1,FALSE)/VLOOKUP(DATE(YEAR($B45),MONTH($B45)-1,1),Índices!$B$6:$F$500,VLOOKUP(N$23,$L$7:$M$9,2,FALSE)+1,FALSE)*M45</f>
        <v>0</v>
      </c>
      <c r="O45" s="417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97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97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44593</v>
      </c>
      <c r="C46" s="298">
        <f>CAPA!C75</f>
        <v>0</v>
      </c>
      <c r="D46" s="227">
        <f>VLOOKUP($B$48,Índices!$B$6:$F$500,VLOOKUP(D$23,$L$7:$M$9,2,FALSE)+1,FALSE)/VLOOKUP(DATE(YEAR($B46),MONTH($B46)-1,1),Índices!$B$6:$F$500,VLOOKUP(D$23,$L$7:$M$9,2,FALSE)+1,FALSE)*C46</f>
        <v>0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-1770.76</v>
      </c>
      <c r="H46" s="227">
        <f>VLOOKUP($B$48,Índices!$B$6:$F$500,VLOOKUP(H$23,$L$7:$M$9,2,FALSE)+1,FALSE)/VLOOKUP(DATE(YEAR($B46),MONTH($B46)-1,1),Índices!$B$6:$F$500,VLOOKUP(H$23,$L$7:$M$9,2,FALSE)+1,FALSE)*G46</f>
        <v>-1836.8898535207511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7"/>
      <c r="N46" s="100">
        <f>VLOOKUP($B$48,Índices!$B$6:$F$500,VLOOKUP(N$23,$L$7:$M$9,2,FALSE)+1,FALSE)/VLOOKUP(DATE(YEAR($B46),MONTH($B46)-1,1),Índices!$B$6:$F$500,VLOOKUP(N$23,$L$7:$M$9,2,FALSE)+1,FALSE)*M46</f>
        <v>0</v>
      </c>
      <c r="O46" s="417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97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97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44621</v>
      </c>
      <c r="C47" s="298">
        <f>CAPA!C76</f>
        <v>32702.26</v>
      </c>
      <c r="D47" s="227">
        <f>VLOOKUP($B$48,Índices!$B$6:$F$500,VLOOKUP(D$23,$L$7:$M$9,2,FALSE)+1,FALSE)/VLOOKUP(DATE(YEAR($B47),MONTH($B47)-1,1),Índices!$B$6:$F$500,VLOOKUP(D$23,$L$7:$M$9,2,FALSE)+1,FALSE)*C47</f>
        <v>33584.318756604735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-2200.44</v>
      </c>
      <c r="H47" s="227">
        <f>VLOOKUP($B$48,Índices!$B$6:$F$500,VLOOKUP(H$23,$L$7:$M$9,2,FALSE)+1,FALSE)/VLOOKUP(DATE(YEAR($B47),MONTH($B47)-1,1),Índices!$B$6:$F$500,VLOOKUP(H$23,$L$7:$M$9,2,FALSE)+1,FALSE)*G47</f>
        <v>-2259.7911693192864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7"/>
      <c r="N47" s="100">
        <f>VLOOKUP($B$48,Índices!$B$6:$F$500,VLOOKUP(N$23,$L$7:$M$9,2,FALSE)+1,FALSE)/VLOOKUP(DATE(YEAR($B47),MONTH($B47)-1,1),Índices!$B$6:$F$500,VLOOKUP(N$23,$L$7:$M$9,2,FALSE)+1,FALSE)*M47</f>
        <v>0</v>
      </c>
      <c r="O47" s="417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97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97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61">
        <f>DATE(YEAR(CAPA!$C$15),MONTH(CAPA!$C$15)-1,1)</f>
        <v>44652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7"/>
      <c r="N48" s="100">
        <f>VLOOKUP($B$48,Índices!$B$6:$F$500,VLOOKUP(N$23,$L$7:$M$9,2,FALSE)+1,FALSE)/VLOOKUP(DATE(YEAR($B48),MONTH($B48)-1,1),Índices!$B$6:$F$500,VLOOKUP(N$23,$L$7:$M$9,2,FALSE)+1,FALSE)*M48</f>
        <v>0</v>
      </c>
      <c r="O48" s="417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97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97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26" ht="14.25">
      <c r="C49" s="1562">
        <f t="shared" ref="C49:P49" si="3">SUM(C25:C48)</f>
        <v>356566.86</v>
      </c>
      <c r="D49" s="1563">
        <f t="shared" si="3"/>
        <v>387731.83742470801</v>
      </c>
      <c r="E49" s="1562">
        <f t="shared" si="3"/>
        <v>0</v>
      </c>
      <c r="F49" s="1563">
        <f t="shared" si="3"/>
        <v>0</v>
      </c>
      <c r="G49" s="1562">
        <f t="shared" si="3"/>
        <v>-94986.819999999992</v>
      </c>
      <c r="H49" s="1563">
        <f t="shared" si="3"/>
        <v>-101090.8966218686</v>
      </c>
      <c r="I49" s="1564">
        <f>SUM(I24:I48)</f>
        <v>0</v>
      </c>
      <c r="J49" s="1564">
        <f>SUM(J24:J48)</f>
        <v>0</v>
      </c>
      <c r="K49" s="1565">
        <f t="shared" si="3"/>
        <v>0</v>
      </c>
      <c r="L49" s="1566">
        <f t="shared" si="3"/>
        <v>0</v>
      </c>
      <c r="M49" s="1567">
        <f t="shared" si="3"/>
        <v>0</v>
      </c>
      <c r="N49" s="1568">
        <f t="shared" si="3"/>
        <v>0</v>
      </c>
      <c r="O49" s="1567">
        <f t="shared" si="3"/>
        <v>0</v>
      </c>
      <c r="P49" s="1568">
        <f t="shared" si="3"/>
        <v>0</v>
      </c>
      <c r="Q49" s="1567">
        <f t="shared" ref="Q49:R49" si="4">SUM(Q25:Q48)</f>
        <v>4</v>
      </c>
      <c r="R49" s="1568">
        <f t="shared" si="4"/>
        <v>4.2022420498741706</v>
      </c>
      <c r="S49" s="1567">
        <f>-S51</f>
        <v>0</v>
      </c>
      <c r="T49" s="1568">
        <f t="shared" ref="T49:V49" si="5">SUM(T25:T48)</f>
        <v>0</v>
      </c>
      <c r="U49" s="1567">
        <f>-S52</f>
        <v>0</v>
      </c>
      <c r="V49" s="1568">
        <f t="shared" si="5"/>
        <v>0</v>
      </c>
      <c r="Z49" s="68"/>
    </row>
    <row r="50" spans="2:26" ht="14.25">
      <c r="J50" s="68" t="s">
        <v>927</v>
      </c>
      <c r="M50" s="200"/>
      <c r="N50" s="108"/>
      <c r="S50" s="1467"/>
      <c r="T50" s="68" t="s">
        <v>1515</v>
      </c>
      <c r="Z50" s="68"/>
    </row>
    <row r="51" spans="2:26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26" ht="14.25">
      <c r="M52" s="200"/>
      <c r="N52" s="108"/>
      <c r="Z52" s="68"/>
    </row>
    <row r="53" spans="2:26" ht="14.25">
      <c r="C53" s="1774" t="s">
        <v>1516</v>
      </c>
      <c r="D53" s="1775"/>
      <c r="E53" s="1774" t="s">
        <v>1517</v>
      </c>
      <c r="F53" s="1775"/>
      <c r="G53" s="1774" t="s">
        <v>1518</v>
      </c>
      <c r="H53" s="1775"/>
      <c r="I53" s="1774" t="s">
        <v>1519</v>
      </c>
      <c r="J53" s="1775"/>
      <c r="K53" s="1772" t="s">
        <v>1520</v>
      </c>
      <c r="L53" s="1773"/>
      <c r="M53" s="1774" t="s">
        <v>1521</v>
      </c>
      <c r="N53" s="1775"/>
      <c r="O53" s="1774" t="s">
        <v>1522</v>
      </c>
      <c r="P53" s="1775"/>
      <c r="Q53" s="1774" t="s">
        <v>1523</v>
      </c>
      <c r="R53" s="1775"/>
      <c r="S53" s="1774" t="s">
        <v>36</v>
      </c>
      <c r="T53" s="1775"/>
      <c r="Z53" s="68"/>
    </row>
    <row r="54" spans="2:26" ht="14.25">
      <c r="C54" s="1558" t="s">
        <v>1514</v>
      </c>
      <c r="D54" s="1559" t="s">
        <v>848</v>
      </c>
      <c r="E54" s="1558" t="s">
        <v>1514</v>
      </c>
      <c r="F54" s="1559" t="s">
        <v>848</v>
      </c>
      <c r="G54" s="1558" t="s">
        <v>1514</v>
      </c>
      <c r="H54" s="1559" t="s">
        <v>848</v>
      </c>
      <c r="I54" s="1558" t="s">
        <v>1514</v>
      </c>
      <c r="J54" s="1559" t="s">
        <v>848</v>
      </c>
      <c r="K54" s="1556" t="s">
        <v>1514</v>
      </c>
      <c r="L54" s="1557" t="s">
        <v>848</v>
      </c>
      <c r="M54" s="1558" t="s">
        <v>1514</v>
      </c>
      <c r="N54" s="1559" t="s">
        <v>848</v>
      </c>
      <c r="O54" s="1558" t="s">
        <v>1514</v>
      </c>
      <c r="P54" s="1559" t="s">
        <v>848</v>
      </c>
      <c r="Q54" s="1558" t="s">
        <v>1514</v>
      </c>
      <c r="R54" s="1559" t="s">
        <v>848</v>
      </c>
      <c r="S54" s="1558" t="s">
        <v>1514</v>
      </c>
      <c r="T54" s="1569" t="s">
        <v>1495</v>
      </c>
      <c r="Z54" s="68"/>
    </row>
    <row r="55" spans="2:26" ht="14.25">
      <c r="B55" s="272">
        <f t="shared" ref="B55:B79" si="6">B24</f>
        <v>43922</v>
      </c>
      <c r="C55" s="499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Z55" s="68"/>
    </row>
    <row r="56" spans="2:26" ht="14.25">
      <c r="B56" s="272">
        <f t="shared" si="6"/>
        <v>43952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Z56" s="68"/>
    </row>
    <row r="57" spans="2:26" ht="14.25">
      <c r="B57" s="272">
        <f t="shared" si="6"/>
        <v>43983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Z57" s="68"/>
    </row>
    <row r="58" spans="2:26" ht="14.25">
      <c r="B58" s="272">
        <f t="shared" si="6"/>
        <v>44013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Z58" s="68"/>
    </row>
    <row r="59" spans="2:26" ht="14.25">
      <c r="B59" s="272">
        <f t="shared" si="6"/>
        <v>44044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Z59" s="68"/>
    </row>
    <row r="60" spans="2:26" ht="14.25">
      <c r="B60" s="272">
        <f t="shared" si="6"/>
        <v>44075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Z60" s="68"/>
    </row>
    <row r="61" spans="2:26" ht="14.25">
      <c r="B61" s="272">
        <f t="shared" si="6"/>
        <v>44105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Z61" s="68"/>
    </row>
    <row r="62" spans="2:26" ht="14.25">
      <c r="B62" s="272">
        <f t="shared" si="6"/>
        <v>44136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Z62" s="68"/>
    </row>
    <row r="63" spans="2:26" ht="14.25">
      <c r="B63" s="272">
        <f t="shared" si="6"/>
        <v>44166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</row>
    <row r="64" spans="2:26" ht="14.25">
      <c r="B64" s="272">
        <f t="shared" si="6"/>
        <v>44197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</row>
    <row r="65" spans="2:24" ht="14.25">
      <c r="B65" s="272">
        <f t="shared" si="6"/>
        <v>44228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</row>
    <row r="66" spans="2:24" ht="14.25">
      <c r="B66" s="272">
        <f t="shared" si="6"/>
        <v>44256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</row>
    <row r="67" spans="2:24" ht="14.25">
      <c r="B67" s="272">
        <f t="shared" si="6"/>
        <v>44287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</row>
    <row r="68" spans="2:24" ht="14.25">
      <c r="B68" s="272">
        <f t="shared" si="6"/>
        <v>44317</v>
      </c>
      <c r="C68" s="209">
        <f ca="1">Encargos!C25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Encargos!D25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Encargos!E25</f>
        <v>679.84330981664198</v>
      </c>
      <c r="H68" s="227">
        <f ca="1">VLOOKUP($B$48,Índices!$B$6:$F$500,VLOOKUP(H$54,$L$7:$M$9,2,FALSE)+1,FALSE)/VLOOKUP(DATE(YEAR($B68),MONTH($B68)-1,1),Índices!$B$6:$F$500,VLOOKUP(H$54,$L$7:$M$9,2,FALSE)+1,FALSE)*G68</f>
        <v>762.3193862179761</v>
      </c>
      <c r="I68" s="209">
        <f ca="1">Encargos!F25</f>
        <v>40835.64292355979</v>
      </c>
      <c r="J68" s="227">
        <f ca="1">VLOOKUP($B$48,Índices!$B$6:$F$500,VLOOKUP(J$54,$L$7:$M$9,2,FALSE)+1,FALSE)/VLOOKUP(DATE(YEAR($B68),MONTH($B68)-1,1),Índices!$B$6:$F$500,VLOOKUP(J$54,$L$7:$M$9,2,FALSE)+1,FALSE)*I68</f>
        <v>45789.672119742478</v>
      </c>
      <c r="K68" s="209">
        <f ca="1">Encargos!J56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Encargos!G25</f>
        <v>7155.6698976539628</v>
      </c>
      <c r="N68" s="227">
        <f ca="1">VLOOKUP($B$48,Índices!$B$6:$F$500,VLOOKUP(N$54,$L$7:$M$9,2,FALSE)+1,FALSE)/VLOOKUP(DATE(YEAR($B68),MONTH($B68)-1,1),Índices!$B$6:$F$500,VLOOKUP(N$54,$L$7:$M$9,2,FALSE)+1,FALSE)*M68</f>
        <v>8023.7693091798455</v>
      </c>
      <c r="O68" s="209"/>
      <c r="P68" s="227">
        <f>VLOOKUP($B$48,Índices!$B$6:$F$500,VLOOKUP(P$54,$L$7:$M$9,2,FALSE)+1,FALSE)/VLOOKUP(DATE(YEAR($B68),MONTH($B68)-1,1),Índices!$B$6:$F$500,VLOOKUP(P$54,$L$7:$M$9,2,FALSE)+1,FALSE)*O68</f>
        <v>0</v>
      </c>
      <c r="Q68" s="209"/>
      <c r="R68" s="227">
        <f>VLOOKUP($B$48,Índices!$B$6:$F$500,VLOOKUP(R$54,$L$7:$M$9,2,FALSE)+1,FALSE)/VLOOKUP(DATE(YEAR($B68),MONTH($B68)-1,1),Índices!$B$6:$F$500,VLOOKUP(R$54,$L$7:$M$9,2,FALSE)+1,FALSE)*Q68</f>
        <v>0</v>
      </c>
      <c r="S68" s="209">
        <f>CVA!$D$33</f>
        <v>0</v>
      </c>
      <c r="T68" s="227">
        <f>VLOOKUP($B$48,Índices!$B$6:$F$500,VLOOKUP(T$54,$L$7:$M$9,2,FALSE)+1,FALSE)/VLOOKUP(DATE(YEAR($B68),MONTH($B68)-1,1),Índices!$B$6:$F$500,VLOOKUP(T$54,$L$7:$M$9,2,FALSE)+1,FALSE)*S68</f>
        <v>0</v>
      </c>
      <c r="U68" s="77"/>
      <c r="V68" s="77"/>
      <c r="W68" s="77"/>
      <c r="X68" s="77"/>
    </row>
    <row r="69" spans="2:24" ht="14.25">
      <c r="B69" s="272">
        <f t="shared" si="6"/>
        <v>44348</v>
      </c>
      <c r="C69" s="209">
        <f ca="1">Encargos!C26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Encargos!D26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Encargos!E26</f>
        <v>182.91695784968397</v>
      </c>
      <c r="H69" s="227">
        <f ca="1">VLOOKUP($B$48,Índices!$B$6:$F$500,VLOOKUP(H$54,$L$7:$M$9,2,FALSE)+1,FALSE)/VLOOKUP(DATE(YEAR($B69),MONTH($B69)-1,1),Índices!$B$6:$F$500,VLOOKUP(H$54,$L$7:$M$9,2,FALSE)+1,FALSE)*G69</f>
        <v>203.41925024210755</v>
      </c>
      <c r="I69" s="209">
        <f ca="1">Encargos!F26</f>
        <v>10925.175625862903</v>
      </c>
      <c r="J69" s="227">
        <f ca="1">VLOOKUP($B$48,Índices!$B$6:$F$500,VLOOKUP(J$54,$L$7:$M$9,2,FALSE)+1,FALSE)/VLOOKUP(DATE(YEAR($B69),MONTH($B69)-1,1),Índices!$B$6:$F$500,VLOOKUP(J$54,$L$7:$M$9,2,FALSE)+1,FALSE)*I69</f>
        <v>12149.726633889672</v>
      </c>
      <c r="K69" s="209">
        <f ca="1">Encargos!J57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Encargos!G26</f>
        <v>1899.6464694870665</v>
      </c>
      <c r="N69" s="227">
        <f ca="1">VLOOKUP($B$48,Índices!$B$6:$F$500,VLOOKUP(N$54,$L$7:$M$9,2,FALSE)+1,FALSE)/VLOOKUP(DATE(YEAR($B69),MONTH($B69)-1,1),Índices!$B$6:$F$500,VLOOKUP(N$54,$L$7:$M$9,2,FALSE)+1,FALSE)*M69</f>
        <v>2112.5688131424022</v>
      </c>
      <c r="O69" s="209"/>
      <c r="P69" s="227">
        <f>VLOOKUP($B$48,Índices!$B$6:$F$500,VLOOKUP(P$54,$L$7:$M$9,2,FALSE)+1,FALSE)/VLOOKUP(DATE(YEAR($B69),MONTH($B69)-1,1),Índices!$B$6:$F$500,VLOOKUP(P$54,$L$7:$M$9,2,FALSE)+1,FALSE)*O69</f>
        <v>0</v>
      </c>
      <c r="Q69" s="209"/>
      <c r="R69" s="227">
        <f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77"/>
      <c r="V69" s="77"/>
      <c r="W69" s="77"/>
      <c r="X69" s="77"/>
    </row>
    <row r="70" spans="2:24" ht="14.25">
      <c r="B70" s="272">
        <f t="shared" si="6"/>
        <v>44378</v>
      </c>
      <c r="C70" s="209">
        <f ca="1">Encargos!C27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Encargos!D27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Encargos!E27</f>
        <v>389.84667403352341</v>
      </c>
      <c r="H70" s="227">
        <f ca="1">VLOOKUP($B$48,Índices!$B$6:$F$500,VLOOKUP(H$54,$L$7:$M$9,2,FALSE)+1,FALSE)/VLOOKUP(DATE(YEAR($B70),MONTH($B70)-1,1),Índices!$B$6:$F$500,VLOOKUP(H$54,$L$7:$M$9,2,FALSE)+1,FALSE)*G70</f>
        <v>431.25704746898538</v>
      </c>
      <c r="I70" s="209">
        <f ca="1">Encargos!F27</f>
        <v>23395.076371515461</v>
      </c>
      <c r="J70" s="227">
        <f ca="1">VLOOKUP($B$48,Índices!$B$6:$F$500,VLOOKUP(J$54,$L$7:$M$9,2,FALSE)+1,FALSE)/VLOOKUP(DATE(YEAR($B70),MONTH($B70)-1,1),Índices!$B$6:$F$500,VLOOKUP(J$54,$L$7:$M$9,2,FALSE)+1,FALSE)*I70</f>
        <v>25880.152976304704</v>
      </c>
      <c r="K70" s="209">
        <f ca="1">Encargos!J58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Encargos!G27</f>
        <v>4099.0705379556093</v>
      </c>
      <c r="N70" s="227">
        <f ca="1">VLOOKUP($B$48,Índices!$B$6:$F$500,VLOOKUP(N$54,$L$7:$M$9,2,FALSE)+1,FALSE)/VLOOKUP(DATE(YEAR($B70),MONTH($B70)-1,1),Índices!$B$6:$F$500,VLOOKUP(N$54,$L$7:$M$9,2,FALSE)+1,FALSE)*M70</f>
        <v>4534.4828500802605</v>
      </c>
      <c r="O70" s="209"/>
      <c r="P70" s="227">
        <f>VLOOKUP($B$48,Índices!$B$6:$F$500,VLOOKUP(P$54,$L$7:$M$9,2,FALSE)+1,FALSE)/VLOOKUP(DATE(YEAR($B70),MONTH($B70)-1,1),Índices!$B$6:$F$500,VLOOKUP(P$54,$L$7:$M$9,2,FALSE)+1,FALSE)*O70</f>
        <v>0</v>
      </c>
      <c r="Q70" s="209"/>
      <c r="R70" s="227">
        <f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77"/>
      <c r="V70" s="77"/>
      <c r="W70" s="77"/>
      <c r="X70" s="77"/>
    </row>
    <row r="71" spans="2:24" ht="14.25">
      <c r="B71" s="272">
        <f t="shared" si="6"/>
        <v>44409</v>
      </c>
      <c r="C71" s="209">
        <f ca="1">Encargos!C28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Encargos!D28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Encargos!E28</f>
        <v>374.76593365229019</v>
      </c>
      <c r="H71" s="227">
        <f ca="1">VLOOKUP($B$48,Índices!$B$6:$F$500,VLOOKUP(H$54,$L$7:$M$9,2,FALSE)+1,FALSE)/VLOOKUP(DATE(YEAR($B71),MONTH($B71)-1,1),Índices!$B$6:$F$500,VLOOKUP(H$54,$L$7:$M$9,2,FALSE)+1,FALSE)*G71</f>
        <v>410.63245469223932</v>
      </c>
      <c r="I71" s="209">
        <f ca="1">Encargos!F28</f>
        <v>22581.098886474909</v>
      </c>
      <c r="J71" s="227">
        <f ca="1">VLOOKUP($B$48,Índices!$B$6:$F$500,VLOOKUP(J$54,$L$7:$M$9,2,FALSE)+1,FALSE)/VLOOKUP(DATE(YEAR($B71),MONTH($B71)-1,1),Índices!$B$6:$F$500,VLOOKUP(J$54,$L$7:$M$9,2,FALSE)+1,FALSE)*I71</f>
        <v>24742.195682077359</v>
      </c>
      <c r="K71" s="209">
        <f ca="1">Encargos!J59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Encargos!G28</f>
        <v>3983.7921694108081</v>
      </c>
      <c r="N71" s="227">
        <f ca="1">VLOOKUP($B$48,Índices!$B$6:$F$500,VLOOKUP(N$54,$L$7:$M$9,2,FALSE)+1,FALSE)/VLOOKUP(DATE(YEAR($B71),MONTH($B71)-1,1),Índices!$B$6:$F$500,VLOOKUP(N$54,$L$7:$M$9,2,FALSE)+1,FALSE)*M71</f>
        <v>4365.0561873818933</v>
      </c>
      <c r="O71" s="209"/>
      <c r="P71" s="227">
        <f>VLOOKUP($B$48,Índices!$B$6:$F$500,VLOOKUP(P$54,$L$7:$M$9,2,FALSE)+1,FALSE)/VLOOKUP(DATE(YEAR($B71),MONTH($B71)-1,1),Índices!$B$6:$F$500,VLOOKUP(P$54,$L$7:$M$9,2,FALSE)+1,FALSE)*O71</f>
        <v>0</v>
      </c>
      <c r="Q71" s="209"/>
      <c r="R71" s="227">
        <f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77"/>
      <c r="V71" s="77"/>
      <c r="W71" s="77"/>
      <c r="X71" s="77"/>
    </row>
    <row r="72" spans="2:24" ht="14.25">
      <c r="B72" s="272">
        <f t="shared" si="6"/>
        <v>44440</v>
      </c>
      <c r="C72" s="209">
        <f ca="1">Encargos!C29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Encargos!D29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Encargos!E29</f>
        <v>135.03261815145697</v>
      </c>
      <c r="H72" s="227">
        <f ca="1">VLOOKUP($B$48,Índices!$B$6:$F$500,VLOOKUP(H$54,$L$7:$M$9,2,FALSE)+1,FALSE)/VLOOKUP(DATE(YEAR($B72),MONTH($B72)-1,1),Índices!$B$6:$F$500,VLOOKUP(H$54,$L$7:$M$9,2,FALSE)+1,FALSE)*G72</f>
        <v>146.67965686925257</v>
      </c>
      <c r="I72" s="209">
        <f ca="1">Encargos!F29</f>
        <v>8234.6943943849474</v>
      </c>
      <c r="J72" s="227">
        <f ca="1">VLOOKUP($B$48,Índices!$B$6:$F$500,VLOOKUP(J$54,$L$7:$M$9,2,FALSE)+1,FALSE)/VLOOKUP(DATE(YEAR($B72),MONTH($B72)-1,1),Índices!$B$6:$F$500,VLOOKUP(J$54,$L$7:$M$9,2,FALSE)+1,FALSE)*I72</f>
        <v>8944.9657773558411</v>
      </c>
      <c r="K72" s="209">
        <f ca="1">Encargos!J60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Encargos!G29</f>
        <v>1488.6515894885233</v>
      </c>
      <c r="N72" s="227">
        <f ca="1">VLOOKUP($B$48,Índices!$B$6:$F$500,VLOOKUP(N$54,$L$7:$M$9,2,FALSE)+1,FALSE)/VLOOKUP(DATE(YEAR($B72),MONTH($B72)-1,1),Índices!$B$6:$F$500,VLOOKUP(N$54,$L$7:$M$9,2,FALSE)+1,FALSE)*M72</f>
        <v>1617.053030099217</v>
      </c>
      <c r="O72" s="209"/>
      <c r="P72" s="227">
        <f>VLOOKUP($B$48,Índices!$B$6:$F$500,VLOOKUP(P$54,$L$7:$M$9,2,FALSE)+1,FALSE)/VLOOKUP(DATE(YEAR($B72),MONTH($B72)-1,1),Índices!$B$6:$F$500,VLOOKUP(P$54,$L$7:$M$9,2,FALSE)+1,FALSE)*O72</f>
        <v>0</v>
      </c>
      <c r="Q72" s="209"/>
      <c r="R72" s="227">
        <f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77"/>
      <c r="V72" s="77"/>
      <c r="W72" s="77"/>
      <c r="X72" s="77"/>
    </row>
    <row r="73" spans="2:24" ht="14.25">
      <c r="B73" s="272">
        <f t="shared" si="6"/>
        <v>44470</v>
      </c>
      <c r="C73" s="209">
        <f ca="1">Encargos!C30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Encargos!D30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Encargos!E30</f>
        <v>476.19346875328574</v>
      </c>
      <c r="H73" s="227">
        <f ca="1">VLOOKUP($B$48,Índices!$B$6:$F$500,VLOOKUP(H$54,$L$7:$M$9,2,FALSE)+1,FALSE)/VLOOKUP(DATE(YEAR($B73),MONTH($B73)-1,1),Índices!$B$6:$F$500,VLOOKUP(H$54,$L$7:$M$9,2,FALSE)+1,FALSE)*G73</f>
        <v>511.33552950450485</v>
      </c>
      <c r="I73" s="209">
        <f ca="1">Encargos!F30</f>
        <v>29240.766042344621</v>
      </c>
      <c r="J73" s="227">
        <f ca="1">VLOOKUP($B$48,Índices!$B$6:$F$500,VLOOKUP(J$54,$L$7:$M$9,2,FALSE)+1,FALSE)/VLOOKUP(DATE(YEAR($B73),MONTH($B73)-1,1),Índices!$B$6:$F$500,VLOOKUP(J$54,$L$7:$M$9,2,FALSE)+1,FALSE)*I73</f>
        <v>31398.672112250519</v>
      </c>
      <c r="K73" s="209">
        <f ca="1">Encargos!J61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Encargos!G30</f>
        <v>5337.9146092731098</v>
      </c>
      <c r="N73" s="227">
        <f ca="1">VLOOKUP($B$48,Índices!$B$6:$F$500,VLOOKUP(N$54,$L$7:$M$9,2,FALSE)+1,FALSE)/VLOOKUP(DATE(YEAR($B73),MONTH($B73)-1,1),Índices!$B$6:$F$500,VLOOKUP(N$54,$L$7:$M$9,2,FALSE)+1,FALSE)*M73</f>
        <v>5731.8413046034966</v>
      </c>
      <c r="O73" s="209"/>
      <c r="P73" s="227">
        <f>VLOOKUP($B$48,Índices!$B$6:$F$500,VLOOKUP(P$54,$L$7:$M$9,2,FALSE)+1,FALSE)/VLOOKUP(DATE(YEAR($B73),MONTH($B73)-1,1),Índices!$B$6:$F$500,VLOOKUP(P$54,$L$7:$M$9,2,FALSE)+1,FALSE)*O73</f>
        <v>0</v>
      </c>
      <c r="Q73" s="209"/>
      <c r="R73" s="227">
        <f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77"/>
      <c r="V73" s="77"/>
      <c r="W73" s="77"/>
      <c r="X73" s="77"/>
    </row>
    <row r="74" spans="2:24" ht="14.25">
      <c r="B74" s="272">
        <f t="shared" si="6"/>
        <v>44501</v>
      </c>
      <c r="C74" s="209">
        <f ca="1">Encargos!C31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Encargos!D31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Encargos!E31</f>
        <v>476.96525093644686</v>
      </c>
      <c r="H74" s="227">
        <f ca="1">VLOOKUP($B$48,Índices!$B$6:$F$500,VLOOKUP(H$54,$L$7:$M$9,2,FALSE)+1,FALSE)/VLOOKUP(DATE(YEAR($B74),MONTH($B74)-1,1),Índices!$B$6:$F$500,VLOOKUP(H$54,$L$7:$M$9,2,FALSE)+1,FALSE)*G74</f>
        <v>505.84147254008519</v>
      </c>
      <c r="I74" s="209">
        <f ca="1">Encargos!F31</f>
        <v>28690.604815014813</v>
      </c>
      <c r="J74" s="227">
        <f ca="1">VLOOKUP($B$48,Índices!$B$6:$F$500,VLOOKUP(J$54,$L$7:$M$9,2,FALSE)+1,FALSE)/VLOOKUP(DATE(YEAR($B74),MONTH($B74)-1,1),Índices!$B$6:$F$500,VLOOKUP(J$54,$L$7:$M$9,2,FALSE)+1,FALSE)*I74</f>
        <v>30427.578862818496</v>
      </c>
      <c r="K74" s="209">
        <f ca="1">Encargos!J62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Encargos!G31</f>
        <v>5044.3723933135552</v>
      </c>
      <c r="N74" s="227">
        <f ca="1">VLOOKUP($B$48,Índices!$B$6:$F$500,VLOOKUP(N$54,$L$7:$M$9,2,FALSE)+1,FALSE)/VLOOKUP(DATE(YEAR($B74),MONTH($B74)-1,1),Índices!$B$6:$F$500,VLOOKUP(N$54,$L$7:$M$9,2,FALSE)+1,FALSE)*M74</f>
        <v>5349.7665804049884</v>
      </c>
      <c r="O74" s="209"/>
      <c r="P74" s="227">
        <f>VLOOKUP($B$48,Índices!$B$6:$F$500,VLOOKUP(P$54,$L$7:$M$9,2,FALSE)+1,FALSE)/VLOOKUP(DATE(YEAR($B74),MONTH($B74)-1,1),Índices!$B$6:$F$500,VLOOKUP(P$54,$L$7:$M$9,2,FALSE)+1,FALSE)*O74</f>
        <v>0</v>
      </c>
      <c r="Q74" s="209"/>
      <c r="R74" s="227">
        <f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77"/>
      <c r="V74" s="77"/>
      <c r="W74" s="77"/>
      <c r="X74" s="77"/>
    </row>
    <row r="75" spans="2:24" ht="14.25">
      <c r="B75" s="272">
        <f t="shared" si="6"/>
        <v>44531</v>
      </c>
      <c r="C75" s="209">
        <f ca="1">Encargos!C32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Encargos!D32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Encargos!E32</f>
        <v>480.76316004176897</v>
      </c>
      <c r="H75" s="227">
        <f ca="1">VLOOKUP($B$48,Índices!$B$6:$F$500,VLOOKUP(H$54,$L$7:$M$9,2,FALSE)+1,FALSE)/VLOOKUP(DATE(YEAR($B75),MONTH($B75)-1,1),Índices!$B$6:$F$500,VLOOKUP(H$54,$L$7:$M$9,2,FALSE)+1,FALSE)*G75</f>
        <v>505.0707917894768</v>
      </c>
      <c r="I75" s="209">
        <f ca="1">Encargos!F32</f>
        <v>29355.361506632704</v>
      </c>
      <c r="J75" s="227">
        <f ca="1">VLOOKUP($B$48,Índices!$B$6:$F$500,VLOOKUP(J$54,$L$7:$M$9,2,FALSE)+1,FALSE)/VLOOKUP(DATE(YEAR($B75),MONTH($B75)-1,1),Índices!$B$6:$F$500,VLOOKUP(J$54,$L$7:$M$9,2,FALSE)+1,FALSE)*I75</f>
        <v>30839.583628107383</v>
      </c>
      <c r="K75" s="209">
        <f ca="1">Encargos!J63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Encargos!G32</f>
        <v>5303.9108983927217</v>
      </c>
      <c r="N75" s="227">
        <f ca="1">VLOOKUP($B$48,Índices!$B$6:$F$500,VLOOKUP(N$54,$L$7:$M$9,2,FALSE)+1,FALSE)/VLOOKUP(DATE(YEAR($B75),MONTH($B75)-1,1),Índices!$B$6:$F$500,VLOOKUP(N$54,$L$7:$M$9,2,FALSE)+1,FALSE)*M75</f>
        <v>5572.0793515029463</v>
      </c>
      <c r="O75" s="209"/>
      <c r="P75" s="227">
        <f>VLOOKUP($B$48,Índices!$B$6:$F$500,VLOOKUP(P$54,$L$7:$M$9,2,FALSE)+1,FALSE)/VLOOKUP(DATE(YEAR($B75),MONTH($B75)-1,1),Índices!$B$6:$F$500,VLOOKUP(P$54,$L$7:$M$9,2,FALSE)+1,FALSE)*O75</f>
        <v>0</v>
      </c>
      <c r="Q75" s="209"/>
      <c r="R75" s="227">
        <f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77"/>
      <c r="V75" s="77"/>
      <c r="W75" s="77"/>
      <c r="X75" s="77"/>
    </row>
    <row r="76" spans="2:24" ht="14.25">
      <c r="B76" s="272">
        <f t="shared" si="6"/>
        <v>44562</v>
      </c>
      <c r="C76" s="209">
        <f ca="1">Encargos!C33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Encargos!D33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Encargos!E33</f>
        <v>148.9688130484592</v>
      </c>
      <c r="H76" s="227">
        <f ca="1">VLOOKUP($B$48,Índices!$B$6:$F$500,VLOOKUP(H$54,$L$7:$M$9,2,FALSE)+1,FALSE)/VLOOKUP(DATE(YEAR($B76),MONTH($B76)-1,1),Índices!$B$6:$F$500,VLOOKUP(H$54,$L$7:$M$9,2,FALSE)+1,FALSE)*G76</f>
        <v>155.36664097469122</v>
      </c>
      <c r="I76" s="209">
        <f ca="1">Encargos!F33</f>
        <v>9202.782396491355</v>
      </c>
      <c r="J76" s="227">
        <f ca="1">VLOOKUP($B$48,Índices!$B$6:$F$500,VLOOKUP(J$54,$L$7:$M$9,2,FALSE)+1,FALSE)/VLOOKUP(DATE(YEAR($B76),MONTH($B76)-1,1),Índices!$B$6:$F$500,VLOOKUP(J$54,$L$7:$M$9,2,FALSE)+1,FALSE)*I76</f>
        <v>9598.0182650630959</v>
      </c>
      <c r="K76" s="209">
        <f ca="1">Encargos!J64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Encargos!G33</f>
        <v>1693.7272042111435</v>
      </c>
      <c r="N76" s="227">
        <f ca="1">VLOOKUP($B$48,Índices!$B$6:$F$500,VLOOKUP(N$54,$L$7:$M$9,2,FALSE)+1,FALSE)/VLOOKUP(DATE(YEAR($B76),MONTH($B76)-1,1),Índices!$B$6:$F$500,VLOOKUP(N$54,$L$7:$M$9,2,FALSE)+1,FALSE)*M76</f>
        <v>1766.4684376597579</v>
      </c>
      <c r="O76" s="209"/>
      <c r="P76" s="227">
        <f>VLOOKUP($B$48,Índices!$B$6:$F$500,VLOOKUP(P$54,$L$7:$M$9,2,FALSE)+1,FALSE)/VLOOKUP(DATE(YEAR($B76),MONTH($B76)-1,1),Índices!$B$6:$F$500,VLOOKUP(P$54,$L$7:$M$9,2,FALSE)+1,FALSE)*O76</f>
        <v>0</v>
      </c>
      <c r="Q76" s="209"/>
      <c r="R76" s="227">
        <f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77"/>
      <c r="V76" s="77"/>
      <c r="W76" s="77"/>
      <c r="X76" s="77"/>
    </row>
    <row r="77" spans="2:24" ht="14.25">
      <c r="B77" s="272">
        <f t="shared" si="6"/>
        <v>44593</v>
      </c>
      <c r="C77" s="209">
        <f ca="1">Encargos!C34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Encargos!D34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Encargos!E34</f>
        <v>-194.36230333348067</v>
      </c>
      <c r="H77" s="227">
        <f ca="1">VLOOKUP($B$48,Índices!$B$6:$F$500,VLOOKUP(H$54,$L$7:$M$9,2,FALSE)+1,FALSE)/VLOOKUP(DATE(YEAR($B77),MONTH($B77)-1,1),Índices!$B$6:$F$500,VLOOKUP(H$54,$L$7:$M$9,2,FALSE)+1,FALSE)*G77</f>
        <v>-201.62085370134469</v>
      </c>
      <c r="I77" s="209">
        <f ca="1">Encargos!F34</f>
        <v>-11518.072679613018</v>
      </c>
      <c r="J77" s="227">
        <f ca="1">VLOOKUP($B$48,Índices!$B$6:$F$500,VLOOKUP(J$54,$L$7:$M$9,2,FALSE)+1,FALSE)/VLOOKUP(DATE(YEAR($B77),MONTH($B77)-1,1),Índices!$B$6:$F$500,VLOOKUP(J$54,$L$7:$M$9,2,FALSE)+1,FALSE)*I77</f>
        <v>-11948.22044619018</v>
      </c>
      <c r="K77" s="209">
        <f ca="1">Encargos!J65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Encargos!G34</f>
        <v>-1973.8366783779784</v>
      </c>
      <c r="N77" s="227">
        <f ca="1">VLOOKUP($B$48,Índices!$B$6:$F$500,VLOOKUP(N$54,$L$7:$M$9,2,FALSE)+1,FALSE)/VLOOKUP(DATE(YEAR($B77),MONTH($B77)-1,1),Índices!$B$6:$F$500,VLOOKUP(N$54,$L$7:$M$9,2,FALSE)+1,FALSE)*M77</f>
        <v>-2047.5505246445655</v>
      </c>
      <c r="O77" s="209"/>
      <c r="P77" s="227">
        <f>VLOOKUP($B$48,Índices!$B$6:$F$500,VLOOKUP(P$54,$L$7:$M$9,2,FALSE)+1,FALSE)/VLOOKUP(DATE(YEAR($B77),MONTH($B77)-1,1),Índices!$B$6:$F$500,VLOOKUP(P$54,$L$7:$M$9,2,FALSE)+1,FALSE)*O77</f>
        <v>0</v>
      </c>
      <c r="Q77" s="209"/>
      <c r="R77" s="227">
        <f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77"/>
      <c r="V77" s="77"/>
      <c r="W77" s="77"/>
      <c r="X77" s="77"/>
    </row>
    <row r="78" spans="2:24" ht="14.25">
      <c r="B78" s="272">
        <f t="shared" si="6"/>
        <v>44621</v>
      </c>
      <c r="C78" s="209">
        <f ca="1">Encargos!C35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Encargos!D35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Encargos!E35</f>
        <v>-194.36230333348067</v>
      </c>
      <c r="H78" s="227">
        <f ca="1">VLOOKUP($B$48,Índices!$B$6:$F$500,VLOOKUP(H$54,$L$7:$M$9,2,FALSE)+1,FALSE)/VLOOKUP(DATE(YEAR($B78),MONTH($B78)-1,1),Índices!$B$6:$F$500,VLOOKUP(H$54,$L$7:$M$9,2,FALSE)+1,FALSE)*G78</f>
        <v>-199.60472301973974</v>
      </c>
      <c r="I78" s="209">
        <f ca="1">Encargos!F35</f>
        <v>-11518.072679613018</v>
      </c>
      <c r="J78" s="227">
        <f ca="1">VLOOKUP($B$48,Índices!$B$6:$F$500,VLOOKUP(J$54,$L$7:$M$9,2,FALSE)+1,FALSE)/VLOOKUP(DATE(YEAR($B78),MONTH($B78)-1,1),Índices!$B$6:$F$500,VLOOKUP(J$54,$L$7:$M$9,2,FALSE)+1,FALSE)*I78</f>
        <v>-11828.742855504912</v>
      </c>
      <c r="K78" s="209">
        <f ca="1">Encargos!J66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Encargos!G35</f>
        <v>-1973.8366783779784</v>
      </c>
      <c r="N78" s="227">
        <f ca="1">VLOOKUP($B$48,Índices!$B$6:$F$500,VLOOKUP(N$54,$L$7:$M$9,2,FALSE)+1,FALSE)/VLOOKUP(DATE(YEAR($B78),MONTH($B78)-1,1),Índices!$B$6:$F$500,VLOOKUP(N$54,$L$7:$M$9,2,FALSE)+1,FALSE)*M78</f>
        <v>-2027.075810054838</v>
      </c>
      <c r="O78" s="209"/>
      <c r="P78" s="227">
        <f>VLOOKUP($B$48,Índices!$B$6:$F$500,VLOOKUP(P$54,$L$7:$M$9,2,FALSE)+1,FALSE)/VLOOKUP(DATE(YEAR($B78),MONTH($B78)-1,1),Índices!$B$6:$F$500,VLOOKUP(P$54,$L$7:$M$9,2,FALSE)+1,FALSE)*O78</f>
        <v>0</v>
      </c>
      <c r="Q78" s="209"/>
      <c r="R78" s="227">
        <f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77"/>
      <c r="V78" s="77"/>
      <c r="W78" s="77"/>
      <c r="X78" s="77"/>
    </row>
    <row r="79" spans="2:24" ht="14.25">
      <c r="B79" s="272">
        <f t="shared" si="6"/>
        <v>44652</v>
      </c>
      <c r="C79" s="209">
        <f ca="1">Encargos!C36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Encargos!D36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Encargos!E36</f>
        <v>-194.36230333348067</v>
      </c>
      <c r="H79" s="227">
        <f ca="1">VLOOKUP($B$48,Índices!$B$6:$F$500,VLOOKUP(H$54,$L$7:$M$9,2,FALSE)+1,FALSE)/VLOOKUP(DATE(YEAR($B79),MONTH($B79)-1,1),Índices!$B$6:$F$500,VLOOKUP(H$54,$L$7:$M$9,2,FALSE)+1,FALSE)*G79</f>
        <v>-196.42257889197742</v>
      </c>
      <c r="I79" s="209">
        <f ca="1">Encargos!F36</f>
        <v>-11518.072679613018</v>
      </c>
      <c r="J79" s="227">
        <f ca="1">VLOOKUP($B$48,Índices!$B$6:$F$500,VLOOKUP(J$54,$L$7:$M$9,2,FALSE)+1,FALSE)/VLOOKUP(DATE(YEAR($B79),MONTH($B79)-1,1),Índices!$B$6:$F$500,VLOOKUP(J$54,$L$7:$M$9,2,FALSE)+1,FALSE)*I79</f>
        <v>-11640.166332630086</v>
      </c>
      <c r="K79" s="209">
        <f ca="1">Encargos!J67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Encargos!G36</f>
        <v>-1973.8366783779784</v>
      </c>
      <c r="N79" s="227">
        <f ca="1">VLOOKUP($B$48,Índices!$B$6:$F$500,VLOOKUP(N$54,$L$7:$M$9,2,FALSE)+1,FALSE)/VLOOKUP(DATE(YEAR($B79),MONTH($B79)-1,1),Índices!$B$6:$F$500,VLOOKUP(N$54,$L$7:$M$9,2,FALSE)+1,FALSE)*M79</f>
        <v>-1994.7597040634125</v>
      </c>
      <c r="O79" s="209"/>
      <c r="P79" s="227">
        <f>VLOOKUP($B$48,Índices!$B$6:$F$500,VLOOKUP(P$54,$L$7:$M$9,2,FALSE)+1,FALSE)/VLOOKUP(DATE(YEAR($B79),MONTH($B79)-1,1),Índices!$B$6:$F$500,VLOOKUP(P$54,$L$7:$M$9,2,FALSE)+1,FALSE)*O79</f>
        <v>0</v>
      </c>
      <c r="Q79" s="209"/>
      <c r="R79" s="227">
        <f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77"/>
      <c r="V79" s="77"/>
      <c r="W79" s="77"/>
      <c r="X79" s="77"/>
    </row>
    <row r="80" spans="2:24" ht="14.25">
      <c r="C80" s="1567">
        <f ca="1">SUM(C56:C79)</f>
        <v>0</v>
      </c>
      <c r="D80" s="1568">
        <f ca="1">SUM(D56:D79)</f>
        <v>0</v>
      </c>
      <c r="E80" s="1567">
        <f ca="1">SUM(E56:E79)</f>
        <v>0</v>
      </c>
      <c r="F80" s="1568">
        <f ca="1">SUM(F56:F79)</f>
        <v>0</v>
      </c>
      <c r="G80" s="1567">
        <f ca="1">SUM(G55:G79)</f>
        <v>2762.2092762831153</v>
      </c>
      <c r="H80" s="1567">
        <f t="shared" ref="H80:N80" ca="1" si="7">SUM(H55:H79)</f>
        <v>3034.2740746862569</v>
      </c>
      <c r="I80" s="1567">
        <f t="shared" ca="1" si="7"/>
        <v>167906.98492344245</v>
      </c>
      <c r="J80" s="1567">
        <f t="shared" ca="1" si="7"/>
        <v>184353.43642328435</v>
      </c>
      <c r="K80" s="1567">
        <f t="shared" ca="1" si="7"/>
        <v>0</v>
      </c>
      <c r="L80" s="1567">
        <f t="shared" ca="1" si="7"/>
        <v>0</v>
      </c>
      <c r="M80" s="1567">
        <f t="shared" ca="1" si="7"/>
        <v>30085.245734052565</v>
      </c>
      <c r="N80" s="1567">
        <f t="shared" ca="1" si="7"/>
        <v>33003.699825291988</v>
      </c>
      <c r="O80" s="1567">
        <f t="shared" ref="O80:T80" si="8">SUM(O55:O79)</f>
        <v>0</v>
      </c>
      <c r="P80" s="1567">
        <f t="shared" si="8"/>
        <v>0</v>
      </c>
      <c r="Q80" s="1567">
        <f t="shared" si="8"/>
        <v>0</v>
      </c>
      <c r="R80" s="1570">
        <f t="shared" si="8"/>
        <v>0</v>
      </c>
      <c r="S80" s="1567">
        <f t="shared" si="8"/>
        <v>0</v>
      </c>
      <c r="T80" s="1570">
        <f t="shared" si="8"/>
        <v>0</v>
      </c>
      <c r="U80" s="77"/>
      <c r="V80" s="77"/>
      <c r="W80" s="77"/>
      <c r="X80" s="77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7">
    <mergeCell ref="S22:T22"/>
    <mergeCell ref="U22:V22"/>
    <mergeCell ref="G22:H22"/>
    <mergeCell ref="I22:J22"/>
    <mergeCell ref="M53:N53"/>
    <mergeCell ref="O53:P53"/>
    <mergeCell ref="Q53:R53"/>
    <mergeCell ref="Q22:R22"/>
    <mergeCell ref="S53:T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N54 L54 J54 F54 H54 D54 N23 F23:F24 D23:D24 D12:J12 L23 P23 R23 T23 V23 P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1524</v>
      </c>
      <c r="C1" s="9" t="s">
        <v>1525</v>
      </c>
      <c r="D1" s="9" t="s">
        <v>1526</v>
      </c>
      <c r="E1" s="235" t="s">
        <v>1527</v>
      </c>
      <c r="F1" s="235" t="s">
        <v>1528</v>
      </c>
      <c r="G1" s="235" t="s">
        <v>1529</v>
      </c>
      <c r="H1" s="235" t="s">
        <v>1530</v>
      </c>
      <c r="I1" s="9" t="s">
        <v>232</v>
      </c>
      <c r="J1" s="9" t="s">
        <v>1531</v>
      </c>
      <c r="K1" s="9" t="s">
        <v>1532</v>
      </c>
      <c r="L1" s="9" t="s">
        <v>1533</v>
      </c>
      <c r="M1" s="9" t="s">
        <v>1534</v>
      </c>
      <c r="N1" s="9" t="s">
        <v>1040</v>
      </c>
      <c r="O1" s="9" t="s">
        <v>954</v>
      </c>
      <c r="P1" s="9" t="s">
        <v>1535</v>
      </c>
      <c r="Q1" s="8" t="s">
        <v>948</v>
      </c>
      <c r="R1" s="17" t="s">
        <v>1536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1525</v>
      </c>
      <c r="B1" t="s">
        <v>1039</v>
      </c>
      <c r="C1" t="s">
        <v>1537</v>
      </c>
      <c r="D1" t="s">
        <v>958</v>
      </c>
      <c r="E1" t="s">
        <v>1538</v>
      </c>
      <c r="F1" t="s">
        <v>58</v>
      </c>
      <c r="G1" t="s">
        <v>586</v>
      </c>
      <c r="H1" t="s">
        <v>1040</v>
      </c>
      <c r="I1" t="s">
        <v>120</v>
      </c>
      <c r="J1" t="s">
        <v>1529</v>
      </c>
      <c r="K1" t="s">
        <v>1539</v>
      </c>
      <c r="L1" t="s">
        <v>1540</v>
      </c>
      <c r="M1" t="s">
        <v>1541</v>
      </c>
      <c r="N1" t="s">
        <v>1050</v>
      </c>
      <c r="O1" t="s">
        <v>1542</v>
      </c>
      <c r="P1" t="s">
        <v>1543</v>
      </c>
      <c r="Q1" t="s">
        <v>1544</v>
      </c>
      <c r="R1" t="s">
        <v>1545</v>
      </c>
      <c r="S1" t="s">
        <v>232</v>
      </c>
      <c r="T1" t="s">
        <v>1546</v>
      </c>
      <c r="U1" t="s">
        <v>1547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I500"/>
  <sheetViews>
    <sheetView showGridLines="0" zoomScale="115" workbookViewId="0">
      <pane xSplit="1" ySplit="6" topLeftCell="B496" activePane="bottomRight" state="frozen"/>
      <selection pane="topRight" activeCell="B1" sqref="B1"/>
      <selection pane="bottomLeft" activeCell="A7" sqref="A7"/>
      <selection pane="bottomRight" activeCell="F18" sqref="F1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7" ht="15">
      <c r="B2" s="1571" t="s">
        <v>1548</v>
      </c>
      <c r="D2" s="3" t="s">
        <v>1549</v>
      </c>
    </row>
    <row r="3" spans="2:7">
      <c r="B3" s="5"/>
    </row>
    <row r="6" spans="2:7">
      <c r="B6" s="1572" t="s">
        <v>1550</v>
      </c>
      <c r="C6" s="1572" t="s">
        <v>1551</v>
      </c>
      <c r="D6" s="1572" t="s">
        <v>848</v>
      </c>
      <c r="E6" s="6" t="s">
        <v>1552</v>
      </c>
      <c r="F6" s="6" t="s">
        <v>1553</v>
      </c>
      <c r="G6" s="1573" t="s">
        <v>1554</v>
      </c>
    </row>
    <row r="7" spans="2:7">
      <c r="B7" s="1574">
        <v>32629</v>
      </c>
      <c r="C7" s="1575">
        <v>2.5789999999999999E-5</v>
      </c>
      <c r="D7" s="1575">
        <v>3.4132578959999998E-4</v>
      </c>
      <c r="E7" s="1575">
        <v>0</v>
      </c>
      <c r="F7" s="1575">
        <v>1</v>
      </c>
    </row>
    <row r="8" spans="2:7">
      <c r="B8" s="1574">
        <v>32660</v>
      </c>
      <c r="C8" s="1575">
        <v>3.0859999999999999E-5</v>
      </c>
      <c r="D8" s="1575">
        <v>4.3911559890000003E-4</v>
      </c>
      <c r="E8" s="1575">
        <v>0</v>
      </c>
      <c r="F8" s="1575">
        <v>1</v>
      </c>
      <c r="G8" s="10"/>
    </row>
    <row r="9" spans="2:7">
      <c r="B9" s="1574">
        <v>32690</v>
      </c>
      <c r="C9" s="1575">
        <v>4.1940000000000002E-5</v>
      </c>
      <c r="D9" s="1575">
        <v>5.6092617030000002E-4</v>
      </c>
      <c r="E9" s="1575">
        <v>0</v>
      </c>
      <c r="F9" s="1575">
        <v>1</v>
      </c>
    </row>
    <row r="10" spans="2:7">
      <c r="B10" s="1574">
        <v>32721</v>
      </c>
      <c r="C10" s="1575">
        <v>5.7429999999999997E-5</v>
      </c>
      <c r="D10" s="1575">
        <v>7.5001448160000002E-4</v>
      </c>
      <c r="E10" s="1575">
        <v>0</v>
      </c>
      <c r="F10" s="1575">
        <v>1</v>
      </c>
    </row>
    <row r="11" spans="2:7">
      <c r="B11" s="1574">
        <v>32752</v>
      </c>
      <c r="C11" s="1575">
        <v>8.0350000000000001E-5</v>
      </c>
      <c r="D11" s="1575">
        <v>1.031719911E-3</v>
      </c>
      <c r="E11" s="1575">
        <v>0</v>
      </c>
      <c r="F11" s="1575">
        <v>1</v>
      </c>
    </row>
    <row r="12" spans="2:7">
      <c r="B12" s="1574">
        <v>32782</v>
      </c>
      <c r="C12" s="1575">
        <v>1.13E-4</v>
      </c>
      <c r="D12" s="1575">
        <v>1.4420348808E-3</v>
      </c>
      <c r="E12" s="1575">
        <v>0</v>
      </c>
      <c r="F12" s="1575">
        <v>1</v>
      </c>
    </row>
    <row r="13" spans="2:7">
      <c r="B13" s="1574">
        <v>32813</v>
      </c>
      <c r="C13" s="1575">
        <v>1.5873999999999999E-4</v>
      </c>
      <c r="D13" s="1575">
        <v>2.1316159802999999E-3</v>
      </c>
      <c r="E13" s="1575">
        <v>0</v>
      </c>
      <c r="F13" s="1575">
        <v>1</v>
      </c>
    </row>
    <row r="14" spans="2:7">
      <c r="B14" s="1574">
        <v>32843</v>
      </c>
      <c r="C14" s="1575">
        <v>2.3356000000000001E-4</v>
      </c>
      <c r="D14" s="1575">
        <v>3.2293981927000001E-3</v>
      </c>
      <c r="E14" s="1575">
        <v>0</v>
      </c>
      <c r="F14" s="1575">
        <v>1</v>
      </c>
    </row>
    <row r="15" spans="2:7">
      <c r="B15" s="1574">
        <v>32874</v>
      </c>
      <c r="C15" s="1575">
        <v>3.7711E-4</v>
      </c>
      <c r="D15" s="1575">
        <v>5.4108567453999999E-3</v>
      </c>
      <c r="E15" s="1575">
        <v>0</v>
      </c>
      <c r="F15" s="1575">
        <v>1</v>
      </c>
    </row>
    <row r="16" spans="2:7">
      <c r="B16" s="1574">
        <v>32905</v>
      </c>
      <c r="C16" s="1575">
        <v>6.8364999999999995E-4</v>
      </c>
      <c r="D16" s="1575">
        <v>9.5084984832999996E-3</v>
      </c>
      <c r="E16" s="1575">
        <v>0</v>
      </c>
      <c r="F16" s="1575">
        <v>1</v>
      </c>
    </row>
    <row r="17" spans="2:6">
      <c r="B17" s="1574">
        <v>32933</v>
      </c>
      <c r="C17" s="1575">
        <v>1.2575500000000001E-3</v>
      </c>
      <c r="D17" s="1575">
        <v>1.7342550351000002E-2</v>
      </c>
      <c r="E17" s="1575">
        <v>0</v>
      </c>
      <c r="F17" s="1575">
        <v>1</v>
      </c>
    </row>
    <row r="18" spans="2:6">
      <c r="B18" s="1574">
        <v>32964</v>
      </c>
      <c r="C18" s="1575">
        <v>1.61407E-3</v>
      </c>
      <c r="D18" s="1575">
        <v>2.00341140678E-2</v>
      </c>
      <c r="E18" s="1575">
        <v>0</v>
      </c>
      <c r="F18" s="1575">
        <v>1</v>
      </c>
    </row>
    <row r="19" spans="2:6">
      <c r="B19" s="1574">
        <v>32994</v>
      </c>
      <c r="C19" s="1575">
        <v>1.70973E-3</v>
      </c>
      <c r="D19" s="1575">
        <v>2.1554703244099999E-2</v>
      </c>
      <c r="E19" s="1575">
        <v>0</v>
      </c>
      <c r="F19" s="1575">
        <v>1</v>
      </c>
    </row>
    <row r="20" spans="2:6">
      <c r="B20" s="1574">
        <v>33025</v>
      </c>
      <c r="C20" s="1575">
        <v>1.87962E-3</v>
      </c>
      <c r="D20" s="1575">
        <v>2.4087380951899998E-2</v>
      </c>
      <c r="E20" s="1575">
        <v>0</v>
      </c>
      <c r="F20" s="1575">
        <v>1</v>
      </c>
    </row>
    <row r="21" spans="2:6">
      <c r="B21" s="1574">
        <v>33055</v>
      </c>
      <c r="C21" s="1575">
        <v>2.10539E-3</v>
      </c>
      <c r="D21" s="1575">
        <v>2.7199470492E-2</v>
      </c>
      <c r="E21" s="1575">
        <v>0</v>
      </c>
      <c r="F21" s="1575">
        <v>1</v>
      </c>
    </row>
    <row r="22" spans="2:6">
      <c r="B22" s="1574">
        <v>33086</v>
      </c>
      <c r="C22" s="1575">
        <v>2.39215E-3</v>
      </c>
      <c r="D22" s="1575">
        <v>3.0702762318699998E-2</v>
      </c>
      <c r="E22" s="1575">
        <v>0</v>
      </c>
      <c r="F22" s="1575">
        <v>1</v>
      </c>
    </row>
    <row r="23" spans="2:6">
      <c r="B23" s="1574">
        <v>33117</v>
      </c>
      <c r="C23" s="1575">
        <v>2.6984000000000001E-3</v>
      </c>
      <c r="D23" s="1575">
        <v>3.51270304097E-2</v>
      </c>
      <c r="E23" s="1575">
        <v>0</v>
      </c>
      <c r="F23" s="1575">
        <v>1</v>
      </c>
    </row>
    <row r="24" spans="2:6">
      <c r="B24" s="1574">
        <v>33147</v>
      </c>
      <c r="C24" s="1575">
        <v>3.0483699999999999E-3</v>
      </c>
      <c r="D24" s="1575">
        <v>4.0171272055300002E-2</v>
      </c>
      <c r="E24" s="1575">
        <v>0</v>
      </c>
      <c r="F24" s="1575">
        <v>1</v>
      </c>
    </row>
    <row r="25" spans="2:6">
      <c r="B25" s="1574">
        <v>33178</v>
      </c>
      <c r="C25" s="1575">
        <v>3.5622900000000001E-3</v>
      </c>
      <c r="D25" s="1575">
        <v>4.6924062784199999E-2</v>
      </c>
      <c r="E25" s="1575">
        <v>0</v>
      </c>
      <c r="F25" s="1575">
        <v>1</v>
      </c>
    </row>
    <row r="26" spans="2:6">
      <c r="B26" s="1574">
        <v>33208</v>
      </c>
      <c r="C26" s="1575">
        <v>4.2034799999999999E-3</v>
      </c>
      <c r="D26" s="1575">
        <v>5.5576860018600002E-2</v>
      </c>
      <c r="E26" s="1575">
        <v>0</v>
      </c>
      <c r="F26" s="1575">
        <v>1</v>
      </c>
    </row>
    <row r="27" spans="2:6">
      <c r="B27" s="1574">
        <v>33239</v>
      </c>
      <c r="C27" s="1575">
        <v>4.9475200000000004E-3</v>
      </c>
      <c r="D27" s="1575">
        <v>6.7109058472399993E-2</v>
      </c>
      <c r="E27" s="1575">
        <v>0</v>
      </c>
      <c r="F27" s="1575">
        <v>1</v>
      </c>
    </row>
    <row r="28" spans="2:6">
      <c r="B28" s="1574">
        <v>33270</v>
      </c>
      <c r="C28" s="1575">
        <v>5.9873900000000004E-3</v>
      </c>
      <c r="D28" s="1575">
        <v>8.1014388849100005E-2</v>
      </c>
      <c r="E28" s="1575">
        <v>0</v>
      </c>
      <c r="F28" s="1575">
        <v>1</v>
      </c>
    </row>
    <row r="29" spans="2:6">
      <c r="B29" s="1574">
        <v>33298</v>
      </c>
      <c r="C29" s="1575">
        <v>6.5374099999999996E-3</v>
      </c>
      <c r="D29" s="1575">
        <v>9.0673647120300002E-2</v>
      </c>
      <c r="E29" s="1575">
        <v>0</v>
      </c>
      <c r="F29" s="1575">
        <v>1</v>
      </c>
    </row>
    <row r="30" spans="2:6">
      <c r="B30" s="1574">
        <v>33329</v>
      </c>
      <c r="C30" s="1575">
        <v>7.0477600000000001E-3</v>
      </c>
      <c r="D30" s="1575">
        <v>9.5197603525800006E-2</v>
      </c>
      <c r="E30" s="1575">
        <v>0</v>
      </c>
      <c r="F30" s="1575">
        <v>1</v>
      </c>
    </row>
    <row r="31" spans="2:6">
      <c r="B31" s="1574">
        <v>33359</v>
      </c>
      <c r="C31" s="1575">
        <v>7.57502E-3</v>
      </c>
      <c r="D31" s="1575">
        <v>0.10227253780620001</v>
      </c>
      <c r="E31" s="1575">
        <v>0</v>
      </c>
      <c r="F31" s="1575">
        <v>1</v>
      </c>
    </row>
    <row r="32" spans="2:6">
      <c r="B32" s="1574">
        <v>33390</v>
      </c>
      <c r="C32" s="1575">
        <v>8.2174099999999996E-3</v>
      </c>
      <c r="D32" s="1575">
        <v>0.113715813284</v>
      </c>
      <c r="E32" s="1575">
        <v>0</v>
      </c>
      <c r="F32" s="1575">
        <v>1</v>
      </c>
    </row>
    <row r="33" spans="2:6">
      <c r="B33" s="1574">
        <v>33420</v>
      </c>
      <c r="C33" s="1575">
        <v>9.3037399999999996E-3</v>
      </c>
      <c r="D33" s="1575">
        <v>0.12782677804270001</v>
      </c>
      <c r="E33" s="1575">
        <v>0</v>
      </c>
      <c r="F33" s="1575">
        <v>1</v>
      </c>
    </row>
    <row r="34" spans="2:6">
      <c r="B34" s="1574">
        <v>33451</v>
      </c>
      <c r="C34" s="1575">
        <v>1.072268E-2</v>
      </c>
      <c r="D34" s="1575">
        <v>0.14780665921940001</v>
      </c>
      <c r="E34" s="1576">
        <v>0</v>
      </c>
      <c r="F34" s="1576">
        <v>1</v>
      </c>
    </row>
    <row r="35" spans="2:6">
      <c r="B35" s="1574">
        <v>33482</v>
      </c>
      <c r="C35" s="1575">
        <v>1.232337E-2</v>
      </c>
      <c r="D35" s="1575">
        <v>0.17090995992909999</v>
      </c>
      <c r="E35" s="1576">
        <v>0</v>
      </c>
      <c r="F35" s="1576">
        <v>1</v>
      </c>
    </row>
    <row r="36" spans="2:6">
      <c r="B36" s="1574">
        <v>33512</v>
      </c>
      <c r="C36" s="1575">
        <v>1.5112230000000001E-2</v>
      </c>
      <c r="D36" s="1575">
        <v>0.20548432454660001</v>
      </c>
      <c r="E36" s="1576">
        <v>0</v>
      </c>
      <c r="F36" s="1576">
        <v>1</v>
      </c>
    </row>
    <row r="37" spans="2:6">
      <c r="B37" s="1574">
        <v>33543</v>
      </c>
      <c r="C37" s="1575">
        <v>1.8984250000000001E-2</v>
      </c>
      <c r="D37" s="1575">
        <v>0.2572875157699</v>
      </c>
      <c r="E37" s="1576">
        <v>0</v>
      </c>
      <c r="F37" s="1576">
        <v>1</v>
      </c>
    </row>
    <row r="38" spans="2:6">
      <c r="B38" s="1574">
        <v>33573</v>
      </c>
      <c r="C38" s="1575">
        <v>2.347107E-2</v>
      </c>
      <c r="D38" s="1575">
        <v>0.31828867732630001</v>
      </c>
      <c r="E38" s="1576">
        <v>0</v>
      </c>
      <c r="F38" s="1576">
        <v>1</v>
      </c>
    </row>
    <row r="39" spans="2:6">
      <c r="B39" s="1574">
        <v>33604</v>
      </c>
      <c r="C39" s="1575">
        <v>2.9000140000000001E-2</v>
      </c>
      <c r="D39" s="1575">
        <v>0.40085366056990002</v>
      </c>
      <c r="E39" s="1576">
        <v>0</v>
      </c>
      <c r="F39" s="1576">
        <v>1</v>
      </c>
    </row>
    <row r="40" spans="2:6">
      <c r="B40" s="1574">
        <v>33635</v>
      </c>
      <c r="C40" s="1575">
        <v>3.7078809999999997E-2</v>
      </c>
      <c r="D40" s="1575">
        <v>0.49834103072840003</v>
      </c>
      <c r="E40" s="1576">
        <v>0</v>
      </c>
      <c r="F40" s="1576">
        <v>1</v>
      </c>
    </row>
    <row r="41" spans="2:6">
      <c r="B41" s="1574">
        <v>33664</v>
      </c>
      <c r="C41" s="1575">
        <v>4.501144E-2</v>
      </c>
      <c r="D41" s="1575">
        <v>0.60498746741809994</v>
      </c>
      <c r="E41" s="1576">
        <v>0</v>
      </c>
      <c r="F41" s="1576">
        <v>1</v>
      </c>
    </row>
    <row r="42" spans="2:6">
      <c r="B42" s="1574">
        <v>33695</v>
      </c>
      <c r="C42" s="1575">
        <v>5.3986060000000002E-2</v>
      </c>
      <c r="D42" s="1575">
        <v>0.72556146522830001</v>
      </c>
      <c r="E42" s="1576">
        <v>0</v>
      </c>
      <c r="F42" s="1576">
        <v>1</v>
      </c>
    </row>
    <row r="43" spans="2:6">
      <c r="B43" s="1574">
        <v>33725</v>
      </c>
      <c r="C43" s="1575">
        <v>6.5012799999999996E-2</v>
      </c>
      <c r="D43" s="1575">
        <v>0.90593616441860003</v>
      </c>
      <c r="E43" s="1576">
        <v>0</v>
      </c>
      <c r="F43" s="1576">
        <v>1</v>
      </c>
    </row>
    <row r="44" spans="2:6">
      <c r="B44" s="1574">
        <v>33756</v>
      </c>
      <c r="C44" s="1575">
        <v>8.0361459999999996E-2</v>
      </c>
      <c r="D44" s="1575">
        <v>1.0890285720637001</v>
      </c>
      <c r="E44" s="1576">
        <v>0</v>
      </c>
      <c r="F44" s="1576">
        <v>1</v>
      </c>
    </row>
    <row r="45" spans="2:6">
      <c r="B45" s="1574">
        <v>33786</v>
      </c>
      <c r="C45" s="1575">
        <v>9.7908469999999997E-2</v>
      </c>
      <c r="D45" s="1575">
        <v>1.3267641484791</v>
      </c>
      <c r="E45" s="1576">
        <v>0</v>
      </c>
      <c r="F45" s="1576">
        <v>1</v>
      </c>
    </row>
    <row r="46" spans="2:6">
      <c r="B46" s="1574">
        <v>33817</v>
      </c>
      <c r="C46" s="1575">
        <v>0.12202180999999999</v>
      </c>
      <c r="D46" s="1575">
        <v>1.6205100844213001</v>
      </c>
      <c r="E46" s="1576">
        <v>0</v>
      </c>
      <c r="F46" s="1576">
        <v>1</v>
      </c>
    </row>
    <row r="47" spans="2:6">
      <c r="B47" s="1574">
        <v>33848</v>
      </c>
      <c r="C47" s="1575">
        <v>0.15285811999999999</v>
      </c>
      <c r="D47" s="1575">
        <v>2.0196408623306001</v>
      </c>
      <c r="E47" s="1576">
        <v>0</v>
      </c>
      <c r="F47" s="1576">
        <v>1</v>
      </c>
    </row>
    <row r="48" spans="2:6">
      <c r="B48" s="1574">
        <v>33878</v>
      </c>
      <c r="C48" s="1575">
        <v>0.19376498</v>
      </c>
      <c r="D48" s="1575">
        <v>2.5293973801068002</v>
      </c>
      <c r="E48" s="1576">
        <v>0</v>
      </c>
      <c r="F48" s="1576">
        <v>1</v>
      </c>
    </row>
    <row r="49" spans="2:6">
      <c r="B49" s="1574">
        <v>33909</v>
      </c>
      <c r="C49" s="1575">
        <v>0.23916162999999999</v>
      </c>
      <c r="D49" s="1575">
        <v>3.0982598885127999</v>
      </c>
      <c r="E49" s="1576">
        <v>0</v>
      </c>
      <c r="F49" s="1576">
        <v>1</v>
      </c>
    </row>
    <row r="50" spans="2:6">
      <c r="B50" s="1574">
        <v>33939</v>
      </c>
      <c r="C50" s="1575">
        <v>0.29913278999999998</v>
      </c>
      <c r="D50" s="1575">
        <v>3.8802596550900001</v>
      </c>
      <c r="E50" s="1576">
        <v>0</v>
      </c>
      <c r="F50" s="1576">
        <v>1</v>
      </c>
    </row>
    <row r="51" spans="2:6">
      <c r="B51" s="1574">
        <v>33970</v>
      </c>
      <c r="C51" s="1575">
        <v>0.37638683000000001</v>
      </c>
      <c r="D51" s="1575">
        <v>5.0579166458253004</v>
      </c>
      <c r="E51" s="1576">
        <v>0</v>
      </c>
      <c r="F51" s="1576">
        <v>1</v>
      </c>
    </row>
    <row r="52" spans="2:6">
      <c r="B52" s="1574">
        <v>34001</v>
      </c>
      <c r="C52" s="1575">
        <v>0.48335073000000001</v>
      </c>
      <c r="D52" s="1575">
        <v>6.3213843084293</v>
      </c>
      <c r="E52" s="1576">
        <v>0</v>
      </c>
      <c r="F52" s="1576">
        <v>1</v>
      </c>
    </row>
    <row r="53" spans="2:6">
      <c r="B53" s="1574">
        <v>34029</v>
      </c>
      <c r="C53" s="1575">
        <v>0.61023090000000002</v>
      </c>
      <c r="D53" s="1575">
        <v>8.0445948724788998</v>
      </c>
      <c r="E53" s="1576">
        <v>0</v>
      </c>
      <c r="F53" s="1576">
        <v>1</v>
      </c>
    </row>
    <row r="54" spans="2:6">
      <c r="B54" s="1574">
        <v>34060</v>
      </c>
      <c r="C54" s="1575">
        <v>0.78617482000000005</v>
      </c>
      <c r="D54" s="1575">
        <v>10.2769672819025</v>
      </c>
      <c r="E54" s="1576">
        <v>0</v>
      </c>
      <c r="F54" s="1576">
        <v>1</v>
      </c>
    </row>
    <row r="55" spans="2:6">
      <c r="B55" s="1574">
        <v>34090</v>
      </c>
      <c r="C55" s="1575">
        <v>1.01968087</v>
      </c>
      <c r="D55" s="1575">
        <v>13.1226581300609</v>
      </c>
      <c r="E55" s="1576">
        <v>0</v>
      </c>
      <c r="F55" s="1576">
        <v>1</v>
      </c>
    </row>
    <row r="56" spans="2:6">
      <c r="B56" s="1574">
        <v>34121</v>
      </c>
      <c r="C56" s="1575">
        <v>1.3408208699999999</v>
      </c>
      <c r="D56" s="1575">
        <v>17.068642979808899</v>
      </c>
      <c r="E56" s="1576">
        <v>0</v>
      </c>
      <c r="F56" s="1576">
        <v>1</v>
      </c>
    </row>
    <row r="57" spans="2:6">
      <c r="B57" s="1574">
        <v>34151</v>
      </c>
      <c r="C57" s="1575">
        <v>1.75984608</v>
      </c>
      <c r="D57" s="1575">
        <v>22.312130761236201</v>
      </c>
      <c r="E57" s="1576">
        <v>0</v>
      </c>
      <c r="F57" s="1576">
        <v>1</v>
      </c>
    </row>
    <row r="58" spans="2:6">
      <c r="B58" s="1574">
        <v>34182</v>
      </c>
      <c r="C58" s="1575">
        <v>2.31923637</v>
      </c>
      <c r="D58" s="1575">
        <v>29.666210936414501</v>
      </c>
      <c r="E58" s="1576">
        <v>0</v>
      </c>
      <c r="F58" s="1576">
        <v>1</v>
      </c>
    </row>
    <row r="59" spans="2:6">
      <c r="B59" s="1574">
        <v>34213</v>
      </c>
      <c r="C59" s="1575">
        <v>3.1375231000000001</v>
      </c>
      <c r="D59" s="1575">
        <v>40.254080730946797</v>
      </c>
      <c r="E59" s="1576">
        <v>0</v>
      </c>
      <c r="F59" s="1576">
        <v>1</v>
      </c>
    </row>
    <row r="60" spans="2:6">
      <c r="B60" s="1574">
        <v>34243</v>
      </c>
      <c r="C60" s="1575">
        <v>4.2367972299999996</v>
      </c>
      <c r="D60" s="1575">
        <v>53.908264834853298</v>
      </c>
      <c r="E60" s="1576">
        <v>0</v>
      </c>
      <c r="F60" s="1576">
        <v>1</v>
      </c>
    </row>
    <row r="61" spans="2:6">
      <c r="B61" s="1574">
        <v>34274</v>
      </c>
      <c r="C61" s="1575">
        <v>5.7685216500000003</v>
      </c>
      <c r="D61" s="1575">
        <v>73.078046584524003</v>
      </c>
      <c r="E61" s="1576">
        <v>0</v>
      </c>
      <c r="F61" s="1576">
        <v>1</v>
      </c>
    </row>
    <row r="62" spans="2:6">
      <c r="B62" s="1574">
        <v>34304</v>
      </c>
      <c r="C62" s="1575">
        <v>7.9792505900000004</v>
      </c>
      <c r="D62" s="1575">
        <v>100</v>
      </c>
      <c r="E62" s="1576">
        <v>0</v>
      </c>
      <c r="F62" s="1576">
        <v>1</v>
      </c>
    </row>
    <row r="63" spans="2:6">
      <c r="B63" s="1574">
        <v>34335</v>
      </c>
      <c r="C63" s="1575">
        <v>11.0967647</v>
      </c>
      <c r="D63" s="1575">
        <v>141.31</v>
      </c>
      <c r="E63" s="1576">
        <v>0</v>
      </c>
      <c r="F63" s="1576">
        <v>1</v>
      </c>
    </row>
    <row r="64" spans="2:6">
      <c r="B64" s="1574">
        <v>34366</v>
      </c>
      <c r="C64" s="1575">
        <v>15.62186911</v>
      </c>
      <c r="D64" s="1575">
        <v>198.22</v>
      </c>
      <c r="E64" s="1576">
        <v>0</v>
      </c>
      <c r="F64" s="1576">
        <v>1</v>
      </c>
    </row>
    <row r="65" spans="2:6">
      <c r="B65" s="1574">
        <v>34394</v>
      </c>
      <c r="C65" s="1575">
        <v>22.762782099999999</v>
      </c>
      <c r="D65" s="1575">
        <v>282.95999999999998</v>
      </c>
      <c r="E65" s="1576">
        <v>0</v>
      </c>
      <c r="F65" s="1576">
        <v>1</v>
      </c>
    </row>
    <row r="66" spans="2:6">
      <c r="B66" s="1574">
        <v>34425</v>
      </c>
      <c r="C66" s="1575">
        <v>32.074938510000003</v>
      </c>
      <c r="D66" s="1575">
        <v>403.73</v>
      </c>
      <c r="E66" s="1576">
        <v>0</v>
      </c>
      <c r="F66" s="1576">
        <v>1</v>
      </c>
    </row>
    <row r="67" spans="2:6">
      <c r="B67" s="1574">
        <v>34455</v>
      </c>
      <c r="C67" s="1575">
        <v>45.731576959999998</v>
      </c>
      <c r="D67" s="1575">
        <v>581.49</v>
      </c>
      <c r="E67" s="1576">
        <v>0</v>
      </c>
      <c r="F67" s="1576">
        <v>1</v>
      </c>
    </row>
    <row r="68" spans="2:6">
      <c r="B68" s="1574">
        <v>34486</v>
      </c>
      <c r="C68" s="1575">
        <v>66.408212939999999</v>
      </c>
      <c r="D68" s="1575">
        <v>857.29</v>
      </c>
      <c r="E68" s="1576">
        <v>0</v>
      </c>
      <c r="F68" s="1576">
        <v>1</v>
      </c>
    </row>
    <row r="69" spans="2:6">
      <c r="B69" s="1574">
        <v>34516</v>
      </c>
      <c r="C69" s="1575">
        <v>92.968426030000003</v>
      </c>
      <c r="D69" s="1575">
        <v>915.93</v>
      </c>
      <c r="E69" s="1576">
        <v>0</v>
      </c>
      <c r="F69" s="1576">
        <v>1</v>
      </c>
    </row>
    <row r="70" spans="2:6">
      <c r="B70" s="1574">
        <v>34547</v>
      </c>
      <c r="C70" s="1575">
        <v>100</v>
      </c>
      <c r="D70" s="1575">
        <v>932.97</v>
      </c>
      <c r="E70" s="1576">
        <v>1.0417031360600404</v>
      </c>
      <c r="F70" s="1576">
        <v>1.0417031360600404</v>
      </c>
    </row>
    <row r="71" spans="2:6">
      <c r="B71" s="1574">
        <v>34578</v>
      </c>
      <c r="C71" s="1575">
        <v>101.751</v>
      </c>
      <c r="D71" s="1575">
        <v>947.24</v>
      </c>
      <c r="E71" s="1576">
        <v>1.040191380612066</v>
      </c>
      <c r="F71" s="1576">
        <v>1.0835706232862121</v>
      </c>
    </row>
    <row r="72" spans="2:6">
      <c r="B72" s="1574">
        <v>34608</v>
      </c>
      <c r="C72" s="1575">
        <v>103.602</v>
      </c>
      <c r="D72" s="1575">
        <v>972.06</v>
      </c>
      <c r="E72" s="1576">
        <v>1.0400235119965635</v>
      </c>
      <c r="F72" s="1576">
        <v>1.1269389251264317</v>
      </c>
    </row>
    <row r="73" spans="2:6">
      <c r="B73" s="1574">
        <v>34639</v>
      </c>
      <c r="C73" s="1575">
        <v>106.553</v>
      </c>
      <c r="D73" s="1575">
        <v>999.37</v>
      </c>
      <c r="E73" s="1576">
        <v>1.0448704061969656</v>
      </c>
      <c r="F73" s="1576">
        <v>1.1775051324560264</v>
      </c>
    </row>
    <row r="74" spans="2:6">
      <c r="B74" s="1574">
        <v>34669</v>
      </c>
      <c r="C74" s="1575">
        <v>107.45</v>
      </c>
      <c r="D74" s="1575">
        <v>1016.46</v>
      </c>
      <c r="E74" s="1576">
        <v>1.0379749903132509</v>
      </c>
      <c r="F74" s="1576">
        <v>1.2222208784548472</v>
      </c>
    </row>
    <row r="75" spans="2:6">
      <c r="B75" s="1574">
        <v>34700</v>
      </c>
      <c r="C75" s="1575">
        <v>108.44199999999999</v>
      </c>
      <c r="D75" s="1575">
        <v>1033.74</v>
      </c>
      <c r="E75" s="1576">
        <v>1.033745155557255</v>
      </c>
      <c r="F75" s="1576">
        <v>1.2634649121236308</v>
      </c>
    </row>
    <row r="76" spans="2:6">
      <c r="B76" s="1574">
        <v>34731</v>
      </c>
      <c r="C76" s="1575">
        <v>109.9455</v>
      </c>
      <c r="D76" s="1575">
        <v>1044.28</v>
      </c>
      <c r="E76" s="1576">
        <v>1.0361946548110796</v>
      </c>
      <c r="F76" s="1576">
        <v>1.3091955884838566</v>
      </c>
    </row>
    <row r="77" spans="2:6">
      <c r="B77" s="1574">
        <v>34759</v>
      </c>
      <c r="C77" s="1575">
        <v>111.178</v>
      </c>
      <c r="D77" s="1575">
        <v>1060.47</v>
      </c>
      <c r="E77" s="1576">
        <v>1.0426211014987152</v>
      </c>
      <c r="F77" s="1576">
        <v>1.3649949465422972</v>
      </c>
    </row>
    <row r="78" spans="2:6">
      <c r="B78" s="1574">
        <v>34790</v>
      </c>
      <c r="C78" s="1575">
        <v>113.518</v>
      </c>
      <c r="D78" s="1575">
        <v>1086.24</v>
      </c>
      <c r="E78" s="1576">
        <v>1.0502446731743562</v>
      </c>
      <c r="F78" s="1576">
        <v>1.4335786715159629</v>
      </c>
    </row>
    <row r="79" spans="2:6">
      <c r="B79" s="1574">
        <v>34820</v>
      </c>
      <c r="C79" s="1575">
        <v>114.17100000000001</v>
      </c>
      <c r="D79" s="1575">
        <v>1115.24</v>
      </c>
      <c r="E79" s="1576">
        <v>1.0450356278102417</v>
      </c>
      <c r="F79" s="1576">
        <v>1.4981407870030565</v>
      </c>
    </row>
    <row r="80" spans="2:6">
      <c r="B80" s="1574">
        <v>34851</v>
      </c>
      <c r="C80" s="1575">
        <v>116.98399999999999</v>
      </c>
      <c r="D80" s="1575">
        <v>1140.44</v>
      </c>
      <c r="E80" s="1576">
        <v>1.0423602226147934</v>
      </c>
      <c r="F80" s="1576">
        <v>1.5616023642488079</v>
      </c>
    </row>
    <row r="81" spans="2:7">
      <c r="B81" s="1574">
        <v>34881</v>
      </c>
      <c r="C81" s="1575">
        <v>119.114</v>
      </c>
      <c r="D81" s="1575">
        <v>1167.3499999999999</v>
      </c>
      <c r="E81" s="1576">
        <v>1.0402311780170954</v>
      </c>
      <c r="F81" s="1576">
        <v>1.6244274669568188</v>
      </c>
    </row>
    <row r="82" spans="2:7">
      <c r="B82" s="1574">
        <v>34912</v>
      </c>
      <c r="C82" s="1575">
        <v>121.729</v>
      </c>
      <c r="D82" s="1575">
        <v>1178.9100000000001</v>
      </c>
      <c r="E82" s="1575">
        <v>1.0383979241220025</v>
      </c>
      <c r="F82" s="1575">
        <v>1.6868021095747234</v>
      </c>
      <c r="G82" s="7">
        <v>41036.512291666666</v>
      </c>
    </row>
    <row r="83" spans="2:7">
      <c r="B83" s="1574">
        <v>34943</v>
      </c>
      <c r="C83" s="1575">
        <v>120.869</v>
      </c>
      <c r="D83" s="1575">
        <v>1190.58</v>
      </c>
      <c r="E83" s="1575">
        <v>1.0349384575781275</v>
      </c>
      <c r="F83" s="1575">
        <v>1.745736373522796</v>
      </c>
    </row>
    <row r="84" spans="2:7">
      <c r="B84" s="1574">
        <v>34973</v>
      </c>
      <c r="C84" s="1575">
        <v>121.503</v>
      </c>
      <c r="D84" s="1575">
        <v>1207.3699999999999</v>
      </c>
      <c r="E84" s="1575">
        <v>1.0324041438440343</v>
      </c>
      <c r="F84" s="1575">
        <v>1.8023054660841915</v>
      </c>
    </row>
    <row r="85" spans="2:7">
      <c r="B85" s="1574">
        <v>35004</v>
      </c>
      <c r="C85" s="1575">
        <v>122.955</v>
      </c>
      <c r="D85" s="1575">
        <v>1225.1199999999999</v>
      </c>
      <c r="E85" s="1575">
        <v>1.0316999077357936</v>
      </c>
      <c r="F85" s="1575">
        <v>1.8594383830707768</v>
      </c>
    </row>
    <row r="86" spans="2:7">
      <c r="B86" s="1574">
        <v>35034</v>
      </c>
      <c r="C86" s="1575">
        <v>123.833</v>
      </c>
      <c r="D86" s="1575">
        <v>1244.23</v>
      </c>
      <c r="E86" s="1575">
        <v>1.0292086837764389</v>
      </c>
      <c r="F86" s="1575">
        <v>1.913750130803664</v>
      </c>
    </row>
    <row r="87" spans="2:7">
      <c r="B87" s="1574">
        <v>35065</v>
      </c>
      <c r="C87" s="1575">
        <v>125.977</v>
      </c>
      <c r="D87" s="1575">
        <v>1260.9000000000001</v>
      </c>
      <c r="E87" s="1575">
        <v>1.0271429062533448</v>
      </c>
      <c r="F87" s="1575">
        <v>1.9656948711963942</v>
      </c>
    </row>
    <row r="88" spans="2:7">
      <c r="B88" s="1574">
        <v>35096</v>
      </c>
      <c r="C88" s="1575">
        <v>127.202</v>
      </c>
      <c r="D88" s="1575">
        <v>1273.8900000000001</v>
      </c>
      <c r="E88" s="1575">
        <v>1.026088709032714</v>
      </c>
      <c r="F88" s="1575">
        <v>2.0169773127381352</v>
      </c>
    </row>
    <row r="89" spans="2:7">
      <c r="B89" s="1574">
        <v>35125</v>
      </c>
      <c r="C89" s="1575">
        <v>127.715</v>
      </c>
      <c r="D89" s="1575">
        <v>1278.3499999999999</v>
      </c>
      <c r="E89" s="1575">
        <v>1.0222082178682002</v>
      </c>
      <c r="F89" s="1575">
        <v>2.0617707843346404</v>
      </c>
    </row>
    <row r="90" spans="2:7">
      <c r="B90" s="1574">
        <v>35156</v>
      </c>
      <c r="C90" s="1575">
        <v>128.13</v>
      </c>
      <c r="D90" s="1575">
        <v>1294.46</v>
      </c>
      <c r="E90" s="1575">
        <v>1.0227569082086725</v>
      </c>
      <c r="F90" s="1575">
        <v>2.1086903128210666</v>
      </c>
    </row>
    <row r="91" spans="2:7">
      <c r="B91" s="1574">
        <v>35186</v>
      </c>
      <c r="C91" s="1575">
        <v>130.12100000000001</v>
      </c>
      <c r="D91" s="1575">
        <v>1310.25</v>
      </c>
      <c r="E91" s="1575">
        <v>1.0210626514511167</v>
      </c>
      <c r="F91" s="1575">
        <v>2.1531049218983629</v>
      </c>
    </row>
    <row r="92" spans="2:7">
      <c r="B92" s="1574">
        <v>35217</v>
      </c>
      <c r="C92" s="1575">
        <v>131.44499999999999</v>
      </c>
      <c r="D92" s="1575">
        <v>1325.84</v>
      </c>
      <c r="E92" s="1575">
        <v>1.020826552130859</v>
      </c>
      <c r="F92" s="1575">
        <v>2.1979466737974884</v>
      </c>
    </row>
    <row r="93" spans="2:7">
      <c r="B93" s="1574">
        <v>35247</v>
      </c>
      <c r="C93" s="1575">
        <v>133.21299999999999</v>
      </c>
      <c r="D93" s="1575">
        <v>1340.56</v>
      </c>
      <c r="E93" s="1575">
        <v>1.0192856968560815</v>
      </c>
      <c r="F93" s="1575">
        <v>2.2403356070541793</v>
      </c>
    </row>
    <row r="94" spans="2:7">
      <c r="B94" s="1574">
        <v>35278</v>
      </c>
      <c r="C94" s="1575">
        <v>133.58699999999999</v>
      </c>
      <c r="D94" s="1575">
        <v>1346.46</v>
      </c>
      <c r="E94" s="1575">
        <v>1.0196791435025818</v>
      </c>
      <c r="F94" s="1575">
        <v>2.2844234929593421</v>
      </c>
    </row>
    <row r="95" spans="2:7">
      <c r="B95" s="1574">
        <v>35309</v>
      </c>
      <c r="C95" s="1575">
        <v>133.72200000000001</v>
      </c>
      <c r="D95" s="1575">
        <v>1348.48</v>
      </c>
      <c r="E95" s="1575">
        <v>1.0190405257020327</v>
      </c>
      <c r="F95" s="1575">
        <v>2.3279201171913617</v>
      </c>
    </row>
    <row r="96" spans="2:7">
      <c r="B96" s="1574">
        <v>35339</v>
      </c>
      <c r="C96" s="1575">
        <v>133.97800000000001</v>
      </c>
      <c r="D96" s="1575">
        <v>1352.53</v>
      </c>
      <c r="E96" s="1575">
        <v>1.0194350405573067</v>
      </c>
      <c r="F96" s="1575">
        <v>2.3731633390831459</v>
      </c>
    </row>
    <row r="97" spans="2:6">
      <c r="B97" s="1574">
        <v>35370</v>
      </c>
      <c r="C97" s="1575">
        <v>134.24199999999999</v>
      </c>
      <c r="D97" s="1575">
        <v>1356.86</v>
      </c>
      <c r="E97" s="1575">
        <v>1.018952291397875</v>
      </c>
      <c r="F97" s="1575">
        <v>2.4181402222202037</v>
      </c>
    </row>
    <row r="98" spans="2:6">
      <c r="B98" s="1574">
        <v>35400</v>
      </c>
      <c r="C98" s="1575">
        <v>135.22499999999999</v>
      </c>
      <c r="D98" s="1575">
        <v>1363.24</v>
      </c>
      <c r="E98" s="1575">
        <v>1.0189221360623306</v>
      </c>
      <c r="F98" s="1575">
        <v>2.4638966005228489</v>
      </c>
    </row>
    <row r="99" spans="2:6">
      <c r="B99" s="1574">
        <v>35431</v>
      </c>
      <c r="C99" s="1575">
        <v>137.613</v>
      </c>
      <c r="D99" s="1575">
        <v>1379.33</v>
      </c>
      <c r="E99" s="1575">
        <v>1.0182168360386268</v>
      </c>
      <c r="F99" s="1575">
        <v>2.5087810009107034</v>
      </c>
    </row>
    <row r="100" spans="2:6">
      <c r="B100" s="1574">
        <v>35462</v>
      </c>
      <c r="C100" s="1575">
        <v>138.20400000000001</v>
      </c>
      <c r="D100" s="1575">
        <v>1386.23</v>
      </c>
      <c r="E100" s="1575">
        <v>1.018615977536991</v>
      </c>
      <c r="F100" s="1575">
        <v>2.5554844116688868</v>
      </c>
    </row>
    <row r="101" spans="2:6">
      <c r="B101" s="1574">
        <v>35490</v>
      </c>
      <c r="C101" s="1575">
        <v>139.79499999999999</v>
      </c>
      <c r="D101" s="1575">
        <v>1393.3</v>
      </c>
      <c r="E101" s="1575">
        <v>1.0181653196053577</v>
      </c>
      <c r="F101" s="1575">
        <v>2.6019056027533618</v>
      </c>
    </row>
    <row r="102" spans="2:6">
      <c r="B102" s="1574">
        <v>35521</v>
      </c>
      <c r="C102" s="1575">
        <v>140.74199999999999</v>
      </c>
      <c r="D102" s="1575">
        <v>1405.56</v>
      </c>
      <c r="E102" s="1575">
        <v>1.0174130782041242</v>
      </c>
      <c r="F102" s="1575">
        <v>2.6472127884938548</v>
      </c>
    </row>
    <row r="103" spans="2:6">
      <c r="B103" s="1574">
        <v>35551</v>
      </c>
      <c r="C103" s="1575">
        <v>141.04</v>
      </c>
      <c r="D103" s="1575">
        <v>1411.32</v>
      </c>
      <c r="E103" s="1575">
        <v>1.0173859708262292</v>
      </c>
      <c r="F103" s="1575">
        <v>2.6932371528054295</v>
      </c>
    </row>
    <row r="104" spans="2:6">
      <c r="B104" s="1574">
        <v>35582</v>
      </c>
      <c r="C104" s="1575">
        <v>142.09</v>
      </c>
      <c r="D104" s="1575">
        <v>1418.94</v>
      </c>
      <c r="E104" s="1575">
        <v>1.0160683269749473</v>
      </c>
      <c r="F104" s="1575">
        <v>2.7365129679977831</v>
      </c>
    </row>
    <row r="105" spans="2:6">
      <c r="B105" s="1574">
        <v>35612</v>
      </c>
      <c r="C105" s="1575">
        <v>142.221</v>
      </c>
      <c r="D105" s="1575">
        <v>1422.06</v>
      </c>
      <c r="E105" s="1575">
        <v>1.0160384417373229</v>
      </c>
      <c r="F105" s="1575">
        <v>2.7804023717984441</v>
      </c>
    </row>
    <row r="106" spans="2:6">
      <c r="B106" s="1574">
        <v>35643</v>
      </c>
      <c r="C106" s="1575">
        <v>142.35300000000001</v>
      </c>
      <c r="D106" s="1575">
        <v>1421.78</v>
      </c>
      <c r="E106" s="1575">
        <v>1.0158585469231169</v>
      </c>
      <c r="F106" s="1575">
        <v>2.8244955132767555</v>
      </c>
    </row>
    <row r="107" spans="2:6">
      <c r="B107" s="1574">
        <v>35674</v>
      </c>
      <c r="C107" s="1575">
        <v>143.042</v>
      </c>
      <c r="D107" s="1575">
        <v>1422.63</v>
      </c>
      <c r="E107" s="1575">
        <v>1.0159028051900765</v>
      </c>
      <c r="F107" s="1575">
        <v>2.869412915184641</v>
      </c>
    </row>
    <row r="108" spans="2:6">
      <c r="B108" s="1574">
        <v>35704</v>
      </c>
      <c r="C108" s="1575">
        <v>143.56700000000001</v>
      </c>
      <c r="D108" s="1575">
        <v>1425.9</v>
      </c>
      <c r="E108" s="1575">
        <v>1.0167288802763557</v>
      </c>
      <c r="F108" s="1575">
        <v>2.9174149803061935</v>
      </c>
    </row>
    <row r="109" spans="2:6">
      <c r="B109" s="1574">
        <v>35735</v>
      </c>
      <c r="C109" s="1575">
        <v>144.48099999999999</v>
      </c>
      <c r="D109" s="1575">
        <v>1428.32</v>
      </c>
      <c r="E109" s="1575">
        <v>1.0304347964479648</v>
      </c>
      <c r="F109" s="1575">
        <v>3.0062059113860555</v>
      </c>
    </row>
    <row r="110" spans="2:6">
      <c r="B110" s="1574">
        <v>35765</v>
      </c>
      <c r="C110" s="1575">
        <v>145.69499999999999</v>
      </c>
      <c r="D110" s="1575">
        <v>1434.46</v>
      </c>
      <c r="E110" s="1575">
        <v>1.0311549813439238</v>
      </c>
      <c r="F110" s="1575">
        <v>3.0998642004712815</v>
      </c>
    </row>
    <row r="111" spans="2:6">
      <c r="B111" s="1574">
        <v>35796</v>
      </c>
      <c r="C111" s="1575">
        <v>147.09100000000001</v>
      </c>
      <c r="D111" s="1575">
        <v>1444.64</v>
      </c>
      <c r="E111" s="1575">
        <v>1.0280960413836384</v>
      </c>
      <c r="F111" s="1575">
        <v>3.1869581133313818</v>
      </c>
    </row>
    <row r="112" spans="2:6">
      <c r="B112" s="1574">
        <v>35827</v>
      </c>
      <c r="C112" s="1575">
        <v>147.35599999999999</v>
      </c>
      <c r="D112" s="1575">
        <v>1451.29</v>
      </c>
      <c r="E112" s="1575">
        <v>1.0236711069024262</v>
      </c>
      <c r="F112" s="1575">
        <v>3.2623969395256034</v>
      </c>
    </row>
    <row r="113" spans="2:6">
      <c r="B113" s="1574">
        <v>35855</v>
      </c>
      <c r="C113" s="1575">
        <v>147.63499999999999</v>
      </c>
      <c r="D113" s="1575">
        <v>1456.22</v>
      </c>
      <c r="E113" s="1575">
        <v>1.0220072916308196</v>
      </c>
      <c r="F113" s="1575">
        <v>3.3341934603892365</v>
      </c>
    </row>
    <row r="114" spans="2:6">
      <c r="B114" s="1574">
        <v>35886</v>
      </c>
      <c r="C114" s="1575">
        <v>147.821</v>
      </c>
      <c r="D114" s="1575">
        <v>1459.71</v>
      </c>
      <c r="E114" s="1575">
        <v>1.0199031041694671</v>
      </c>
      <c r="F114" s="1575">
        <v>3.4005542601525192</v>
      </c>
    </row>
    <row r="115" spans="2:6">
      <c r="B115" s="1574">
        <v>35916</v>
      </c>
      <c r="C115" s="1575">
        <v>148.02099999999999</v>
      </c>
      <c r="D115" s="1575">
        <v>1467.01</v>
      </c>
      <c r="E115" s="1575">
        <v>1.0171306475499944</v>
      </c>
      <c r="F115" s="1575">
        <v>3.4588079566578238</v>
      </c>
    </row>
    <row r="116" spans="2:6">
      <c r="B116" s="1574">
        <v>35947</v>
      </c>
      <c r="C116" s="1575">
        <v>148.58799999999999</v>
      </c>
      <c r="D116" s="1575">
        <v>1467.3</v>
      </c>
      <c r="E116" s="1575">
        <v>1.0167959651913006</v>
      </c>
      <c r="F116" s="1575">
        <v>3.5169019747012422</v>
      </c>
    </row>
    <row r="117" spans="2:6">
      <c r="B117" s="1574">
        <v>35977</v>
      </c>
      <c r="C117" s="1575">
        <v>148.339</v>
      </c>
      <c r="D117" s="1575">
        <v>1465.54</v>
      </c>
      <c r="E117" s="1575">
        <v>1.0170373206405035</v>
      </c>
      <c r="F117" s="1575">
        <v>3.5768205613054471</v>
      </c>
    </row>
    <row r="118" spans="2:6">
      <c r="B118" s="1574">
        <v>36008</v>
      </c>
      <c r="C118" s="1575">
        <v>148.10900000000001</v>
      </c>
      <c r="D118" s="1575">
        <v>1458.07</v>
      </c>
      <c r="E118" s="1575">
        <v>1.0147631694962493</v>
      </c>
      <c r="F118" s="1575">
        <v>3.6296257695096692</v>
      </c>
    </row>
    <row r="119" spans="2:6">
      <c r="B119" s="1574">
        <v>36039</v>
      </c>
      <c r="C119" s="1575">
        <v>147.98400000000001</v>
      </c>
      <c r="D119" s="1575">
        <v>1454.86</v>
      </c>
      <c r="E119" s="1575">
        <v>1.0255896332244516</v>
      </c>
      <c r="F119" s="1575">
        <v>3.7225065616934394</v>
      </c>
    </row>
    <row r="120" spans="2:6">
      <c r="B120" s="1574">
        <v>36069</v>
      </c>
      <c r="C120" s="1575">
        <v>148.1</v>
      </c>
      <c r="D120" s="1575">
        <v>1455.15</v>
      </c>
      <c r="E120" s="1575">
        <v>1.0308188720930029</v>
      </c>
      <c r="F120" s="1575">
        <v>3.8372300152836338</v>
      </c>
    </row>
    <row r="121" spans="2:6">
      <c r="B121" s="1574">
        <v>36100</v>
      </c>
      <c r="C121" s="1575">
        <v>147.62799999999999</v>
      </c>
      <c r="D121" s="1575">
        <v>1453.4</v>
      </c>
      <c r="E121" s="1575">
        <v>1.0277678356785036</v>
      </c>
      <c r="F121" s="1575">
        <v>3.9437815878086515</v>
      </c>
    </row>
    <row r="122" spans="2:6">
      <c r="B122" s="1574">
        <v>36130</v>
      </c>
      <c r="C122" s="1575">
        <v>148.291</v>
      </c>
      <c r="D122" s="1575">
        <v>1458.2</v>
      </c>
      <c r="E122" s="1575">
        <v>1.025049538167373</v>
      </c>
      <c r="F122" s="1575">
        <v>4.0425714952162473</v>
      </c>
    </row>
    <row r="123" spans="2:6">
      <c r="B123" s="1574">
        <v>36161</v>
      </c>
      <c r="C123" s="1575">
        <v>149.53299999999999</v>
      </c>
      <c r="D123" s="1575">
        <v>1468.41</v>
      </c>
      <c r="E123" s="1575">
        <v>1.022811290449001</v>
      </c>
      <c r="F123" s="1575">
        <v>4.1347877677544771</v>
      </c>
    </row>
    <row r="124" spans="2:6">
      <c r="B124" s="1574">
        <v>36192</v>
      </c>
      <c r="C124" s="1575">
        <v>154.93299999999999</v>
      </c>
      <c r="D124" s="1575">
        <v>1483.83</v>
      </c>
      <c r="E124" s="1575">
        <v>1.0264662861429437</v>
      </c>
      <c r="F124" s="1575">
        <v>4.2442202439562102</v>
      </c>
    </row>
    <row r="125" spans="2:6">
      <c r="B125" s="1574">
        <v>36220</v>
      </c>
      <c r="C125" s="1575">
        <v>159.32499999999999</v>
      </c>
      <c r="D125" s="1575">
        <v>1500.15</v>
      </c>
      <c r="E125" s="1575">
        <v>1.033345195070198</v>
      </c>
      <c r="F125" s="1575">
        <v>4.3857445959118131</v>
      </c>
    </row>
    <row r="126" spans="2:6">
      <c r="B126" s="1574">
        <v>36251</v>
      </c>
      <c r="C126" s="1575">
        <v>160.459</v>
      </c>
      <c r="D126" s="1575">
        <v>1508.55</v>
      </c>
      <c r="E126" s="1575">
        <v>1.027563660965396</v>
      </c>
      <c r="F126" s="1575">
        <v>4.5066317730343437</v>
      </c>
    </row>
    <row r="127" spans="2:6">
      <c r="B127" s="1574">
        <v>36281</v>
      </c>
      <c r="C127" s="1575">
        <v>159.99600000000001</v>
      </c>
      <c r="D127" s="1575">
        <v>1513.08</v>
      </c>
      <c r="E127" s="1575">
        <v>1.0201883000304468</v>
      </c>
      <c r="F127" s="1575">
        <v>4.5976130073951058</v>
      </c>
    </row>
    <row r="128" spans="2:6">
      <c r="B128" s="1574">
        <v>36312</v>
      </c>
      <c r="C128" s="1575">
        <v>160.57300000000001</v>
      </c>
      <c r="D128" s="1575">
        <v>1515.95</v>
      </c>
      <c r="E128" s="1575">
        <v>1.0175637707499077</v>
      </c>
      <c r="F128" s="1575">
        <v>4.6783644282537873</v>
      </c>
    </row>
    <row r="129" spans="2:6">
      <c r="B129" s="1574">
        <v>36342</v>
      </c>
      <c r="C129" s="1575">
        <v>163.06</v>
      </c>
      <c r="D129" s="1575">
        <v>1532.47</v>
      </c>
      <c r="E129" s="1575">
        <v>1.0165876375704719</v>
      </c>
      <c r="F129" s="1575">
        <v>4.7559674418122491</v>
      </c>
    </row>
    <row r="130" spans="2:6">
      <c r="B130" s="1574">
        <v>36373</v>
      </c>
      <c r="C130" s="1575">
        <v>165.60300000000001</v>
      </c>
      <c r="D130" s="1575">
        <v>1541.05</v>
      </c>
      <c r="E130" s="1575">
        <v>1.0156847483880824</v>
      </c>
      <c r="F130" s="1575">
        <v>4.8305635944789866</v>
      </c>
    </row>
    <row r="131" spans="2:6">
      <c r="B131" s="1574">
        <v>36404</v>
      </c>
      <c r="C131" s="1575">
        <v>167.99700000000001</v>
      </c>
      <c r="D131" s="1575">
        <v>1545.83</v>
      </c>
      <c r="E131" s="1575">
        <v>1.0155901672784533</v>
      </c>
      <c r="F131" s="1575">
        <v>4.9058728889661207</v>
      </c>
    </row>
    <row r="132" spans="2:6">
      <c r="B132" s="1574">
        <v>36434</v>
      </c>
      <c r="C132" s="1575">
        <v>170.86099999999999</v>
      </c>
      <c r="D132" s="1575">
        <v>1564.23</v>
      </c>
      <c r="E132" s="1575">
        <v>1.0145370189540868</v>
      </c>
      <c r="F132" s="1575">
        <v>4.9771896561393616</v>
      </c>
    </row>
    <row r="133" spans="2:6">
      <c r="B133" s="1574">
        <v>36465</v>
      </c>
      <c r="C133" s="1575">
        <v>174.93899999999999</v>
      </c>
      <c r="D133" s="1575">
        <v>1579.09</v>
      </c>
      <c r="E133" s="1575">
        <v>1.0152599173733607</v>
      </c>
      <c r="F133" s="1575">
        <v>5.0531411590435944</v>
      </c>
    </row>
    <row r="134" spans="2:6">
      <c r="B134" s="1574">
        <v>36495</v>
      </c>
      <c r="C134" s="1575">
        <v>178.09899999999999</v>
      </c>
      <c r="D134" s="1575">
        <v>1588.56</v>
      </c>
      <c r="E134" s="1575">
        <v>1.0159962861507461</v>
      </c>
      <c r="F134" s="1575">
        <v>5.1339726509837682</v>
      </c>
    </row>
    <row r="135" spans="2:6">
      <c r="B135" s="1574">
        <v>36526</v>
      </c>
      <c r="C135" s="1575">
        <v>180.30099999999999</v>
      </c>
      <c r="D135" s="1575">
        <v>1598.41</v>
      </c>
      <c r="E135" s="1575">
        <v>1.0145573263269665</v>
      </c>
      <c r="F135" s="1575">
        <v>5.20870956621786</v>
      </c>
    </row>
    <row r="136" spans="2:6">
      <c r="B136" s="1574">
        <v>36557</v>
      </c>
      <c r="C136" s="1575">
        <v>180.935</v>
      </c>
      <c r="D136" s="1575">
        <v>1600.49</v>
      </c>
      <c r="E136" s="1575">
        <v>1.0145089461247463</v>
      </c>
      <c r="F136" s="1575">
        <v>5.2842824526935654</v>
      </c>
    </row>
    <row r="137" spans="2:6">
      <c r="B137" s="1574">
        <v>36586</v>
      </c>
      <c r="C137" s="1575">
        <v>181.214</v>
      </c>
      <c r="D137" s="1575">
        <v>1604.01</v>
      </c>
      <c r="E137" s="1575">
        <v>1.0158860407835757</v>
      </c>
      <c r="F137" s="1575">
        <v>5.3682287792489891</v>
      </c>
    </row>
    <row r="138" spans="2:6">
      <c r="B138" s="1574">
        <v>36617</v>
      </c>
      <c r="C138" s="1575">
        <v>181.63499999999999</v>
      </c>
      <c r="D138" s="1575">
        <v>1610.75</v>
      </c>
      <c r="E138" s="1575">
        <v>1.0136441914221253</v>
      </c>
      <c r="F138" s="1575">
        <v>5.4414739203108242</v>
      </c>
    </row>
    <row r="139" spans="2:6">
      <c r="B139" s="1574">
        <v>36647</v>
      </c>
      <c r="C139" s="1575">
        <v>182.18899999999999</v>
      </c>
      <c r="D139" s="1575">
        <v>1610.91</v>
      </c>
      <c r="E139" s="1575">
        <v>1.0156265899953318</v>
      </c>
      <c r="F139" s="1575">
        <v>5.5265056022338124</v>
      </c>
    </row>
    <row r="140" spans="2:6">
      <c r="B140" s="1574">
        <v>36678</v>
      </c>
      <c r="C140" s="1575">
        <v>183.745</v>
      </c>
      <c r="D140" s="1575">
        <v>1614.62</v>
      </c>
      <c r="E140" s="1575">
        <v>1.0145668910909638</v>
      </c>
      <c r="F140" s="1575">
        <v>5.6070096074551534</v>
      </c>
    </row>
    <row r="141" spans="2:6">
      <c r="B141" s="1574">
        <v>36708</v>
      </c>
      <c r="C141" s="1575">
        <v>186.63399999999999</v>
      </c>
      <c r="D141" s="1575">
        <v>1640.62</v>
      </c>
      <c r="E141" s="1575">
        <v>1.0130599958288005</v>
      </c>
      <c r="F141" s="1575">
        <v>5.6802371295405623</v>
      </c>
    </row>
    <row r="142" spans="2:6">
      <c r="B142" s="1574">
        <v>36739</v>
      </c>
      <c r="C142" s="1575">
        <v>191.08699999999999</v>
      </c>
      <c r="D142" s="1575">
        <v>1662.11</v>
      </c>
      <c r="E142" s="1575">
        <v>1.0140543715890855</v>
      </c>
      <c r="F142" s="1575">
        <v>5.7600692928732462</v>
      </c>
    </row>
    <row r="143" spans="2:6">
      <c r="B143" s="1574">
        <v>36770</v>
      </c>
      <c r="C143" s="1575">
        <v>193.297</v>
      </c>
      <c r="D143" s="1575">
        <v>1665.93</v>
      </c>
      <c r="E143" s="1575">
        <v>1.0128508890656427</v>
      </c>
      <c r="F143" s="1575">
        <v>5.8340913043663756</v>
      </c>
    </row>
    <row r="144" spans="2:6">
      <c r="B144" s="1574">
        <v>36800</v>
      </c>
      <c r="C144" s="1575">
        <v>194.04</v>
      </c>
      <c r="D144" s="1575">
        <v>1668.26</v>
      </c>
      <c r="E144" s="1575">
        <v>1.013495295624836</v>
      </c>
      <c r="F144" s="1575">
        <v>5.9128240912210845</v>
      </c>
    </row>
    <row r="145" spans="2:6">
      <c r="B145" s="1574">
        <v>36831</v>
      </c>
      <c r="C145" s="1575">
        <v>194.59899999999999</v>
      </c>
      <c r="D145" s="1575">
        <v>1673.6</v>
      </c>
      <c r="E145" s="1575">
        <v>1.013431060777086</v>
      </c>
      <c r="F145" s="1575">
        <v>5.992239590954493</v>
      </c>
    </row>
    <row r="146" spans="2:6">
      <c r="B146" s="1574">
        <v>36861</v>
      </c>
      <c r="C146" s="1575">
        <v>195.827</v>
      </c>
      <c r="D146" s="1575">
        <v>1683.47</v>
      </c>
      <c r="E146" s="1575">
        <v>1.0125716392096709</v>
      </c>
      <c r="F146" s="1575">
        <v>6.0675718651498789</v>
      </c>
    </row>
    <row r="147" spans="2:6">
      <c r="B147" s="1574">
        <v>36892</v>
      </c>
      <c r="C147" s="1575">
        <v>197.04499999999999</v>
      </c>
      <c r="D147" s="1575">
        <v>1693.07</v>
      </c>
      <c r="E147" s="1575">
        <v>1.0126506879847863</v>
      </c>
      <c r="F147" s="1575">
        <v>6.144330823641158</v>
      </c>
    </row>
    <row r="148" spans="2:6">
      <c r="B148" s="1574">
        <v>36923</v>
      </c>
      <c r="C148" s="1575">
        <v>197.49100000000001</v>
      </c>
      <c r="D148" s="1575">
        <v>1700.86</v>
      </c>
      <c r="E148" s="1575">
        <v>1.0101583510827936</v>
      </c>
      <c r="F148" s="1575">
        <v>6.206747093316535</v>
      </c>
    </row>
    <row r="149" spans="2:6">
      <c r="B149" s="1574">
        <v>36951</v>
      </c>
      <c r="C149" s="1575">
        <v>198.60599999999999</v>
      </c>
      <c r="D149" s="1575">
        <v>1707.32</v>
      </c>
      <c r="E149" s="1575">
        <v>1.0125785495836725</v>
      </c>
      <c r="F149" s="1575">
        <v>6.2848189693831324</v>
      </c>
    </row>
    <row r="150" spans="2:6">
      <c r="B150" s="1574">
        <v>36982</v>
      </c>
      <c r="C150" s="1575">
        <v>200.59100000000001</v>
      </c>
      <c r="D150" s="1575">
        <v>1717.22</v>
      </c>
      <c r="E150" s="1575">
        <v>1.0118637336714187</v>
      </c>
      <c r="F150" s="1575">
        <v>6.3593803878089741</v>
      </c>
    </row>
    <row r="151" spans="2:6">
      <c r="B151" s="1574">
        <v>37012</v>
      </c>
      <c r="C151" s="1575">
        <v>202.32400000000001</v>
      </c>
      <c r="D151" s="1575">
        <v>1724.26</v>
      </c>
      <c r="E151" s="1575">
        <v>1.0133677002760824</v>
      </c>
      <c r="F151" s="1575">
        <v>6.4443906787748011</v>
      </c>
    </row>
    <row r="152" spans="2:6">
      <c r="B152" s="1574">
        <v>37043</v>
      </c>
      <c r="C152" s="1575">
        <v>204.31</v>
      </c>
      <c r="D152" s="1575">
        <v>1733.23</v>
      </c>
      <c r="E152" s="1575">
        <v>1.0127331554566117</v>
      </c>
      <c r="F152" s="1575">
        <v>6.5264481071107801</v>
      </c>
    </row>
    <row r="153" spans="2:6">
      <c r="B153" s="1574">
        <v>37073</v>
      </c>
      <c r="C153" s="1575">
        <v>207.34100000000001</v>
      </c>
      <c r="D153" s="1575">
        <v>1756.28</v>
      </c>
      <c r="E153" s="1575">
        <v>1.014979822756394</v>
      </c>
      <c r="F153" s="1575">
        <v>6.6242131429841029</v>
      </c>
    </row>
    <row r="154" spans="2:6">
      <c r="B154" s="1574">
        <v>37104</v>
      </c>
      <c r="C154" s="1575">
        <v>210.21100000000001</v>
      </c>
      <c r="D154" s="1575">
        <v>1768.57</v>
      </c>
      <c r="E154" s="1575">
        <v>1.0160000122718875</v>
      </c>
      <c r="F154" s="1575">
        <v>6.7302006345634471</v>
      </c>
    </row>
    <row r="155" spans="2:6">
      <c r="B155" s="1574">
        <v>37135</v>
      </c>
      <c r="C155" s="1575">
        <v>210.85300000000001</v>
      </c>
      <c r="D155" s="1575">
        <v>1773.52</v>
      </c>
      <c r="E155" s="1575">
        <v>1.013243107438228</v>
      </c>
      <c r="F155" s="1575">
        <v>6.8193294046478012</v>
      </c>
    </row>
    <row r="156" spans="2:6">
      <c r="B156" s="1574">
        <v>37165</v>
      </c>
      <c r="C156" s="1575">
        <v>213.339</v>
      </c>
      <c r="D156" s="1575">
        <v>1788.24</v>
      </c>
      <c r="E156" s="1575">
        <v>1.0153493751182632</v>
      </c>
      <c r="F156" s="1575">
        <v>6.9240018497347426</v>
      </c>
    </row>
    <row r="157" spans="2:6">
      <c r="B157" s="1574">
        <v>37196</v>
      </c>
      <c r="C157" s="1575">
        <v>215.685</v>
      </c>
      <c r="D157" s="1575">
        <v>1800.94</v>
      </c>
      <c r="E157" s="1575">
        <v>1.0139343824698488</v>
      </c>
      <c r="F157" s="1575">
        <v>7.0204835397308871</v>
      </c>
    </row>
    <row r="158" spans="2:6">
      <c r="B158" s="1574">
        <v>37226</v>
      </c>
      <c r="C158" s="1575">
        <v>216.16300000000001</v>
      </c>
      <c r="D158" s="1575">
        <v>1812.65</v>
      </c>
      <c r="E158" s="1575">
        <v>1.0139354159682339</v>
      </c>
      <c r="F158" s="1575">
        <v>7.1183168981551761</v>
      </c>
    </row>
    <row r="159" spans="2:6">
      <c r="B159" s="1574">
        <v>37257</v>
      </c>
      <c r="C159" s="1575">
        <v>216.94399999999999</v>
      </c>
      <c r="D159" s="1575">
        <v>1822.08</v>
      </c>
      <c r="E159" s="1575">
        <v>1.0153395939759675</v>
      </c>
      <c r="F159" s="1575">
        <v>7.2275089891651447</v>
      </c>
    </row>
    <row r="160" spans="2:6">
      <c r="B160" s="1574">
        <v>37288</v>
      </c>
      <c r="C160" s="1575">
        <v>217.07400000000001</v>
      </c>
      <c r="D160" s="1575">
        <v>1828.64</v>
      </c>
      <c r="E160" s="1575">
        <v>1.012482154231837</v>
      </c>
      <c r="F160" s="1575">
        <v>7.3177238710798918</v>
      </c>
    </row>
    <row r="161" spans="2:6">
      <c r="B161" s="1574">
        <v>37316</v>
      </c>
      <c r="C161" s="1575">
        <v>217.27600000000001</v>
      </c>
      <c r="D161" s="1575">
        <v>1839.61</v>
      </c>
      <c r="E161" s="1575">
        <v>1.013713327882185</v>
      </c>
      <c r="F161" s="1575">
        <v>7.4180742178753025</v>
      </c>
    </row>
    <row r="162" spans="2:6">
      <c r="B162" s="1574">
        <v>37347</v>
      </c>
      <c r="C162" s="1575">
        <v>218.48599999999999</v>
      </c>
      <c r="D162" s="1575">
        <v>1854.33</v>
      </c>
      <c r="E162" s="1575">
        <v>1.0148356719718208</v>
      </c>
      <c r="F162" s="1575">
        <v>7.5281263336343214</v>
      </c>
    </row>
    <row r="163" spans="2:6">
      <c r="B163" s="1574">
        <v>37377</v>
      </c>
      <c r="C163" s="1575">
        <v>220.292</v>
      </c>
      <c r="D163" s="1575">
        <v>1858.22</v>
      </c>
      <c r="E163" s="1575">
        <v>1.0141498936566418</v>
      </c>
      <c r="F163" s="1575">
        <v>7.6346485206890113</v>
      </c>
    </row>
    <row r="164" spans="2:6">
      <c r="B164" s="1574">
        <v>37408</v>
      </c>
      <c r="C164" s="1575">
        <v>223.68799999999999</v>
      </c>
      <c r="D164" s="1575">
        <v>1866.02</v>
      </c>
      <c r="E164" s="1575">
        <v>1.0132903281280037</v>
      </c>
      <c r="F164" s="1575">
        <v>7.7361155046709458</v>
      </c>
    </row>
    <row r="165" spans="2:6">
      <c r="B165" s="1574">
        <v>37438</v>
      </c>
      <c r="C165" s="1575">
        <v>228.05699999999999</v>
      </c>
      <c r="D165" s="1575">
        <v>1888.23</v>
      </c>
      <c r="E165" s="1575">
        <v>1.0153543455443825</v>
      </c>
      <c r="F165" s="1575">
        <v>7.8548984953009189</v>
      </c>
    </row>
    <row r="166" spans="2:6">
      <c r="B166" s="1574">
        <v>37469</v>
      </c>
      <c r="C166" s="1575">
        <v>233.34800000000001</v>
      </c>
      <c r="D166" s="1575">
        <v>1900.5</v>
      </c>
      <c r="E166" s="1575">
        <v>1.0144340404848073</v>
      </c>
      <c r="F166" s="1575">
        <v>7.9682764181861447</v>
      </c>
    </row>
    <row r="167" spans="2:6">
      <c r="B167" s="1574">
        <v>37500</v>
      </c>
      <c r="C167" s="1575">
        <v>238.94300000000001</v>
      </c>
      <c r="D167" s="1575">
        <v>1914.18</v>
      </c>
      <c r="E167" s="1575">
        <v>1.0138126637754254</v>
      </c>
      <c r="F167" s="1575">
        <v>8.0783395412202008</v>
      </c>
    </row>
    <row r="168" spans="2:6">
      <c r="B168" s="1574">
        <v>37530</v>
      </c>
      <c r="C168" s="1575">
        <v>248.19900000000001</v>
      </c>
      <c r="D168" s="1575">
        <v>1939.26</v>
      </c>
      <c r="E168" s="1575">
        <v>1.0164592520111337</v>
      </c>
      <c r="F168" s="1575">
        <v>8.2113029675606501</v>
      </c>
    </row>
    <row r="169" spans="2:6">
      <c r="B169" s="1574">
        <v>37561</v>
      </c>
      <c r="C169" s="1575">
        <v>261.08</v>
      </c>
      <c r="D169" s="1575">
        <v>1997.83</v>
      </c>
      <c r="E169" s="1575">
        <v>1.0154093077816833</v>
      </c>
      <c r="F169" s="1575">
        <v>8.337833462276441</v>
      </c>
    </row>
    <row r="170" spans="2:6">
      <c r="B170" s="1574">
        <v>37591</v>
      </c>
      <c r="C170" s="1575">
        <v>270.86700000000002</v>
      </c>
      <c r="D170" s="1575">
        <v>2039.78</v>
      </c>
      <c r="E170" s="1575">
        <v>1.0174244857414556</v>
      </c>
      <c r="F170" s="1575">
        <v>8.483115922554509</v>
      </c>
    </row>
    <row r="171" spans="2:6">
      <c r="B171" s="1574">
        <v>37622</v>
      </c>
      <c r="C171" s="1575">
        <v>277.173</v>
      </c>
      <c r="D171" s="1575">
        <v>2085.6799999999998</v>
      </c>
      <c r="E171" s="1575">
        <v>1.0197126646415859</v>
      </c>
      <c r="F171" s="1575">
        <v>8.6503407418515241</v>
      </c>
    </row>
    <row r="172" spans="2:6">
      <c r="B172" s="1574">
        <v>37653</v>
      </c>
      <c r="C172" s="1575">
        <v>283.50599999999997</v>
      </c>
      <c r="D172" s="1575">
        <v>2118.4299999999998</v>
      </c>
      <c r="E172" s="1575">
        <v>1.0183037986307939</v>
      </c>
      <c r="F172" s="1575">
        <v>8.8086748368781276</v>
      </c>
    </row>
    <row r="173" spans="2:6">
      <c r="B173" s="1574">
        <v>37681</v>
      </c>
      <c r="C173" s="1575">
        <v>287.85500000000002</v>
      </c>
      <c r="D173" s="1575">
        <v>2144.4899999999998</v>
      </c>
      <c r="E173" s="1575">
        <v>1.0177701866474056</v>
      </c>
      <c r="F173" s="1575">
        <v>8.9652066328457565</v>
      </c>
    </row>
    <row r="174" spans="2:6">
      <c r="B174" s="1574">
        <v>37712</v>
      </c>
      <c r="C174" s="1575">
        <v>290.512</v>
      </c>
      <c r="D174" s="1575">
        <v>2165.29</v>
      </c>
      <c r="E174" s="1575">
        <v>1.0187159495984839</v>
      </c>
      <c r="F174" s="1575">
        <v>9.1329989883260918</v>
      </c>
    </row>
    <row r="175" spans="2:6">
      <c r="B175" s="1574">
        <v>37742</v>
      </c>
      <c r="C175" s="1575">
        <v>289.74700000000001</v>
      </c>
      <c r="D175" s="1575">
        <v>2178.5</v>
      </c>
      <c r="E175" s="1575">
        <v>1.0196535248447016</v>
      </c>
      <c r="F175" s="1575">
        <v>9.312494610849793</v>
      </c>
    </row>
    <row r="176" spans="2:6">
      <c r="B176" s="1574">
        <v>37773</v>
      </c>
      <c r="C176" s="1575">
        <v>286.84300000000002</v>
      </c>
      <c r="D176" s="1575">
        <v>2175.23</v>
      </c>
      <c r="E176" s="1575">
        <v>1.0185667947451373</v>
      </c>
      <c r="F176" s="1575">
        <v>9.4853977868546391</v>
      </c>
    </row>
    <row r="177" spans="2:6">
      <c r="B177" s="1574">
        <v>37803</v>
      </c>
      <c r="C177" s="1575">
        <v>285.649</v>
      </c>
      <c r="D177" s="1575">
        <v>2179.58</v>
      </c>
      <c r="E177" s="1575">
        <v>1.0208424747911398</v>
      </c>
      <c r="F177" s="1575">
        <v>9.6830969511110894</v>
      </c>
    </row>
    <row r="178" spans="2:6">
      <c r="B178" s="1574">
        <v>37834</v>
      </c>
      <c r="C178" s="1575">
        <v>286.73500000000001</v>
      </c>
      <c r="D178" s="1575">
        <v>2186.9899999999998</v>
      </c>
      <c r="E178" s="1575">
        <v>1.0177426111342931</v>
      </c>
      <c r="F178" s="1575">
        <v>9.8549003748903132</v>
      </c>
    </row>
    <row r="179" spans="2:6">
      <c r="B179" s="1574">
        <v>37865</v>
      </c>
      <c r="C179" s="1575">
        <v>290.12700000000001</v>
      </c>
      <c r="D179" s="1575">
        <v>2204.0500000000002</v>
      </c>
      <c r="E179" s="1575">
        <v>1.0167950902831471</v>
      </c>
      <c r="F179" s="1575">
        <v>10.020414316418016</v>
      </c>
    </row>
    <row r="180" spans="2:6">
      <c r="B180" s="1574">
        <v>37895</v>
      </c>
      <c r="C180" s="1575">
        <v>291.22899999999998</v>
      </c>
      <c r="D180" s="1575">
        <v>2210.44</v>
      </c>
      <c r="E180" s="1575">
        <v>1.0164205992977207</v>
      </c>
      <c r="F180" s="1575">
        <v>10.18495552470506</v>
      </c>
    </row>
    <row r="181" spans="2:6">
      <c r="B181" s="1574">
        <v>37926</v>
      </c>
      <c r="C181" s="1575">
        <v>292.65699999999998</v>
      </c>
      <c r="D181" s="1575">
        <v>2217.96</v>
      </c>
      <c r="E181" s="1575">
        <v>1.0134353138584866</v>
      </c>
      <c r="F181" s="1575">
        <v>10.3217935988142</v>
      </c>
    </row>
    <row r="182" spans="2:6">
      <c r="B182" s="1574">
        <v>37956</v>
      </c>
      <c r="C182" s="1575">
        <v>294.45499999999998</v>
      </c>
      <c r="D182" s="1575">
        <v>2229.4899999999998</v>
      </c>
      <c r="E182" s="1575">
        <v>1.0137325047762002</v>
      </c>
      <c r="F182" s="1575">
        <v>10.463537678708869</v>
      </c>
    </row>
    <row r="183" spans="2:6">
      <c r="B183" s="1574">
        <v>37987</v>
      </c>
      <c r="C183" s="1575">
        <v>297.03899999999999</v>
      </c>
      <c r="D183" s="1575">
        <v>2246.4299999999998</v>
      </c>
      <c r="E183" s="1575">
        <v>1.0126755135884871</v>
      </c>
      <c r="F183" s="1575">
        <v>10.59616839273899</v>
      </c>
    </row>
    <row r="184" spans="2:6">
      <c r="B184" s="1574">
        <v>38018</v>
      </c>
      <c r="C184" s="1575">
        <v>299.09699999999998</v>
      </c>
      <c r="D184" s="1575">
        <v>2260.13</v>
      </c>
      <c r="E184" s="1575">
        <v>1.0108439419169848</v>
      </c>
      <c r="F184" s="1575">
        <v>10.711072627332442</v>
      </c>
    </row>
    <row r="185" spans="2:6">
      <c r="B185" s="1574">
        <v>38047</v>
      </c>
      <c r="C185" s="1575">
        <v>302.48399999999998</v>
      </c>
      <c r="D185" s="1575">
        <v>2270.75</v>
      </c>
      <c r="E185" s="1575">
        <v>1.0137912342986635</v>
      </c>
      <c r="F185" s="1575">
        <v>10.858791539525985</v>
      </c>
    </row>
    <row r="186" spans="2:6">
      <c r="B186" s="1574">
        <v>38078</v>
      </c>
      <c r="C186" s="1575">
        <v>306.15100000000001</v>
      </c>
      <c r="D186" s="1575">
        <v>2279.15</v>
      </c>
      <c r="E186" s="1575">
        <v>1.011818501098614</v>
      </c>
      <c r="F186" s="1575">
        <v>10.987126179265493</v>
      </c>
    </row>
    <row r="187" spans="2:6">
      <c r="B187" s="1574">
        <v>38108</v>
      </c>
      <c r="C187" s="1575">
        <v>310.15199999999999</v>
      </c>
      <c r="D187" s="1575">
        <v>2290.77</v>
      </c>
      <c r="E187" s="1575">
        <v>1.0122780474663127</v>
      </c>
      <c r="F187" s="1575">
        <v>11.122026636012881</v>
      </c>
    </row>
    <row r="188" spans="2:6">
      <c r="B188" s="1574">
        <v>38139</v>
      </c>
      <c r="C188" s="1575">
        <v>314.41899999999998</v>
      </c>
      <c r="D188" s="1575">
        <v>2307.0300000000002</v>
      </c>
      <c r="E188" s="1575">
        <v>1.0122988884857291</v>
      </c>
      <c r="F188" s="1575">
        <v>11.258815201344513</v>
      </c>
    </row>
    <row r="189" spans="2:6">
      <c r="B189" s="1574">
        <v>38169</v>
      </c>
      <c r="C189" s="1575">
        <v>318.53199999999998</v>
      </c>
      <c r="D189" s="1575">
        <v>2328.02</v>
      </c>
      <c r="E189" s="1575">
        <v>1.012868893920805</v>
      </c>
      <c r="F189" s="1575">
        <v>11.403703699844563</v>
      </c>
    </row>
    <row r="190" spans="2:6">
      <c r="B190" s="1574">
        <v>38200</v>
      </c>
      <c r="C190" s="1575">
        <v>322.41199999999998</v>
      </c>
      <c r="D190" s="1575">
        <v>2344.08</v>
      </c>
      <c r="E190" s="1575">
        <v>1.0129358583775749</v>
      </c>
      <c r="F190" s="1575">
        <v>11.551220395885579</v>
      </c>
    </row>
    <row r="191" spans="2:6">
      <c r="B191" s="1574">
        <v>38231</v>
      </c>
      <c r="C191" s="1575">
        <v>324.65100000000001</v>
      </c>
      <c r="D191" s="1575">
        <v>2351.8200000000002</v>
      </c>
      <c r="E191" s="1575">
        <v>1.0125132709021758</v>
      </c>
      <c r="F191" s="1575">
        <v>11.695763945950034</v>
      </c>
    </row>
    <row r="192" spans="2:6">
      <c r="B192" s="1574">
        <v>38261</v>
      </c>
      <c r="C192" s="1575">
        <v>325.92500000000001</v>
      </c>
      <c r="D192" s="1575">
        <v>2362.17</v>
      </c>
      <c r="E192" s="1575">
        <v>1.0121322386789289</v>
      </c>
      <c r="F192" s="1575">
        <v>11.837659745674712</v>
      </c>
    </row>
    <row r="193" spans="2:7">
      <c r="B193" s="1574">
        <v>38292</v>
      </c>
      <c r="C193" s="1575">
        <v>328.58800000000002</v>
      </c>
      <c r="D193" s="1575">
        <v>2378.4699999999998</v>
      </c>
      <c r="E193" s="1575">
        <v>1.0125098562166484</v>
      </c>
      <c r="F193" s="1575">
        <v>11.985747167034708</v>
      </c>
    </row>
    <row r="194" spans="2:7">
      <c r="B194" s="1574">
        <v>38322</v>
      </c>
      <c r="C194" s="1575">
        <v>331.005</v>
      </c>
      <c r="D194" s="1575">
        <v>2398.92</v>
      </c>
      <c r="E194" s="1575">
        <v>1.0148282315457626</v>
      </c>
      <c r="F194" s="1575">
        <v>12.163474601276468</v>
      </c>
    </row>
    <row r="195" spans="2:7">
      <c r="B195" s="1574">
        <v>38353</v>
      </c>
      <c r="C195" s="1575">
        <v>332.298</v>
      </c>
      <c r="D195" s="1575">
        <v>2412.83</v>
      </c>
      <c r="E195" s="1575">
        <v>1.0138388229391033</v>
      </c>
      <c r="F195" s="1575">
        <v>12.331802772607814</v>
      </c>
    </row>
    <row r="196" spans="2:7">
      <c r="B196" s="1574">
        <v>38384</v>
      </c>
      <c r="C196" s="1575">
        <v>333.28800000000001</v>
      </c>
      <c r="D196" s="1575">
        <v>2427.0700000000002</v>
      </c>
      <c r="E196" s="1575">
        <v>1.0121818576713373</v>
      </c>
      <c r="F196" s="1575">
        <v>12.482027038814724</v>
      </c>
    </row>
    <row r="197" spans="2:7">
      <c r="B197" s="1574">
        <v>38412</v>
      </c>
      <c r="C197" s="1575">
        <v>336.12299999999999</v>
      </c>
      <c r="D197" s="1575">
        <v>2441.87</v>
      </c>
      <c r="E197" s="1575">
        <v>1.0152817807540921</v>
      </c>
      <c r="F197" s="1575">
        <v>12.672774639388541</v>
      </c>
      <c r="G197" s="67"/>
    </row>
    <row r="198" spans="2:7">
      <c r="B198" s="1574">
        <v>38443</v>
      </c>
      <c r="C198" s="1575">
        <v>339.03</v>
      </c>
      <c r="D198" s="1575">
        <v>2463.11</v>
      </c>
      <c r="E198" s="1575">
        <v>1.0141152901477553</v>
      </c>
      <c r="F198" s="1575">
        <v>12.851654530400625</v>
      </c>
    </row>
    <row r="199" spans="2:7">
      <c r="B199" s="1574">
        <v>38473</v>
      </c>
      <c r="C199" s="1575">
        <v>338.29899999999998</v>
      </c>
      <c r="D199" s="1575">
        <v>2475.1799999999998</v>
      </c>
      <c r="E199" s="1575">
        <v>1.0150306502044895</v>
      </c>
      <c r="F199" s="1575">
        <v>13.044823254196018</v>
      </c>
    </row>
    <row r="200" spans="2:7">
      <c r="B200" s="1574">
        <v>38504</v>
      </c>
      <c r="C200" s="1575">
        <v>336.80099999999999</v>
      </c>
      <c r="D200" s="1575">
        <v>2474.6799999999998</v>
      </c>
      <c r="E200" s="1575">
        <v>1.0158560276185216</v>
      </c>
      <c r="F200" s="1575">
        <v>13.251662331993282</v>
      </c>
    </row>
    <row r="201" spans="2:7">
      <c r="B201" s="1574">
        <v>38534</v>
      </c>
      <c r="C201" s="1575">
        <v>335.66300000000001</v>
      </c>
      <c r="D201" s="1575">
        <v>2480.87</v>
      </c>
      <c r="E201" s="1575">
        <v>1.0151134516871545</v>
      </c>
      <c r="F201" s="1575">
        <v>13.451940690422347</v>
      </c>
    </row>
    <row r="202" spans="2:7">
      <c r="B202" s="1574">
        <v>38565</v>
      </c>
      <c r="C202" s="1575">
        <v>333.47399999999999</v>
      </c>
      <c r="D202" s="1575">
        <v>2485.09</v>
      </c>
      <c r="E202" s="1575">
        <v>1.0165848332092207</v>
      </c>
      <c r="F202" s="1575">
        <v>13.675038883113331</v>
      </c>
    </row>
    <row r="203" spans="2:7">
      <c r="B203" s="1574">
        <v>38596</v>
      </c>
      <c r="C203" s="1575">
        <v>331.69</v>
      </c>
      <c r="D203" s="1575">
        <v>2493.79</v>
      </c>
      <c r="E203" s="1575">
        <v>1.0150313602253485</v>
      </c>
      <c r="F203" s="1575">
        <v>13.880593318661054</v>
      </c>
    </row>
    <row r="204" spans="2:7">
      <c r="B204" s="1574">
        <v>38626</v>
      </c>
      <c r="C204" s="1575">
        <v>333.69400000000002</v>
      </c>
      <c r="D204" s="1575">
        <v>2512.4899999999998</v>
      </c>
      <c r="E204" s="1575">
        <v>1.0140716431638075</v>
      </c>
      <c r="F204" s="1575">
        <v>14.075916074743184</v>
      </c>
    </row>
    <row r="205" spans="2:7">
      <c r="B205" s="1574">
        <v>38657</v>
      </c>
      <c r="C205" s="1575">
        <v>335.03300000000002</v>
      </c>
      <c r="D205" s="1575">
        <v>2526.31</v>
      </c>
      <c r="E205" s="1575">
        <v>1.0138104099310956</v>
      </c>
      <c r="F205" s="1575">
        <v>14.270310245891086</v>
      </c>
    </row>
    <row r="206" spans="2:7">
      <c r="B206" s="1574">
        <v>38687</v>
      </c>
      <c r="C206" s="1575">
        <v>335.00599999999997</v>
      </c>
      <c r="D206" s="1575">
        <v>2535.4</v>
      </c>
      <c r="E206" s="1575">
        <v>1.0147357208231795</v>
      </c>
      <c r="F206" s="1575">
        <v>14.480593553734694</v>
      </c>
    </row>
    <row r="207" spans="2:7">
      <c r="B207" s="1574">
        <v>38718</v>
      </c>
      <c r="C207" s="1575">
        <v>338.08300000000003</v>
      </c>
      <c r="D207" s="1575">
        <v>2550.36</v>
      </c>
      <c r="E207" s="1575">
        <v>1.0142931741687891</v>
      </c>
      <c r="F207" s="1575">
        <v>14.687567199465668</v>
      </c>
    </row>
    <row r="208" spans="2:7">
      <c r="B208" s="1574">
        <v>38749</v>
      </c>
      <c r="C208" s="1575">
        <v>338.12799999999999</v>
      </c>
      <c r="D208" s="1575">
        <v>2560.8200000000002</v>
      </c>
      <c r="E208" s="1575">
        <v>1.0114506306443078</v>
      </c>
      <c r="F208" s="1575">
        <v>14.855749106530201</v>
      </c>
    </row>
    <row r="209" spans="2:6">
      <c r="B209" s="1574">
        <v>38777</v>
      </c>
      <c r="C209" s="1575">
        <v>337.339</v>
      </c>
      <c r="D209" s="1575">
        <v>2571.83</v>
      </c>
      <c r="E209" s="1575">
        <v>1.0142230199009199</v>
      </c>
      <c r="F209" s="1575">
        <v>15.067042721715453</v>
      </c>
    </row>
    <row r="210" spans="2:6">
      <c r="B210" s="1574">
        <v>38808</v>
      </c>
      <c r="C210" s="1575">
        <v>335.92099999999999</v>
      </c>
      <c r="D210" s="1575">
        <v>2577.23</v>
      </c>
      <c r="E210" s="1575">
        <v>1.0107787821533378</v>
      </c>
      <c r="F210" s="1575">
        <v>15.229447092907858</v>
      </c>
    </row>
    <row r="211" spans="2:6">
      <c r="B211" s="1574">
        <v>38838</v>
      </c>
      <c r="C211" s="1575">
        <v>337.185</v>
      </c>
      <c r="D211" s="1575">
        <v>2579.81</v>
      </c>
      <c r="E211" s="1575">
        <v>1.0128136552027243</v>
      </c>
      <c r="F211" s="1575">
        <v>15.424591976884511</v>
      </c>
    </row>
    <row r="212" spans="2:6">
      <c r="B212" s="1574">
        <v>38869</v>
      </c>
      <c r="C212" s="1575">
        <v>339.71199999999999</v>
      </c>
      <c r="D212" s="1575">
        <v>2574.39</v>
      </c>
      <c r="E212" s="1575">
        <v>1.0118439390435949</v>
      </c>
      <c r="F212" s="1575">
        <v>15.607279904031055</v>
      </c>
    </row>
    <row r="213" spans="2:6">
      <c r="B213" s="1574">
        <v>38899</v>
      </c>
      <c r="C213" s="1575">
        <v>340.31200000000001</v>
      </c>
      <c r="D213" s="1575">
        <v>2579.2800000000002</v>
      </c>
      <c r="E213" s="1575">
        <v>1.0116996590630269</v>
      </c>
      <c r="F213" s="1575">
        <v>15.78987975780945</v>
      </c>
    </row>
    <row r="214" spans="2:6">
      <c r="B214" s="1574">
        <v>38930</v>
      </c>
      <c r="C214" s="1575">
        <v>341.57400000000001</v>
      </c>
      <c r="D214" s="1575">
        <v>2580.5700000000002</v>
      </c>
      <c r="E214" s="1575">
        <v>1.012562646303421</v>
      </c>
      <c r="F214" s="1575">
        <v>15.988242432380357</v>
      </c>
    </row>
    <row r="215" spans="2:6" ht="13.5" customHeight="1">
      <c r="B215" s="1574">
        <v>38961</v>
      </c>
      <c r="C215" s="1575">
        <v>342.56099999999998</v>
      </c>
      <c r="D215" s="1575">
        <v>2585.9899999999998</v>
      </c>
      <c r="E215" s="1575">
        <v>1.0105730983323107</v>
      </c>
      <c r="F215" s="1575">
        <v>16.157287691778738</v>
      </c>
    </row>
    <row r="216" spans="2:6">
      <c r="B216" s="1574">
        <v>38991</v>
      </c>
      <c r="C216" s="1575">
        <v>344.15499999999997</v>
      </c>
      <c r="D216" s="1575">
        <v>2594.52</v>
      </c>
      <c r="E216" s="1575">
        <v>1.0109424441222723</v>
      </c>
      <c r="F216" s="1575">
        <v>16.334087909513503</v>
      </c>
    </row>
    <row r="217" spans="2:6">
      <c r="B217" s="1574">
        <v>39022</v>
      </c>
      <c r="C217" s="1575">
        <v>346.74599999999998</v>
      </c>
      <c r="D217" s="1575">
        <v>2602.56</v>
      </c>
      <c r="E217" s="1575">
        <v>1.0102060517349183</v>
      </c>
      <c r="F217" s="1575">
        <v>16.500794455760701</v>
      </c>
    </row>
    <row r="218" spans="2:6">
      <c r="B218" s="1574">
        <v>39052</v>
      </c>
      <c r="C218" s="1575">
        <v>347.84199999999998</v>
      </c>
      <c r="D218" s="1575">
        <v>2615.0500000000002</v>
      </c>
      <c r="E218" s="1575">
        <v>1.0098788606332807</v>
      </c>
      <c r="F218" s="1575">
        <v>16.663803504527571</v>
      </c>
    </row>
    <row r="219" spans="2:6">
      <c r="B219" s="1574">
        <v>39083</v>
      </c>
      <c r="C219" s="1575">
        <v>349.59300000000002</v>
      </c>
      <c r="D219" s="1575">
        <v>2626.56</v>
      </c>
      <c r="E219" s="1575">
        <v>1.0108280266006449</v>
      </c>
      <c r="F219" s="1575">
        <v>16.844239612142516</v>
      </c>
    </row>
    <row r="220" spans="2:6">
      <c r="B220" s="1574">
        <v>39114</v>
      </c>
      <c r="C220" s="1575">
        <v>350.524</v>
      </c>
      <c r="D220" s="1575">
        <v>2638.12</v>
      </c>
      <c r="E220" s="1575">
        <v>1.008724844950982</v>
      </c>
      <c r="F220" s="1575">
        <v>16.991202991075649</v>
      </c>
    </row>
    <row r="221" spans="2:6">
      <c r="B221" s="1574">
        <v>39142</v>
      </c>
      <c r="C221" s="1575">
        <v>351.71699999999998</v>
      </c>
      <c r="D221" s="1575">
        <v>2647.88</v>
      </c>
      <c r="E221" s="1575">
        <v>1.0105222327764332</v>
      </c>
      <c r="F221" s="1575">
        <v>17.169988384099376</v>
      </c>
    </row>
    <row r="222" spans="2:6">
      <c r="B222" s="1574">
        <v>39173</v>
      </c>
      <c r="C222" s="1575">
        <v>351.86900000000003</v>
      </c>
      <c r="D222" s="1575">
        <v>2654.5</v>
      </c>
      <c r="E222" s="1575">
        <v>1.0094482340398951</v>
      </c>
      <c r="F222" s="1575">
        <v>17.332214452814629</v>
      </c>
    </row>
    <row r="223" spans="2:6">
      <c r="B223" s="1574">
        <v>39203</v>
      </c>
      <c r="C223" s="1575">
        <v>352.02</v>
      </c>
      <c r="D223" s="1575">
        <v>2661.93</v>
      </c>
      <c r="E223" s="1575">
        <v>1.0102807696314628</v>
      </c>
      <c r="F223" s="1575">
        <v>17.510402956807127</v>
      </c>
    </row>
    <row r="224" spans="2:6">
      <c r="B224" s="1574">
        <v>39234</v>
      </c>
      <c r="C224" s="1575">
        <v>352.93599999999998</v>
      </c>
      <c r="D224" s="1575">
        <v>2669.38</v>
      </c>
      <c r="E224" s="1575">
        <v>1.0090562894719608</v>
      </c>
      <c r="F224" s="1575">
        <v>17.668982234754651</v>
      </c>
    </row>
    <row r="225" spans="2:6">
      <c r="B225" s="1574">
        <v>39264</v>
      </c>
      <c r="C225" s="1575">
        <v>353.92</v>
      </c>
      <c r="D225" s="1575">
        <v>2675.79</v>
      </c>
      <c r="E225" s="1575">
        <v>1.0097263257608722</v>
      </c>
      <c r="F225" s="1575">
        <v>17.840836511832936</v>
      </c>
    </row>
    <row r="226" spans="2:6">
      <c r="B226" s="1574">
        <v>39295</v>
      </c>
      <c r="C226" s="1575">
        <v>357.404</v>
      </c>
      <c r="D226" s="1575">
        <v>2688.37</v>
      </c>
      <c r="E226" s="1575">
        <v>1.0099263513682912</v>
      </c>
      <c r="F226" s="1575">
        <v>18.017930923753628</v>
      </c>
    </row>
    <row r="227" spans="2:6">
      <c r="B227" s="1574">
        <v>39326</v>
      </c>
      <c r="C227" s="1575">
        <v>361.99700000000001</v>
      </c>
      <c r="D227" s="1575">
        <v>2693.21</v>
      </c>
      <c r="E227" s="1575">
        <v>1.0080496134415582</v>
      </c>
      <c r="F227" s="1575">
        <v>18.162968302706542</v>
      </c>
    </row>
    <row r="228" spans="2:6">
      <c r="B228" s="1574">
        <v>39356</v>
      </c>
      <c r="C228" s="1575">
        <v>365.79399999999998</v>
      </c>
      <c r="D228" s="1575">
        <v>2701.29</v>
      </c>
      <c r="E228" s="1575">
        <v>1.0092949262855189</v>
      </c>
      <c r="F228" s="1575">
        <v>18.331791754206414</v>
      </c>
    </row>
    <row r="229" spans="2:6">
      <c r="B229" s="1574">
        <v>39387</v>
      </c>
      <c r="C229" s="1575">
        <v>368.334</v>
      </c>
      <c r="D229" s="1575">
        <v>2711.55</v>
      </c>
      <c r="E229" s="1575">
        <v>1.0084467048252397</v>
      </c>
      <c r="F229" s="1575">
        <v>18.486634988071959</v>
      </c>
    </row>
    <row r="230" spans="2:6">
      <c r="B230" s="1574">
        <v>39417</v>
      </c>
      <c r="C230" s="1575">
        <v>374.815</v>
      </c>
      <c r="D230" s="1575">
        <v>2731.62</v>
      </c>
      <c r="E230" s="1575">
        <v>1.0084467048252395</v>
      </c>
      <c r="F230" s="1575">
        <v>18.642786137028146</v>
      </c>
    </row>
    <row r="231" spans="2:6">
      <c r="B231" s="1574">
        <v>39448</v>
      </c>
      <c r="C231" s="1575">
        <v>378.9</v>
      </c>
      <c r="D231" s="1575">
        <v>2746.37</v>
      </c>
      <c r="E231" s="1575">
        <v>1.0092938367057227</v>
      </c>
      <c r="F231" s="1575">
        <v>18.816049147125398</v>
      </c>
    </row>
    <row r="232" spans="2:6">
      <c r="B232" s="1574">
        <v>39479</v>
      </c>
      <c r="C232" s="1575">
        <v>380.90600000000001</v>
      </c>
      <c r="D232" s="1575">
        <v>2759.83</v>
      </c>
      <c r="E232" s="1575">
        <v>1.0080223173492819</v>
      </c>
      <c r="F232" s="1575">
        <v>18.966997464643324</v>
      </c>
    </row>
    <row r="233" spans="2:6">
      <c r="B233" s="1574">
        <v>39508</v>
      </c>
      <c r="C233" s="1575">
        <v>383.73099999999999</v>
      </c>
      <c r="D233" s="1575">
        <v>2773.08</v>
      </c>
      <c r="E233" s="1575">
        <v>1.0084459790490408</v>
      </c>
      <c r="F233" s="1575">
        <v>19.12719232785291</v>
      </c>
    </row>
    <row r="234" spans="2:6">
      <c r="B234" s="1574">
        <v>39539</v>
      </c>
      <c r="C234" s="1575">
        <v>386.38</v>
      </c>
      <c r="D234" s="1575">
        <v>2788.33</v>
      </c>
      <c r="E234" s="1575">
        <v>1.0090142575644072</v>
      </c>
      <c r="F234" s="1575">
        <v>19.299609765980129</v>
      </c>
    </row>
    <row r="235" spans="2:6">
      <c r="B235" s="1574">
        <v>39569</v>
      </c>
      <c r="C235" s="1575">
        <v>392.59199999999998</v>
      </c>
      <c r="D235" s="1575">
        <v>2810.36</v>
      </c>
      <c r="E235" s="1575">
        <v>1.0087678287685495</v>
      </c>
      <c r="F235" s="1575">
        <v>19.46882543970807</v>
      </c>
    </row>
    <row r="236" spans="2:6">
      <c r="B236" s="1574">
        <v>39600</v>
      </c>
      <c r="C236" s="1575">
        <v>400.38200000000001</v>
      </c>
      <c r="D236" s="1575">
        <v>2831.16</v>
      </c>
      <c r="E236" s="1575">
        <v>1.0095559246898425</v>
      </c>
      <c r="F236" s="1575">
        <v>19.654868069409609</v>
      </c>
    </row>
    <row r="237" spans="2:6">
      <c r="B237" s="1574">
        <v>39630</v>
      </c>
      <c r="C237" s="1575">
        <v>407.44600000000003</v>
      </c>
      <c r="D237" s="1575">
        <v>2846.16</v>
      </c>
      <c r="E237" s="1575">
        <v>1.0106967121371</v>
      </c>
      <c r="F237" s="1575">
        <v>19.865110535240763</v>
      </c>
    </row>
    <row r="238" spans="2:6">
      <c r="B238" s="1574">
        <v>39661</v>
      </c>
      <c r="C238" s="1575">
        <v>406.12700000000001</v>
      </c>
      <c r="D238" s="1575">
        <v>2854.13</v>
      </c>
      <c r="E238" s="1575">
        <v>1.0101765713502602</v>
      </c>
      <c r="F238" s="1575">
        <v>20.067269249983447</v>
      </c>
    </row>
    <row r="239" spans="2:6">
      <c r="B239" s="1574">
        <v>39692</v>
      </c>
      <c r="C239" s="1575">
        <v>406.55700000000002</v>
      </c>
      <c r="D239" s="1575">
        <v>2861.55</v>
      </c>
      <c r="E239" s="1575">
        <v>1.011030909274969</v>
      </c>
      <c r="F239" s="1575">
        <v>20.288629476476387</v>
      </c>
    </row>
    <row r="240" spans="2:6">
      <c r="B240" s="1574">
        <v>39722</v>
      </c>
      <c r="C240" s="1575">
        <v>410.524</v>
      </c>
      <c r="D240" s="1575">
        <v>2874.43</v>
      </c>
      <c r="E240" s="1575">
        <v>1.0117587656900342</v>
      </c>
      <c r="F240" s="1575">
        <v>20.527198716662195</v>
      </c>
    </row>
    <row r="241" spans="2:6">
      <c r="B241" s="1574">
        <v>39753</v>
      </c>
      <c r="C241" s="1575">
        <v>412.10399999999998</v>
      </c>
      <c r="D241" s="1575">
        <v>2884.78</v>
      </c>
      <c r="E241" s="1575">
        <v>1.0101996908301405</v>
      </c>
      <c r="F241" s="1575">
        <v>20.736569797181005</v>
      </c>
    </row>
    <row r="242" spans="2:6">
      <c r="B242" s="1574">
        <v>39783</v>
      </c>
      <c r="C242" s="1575">
        <v>411.57499999999999</v>
      </c>
      <c r="D242" s="1575">
        <v>2892.86</v>
      </c>
      <c r="E242" s="1575">
        <v>1.0112409294280835</v>
      </c>
      <c r="F242" s="1575">
        <v>20.969668114851643</v>
      </c>
    </row>
    <row r="243" spans="2:6">
      <c r="B243" s="1574">
        <v>39814</v>
      </c>
      <c r="C243" s="1575">
        <v>409.78199999999998</v>
      </c>
      <c r="D243" s="1575">
        <v>2906.74</v>
      </c>
      <c r="E243" s="1575">
        <v>1.0104780743150839</v>
      </c>
      <c r="F243" s="1575">
        <v>21.189389855721704</v>
      </c>
    </row>
    <row r="244" spans="2:6">
      <c r="B244" s="1574">
        <v>39845</v>
      </c>
      <c r="C244" s="1575">
        <v>410.84899999999999</v>
      </c>
      <c r="D244" s="1575">
        <v>2922.73</v>
      </c>
      <c r="E244" s="1575">
        <v>1.0085508573858042</v>
      </c>
      <c r="F244" s="1575">
        <v>21.370577306470185</v>
      </c>
    </row>
    <row r="245" spans="2:6">
      <c r="B245" s="1574">
        <v>39873</v>
      </c>
      <c r="C245" s="1575">
        <v>407.80799999999999</v>
      </c>
      <c r="D245" s="1575">
        <v>2928.57</v>
      </c>
      <c r="E245" s="1575">
        <v>1.0097088387156097</v>
      </c>
      <c r="F245" s="1575">
        <v>21.578060794798173</v>
      </c>
    </row>
    <row r="246" spans="2:6">
      <c r="B246" s="1574">
        <v>39904</v>
      </c>
      <c r="C246" s="1575">
        <v>407.18099999999998</v>
      </c>
      <c r="D246" s="1575">
        <v>2942.63</v>
      </c>
      <c r="E246" s="1575">
        <v>1.008395669248594</v>
      </c>
      <c r="F246" s="1575">
        <v>21.759223056257351</v>
      </c>
    </row>
    <row r="247" spans="2:6">
      <c r="B247" s="1574">
        <v>39934</v>
      </c>
      <c r="C247" s="1575">
        <v>406.88499999999999</v>
      </c>
      <c r="D247" s="1575">
        <v>2956.46</v>
      </c>
      <c r="E247" s="1575">
        <v>1.0077089274459567</v>
      </c>
      <c r="F247" s="1575">
        <v>21.926963328078429</v>
      </c>
    </row>
    <row r="248" spans="2:6">
      <c r="B248" s="1574">
        <v>39965</v>
      </c>
      <c r="C248" s="1575">
        <v>406.48599999999999</v>
      </c>
      <c r="D248" s="1575">
        <v>2967.1</v>
      </c>
      <c r="E248" s="1575">
        <v>1.0076218232644543</v>
      </c>
      <c r="F248" s="1575">
        <v>22.094086767291213</v>
      </c>
    </row>
    <row r="249" spans="2:6">
      <c r="B249" s="1574">
        <v>39995</v>
      </c>
      <c r="C249" s="1575">
        <v>404.71800000000002</v>
      </c>
      <c r="D249" s="1575">
        <v>2974.22</v>
      </c>
      <c r="E249" s="1575">
        <v>1.0079014252372847</v>
      </c>
      <c r="F249" s="1575">
        <v>22.268661542069044</v>
      </c>
    </row>
    <row r="250" spans="2:6">
      <c r="B250" s="1574">
        <v>40026</v>
      </c>
      <c r="C250" s="1575">
        <v>403.25299999999999</v>
      </c>
      <c r="D250" s="1575">
        <v>2978.68</v>
      </c>
      <c r="E250" s="1575">
        <v>1.0069374854840563</v>
      </c>
      <c r="F250" s="1575">
        <v>22.423150058266511</v>
      </c>
    </row>
    <row r="251" spans="2:6">
      <c r="B251" s="1574">
        <v>40057</v>
      </c>
      <c r="C251" s="1575">
        <v>404.94499999999999</v>
      </c>
      <c r="D251" s="1575">
        <v>2985.83</v>
      </c>
      <c r="E251" s="1575">
        <v>1.0069374854840563</v>
      </c>
      <c r="F251" s="1575">
        <v>22.578710336302549</v>
      </c>
    </row>
    <row r="252" spans="2:6">
      <c r="B252" s="1574">
        <v>40087</v>
      </c>
      <c r="C252" s="1575">
        <v>405.12900000000002</v>
      </c>
      <c r="D252" s="1575">
        <v>2994.19</v>
      </c>
      <c r="E252" s="1575">
        <v>1.006937485484056</v>
      </c>
      <c r="F252" s="1575">
        <v>22.735349811509355</v>
      </c>
    </row>
    <row r="253" spans="2:6">
      <c r="B253" s="1574">
        <v>40118</v>
      </c>
      <c r="C253" s="1575">
        <v>405.548</v>
      </c>
      <c r="D253" s="1575">
        <v>3006.47</v>
      </c>
      <c r="E253" s="1575">
        <v>1.006606040313162</v>
      </c>
      <c r="F253" s="1575">
        <v>22.885540448898027</v>
      </c>
    </row>
    <row r="254" spans="2:6">
      <c r="B254" s="1574">
        <v>40148</v>
      </c>
      <c r="C254" s="1575">
        <v>404.49900000000002</v>
      </c>
      <c r="D254" s="1575">
        <v>3017.59</v>
      </c>
      <c r="E254" s="1575">
        <v>1.0072686672230315</v>
      </c>
      <c r="F254" s="1575">
        <v>23.051887826640293</v>
      </c>
    </row>
    <row r="255" spans="2:6">
      <c r="B255" s="1574">
        <v>40179</v>
      </c>
      <c r="C255" s="1575">
        <v>407.04899999999998</v>
      </c>
      <c r="D255" s="1575">
        <v>3040.22</v>
      </c>
      <c r="E255" s="1575">
        <v>1.0066056679915218</v>
      </c>
      <c r="F255" s="1575">
        <v>23.204160944200883</v>
      </c>
    </row>
    <row r="256" spans="2:6">
      <c r="B256" s="1574">
        <v>40210</v>
      </c>
      <c r="C256" s="1575">
        <v>411.84300000000002</v>
      </c>
      <c r="D256" s="1575">
        <v>3063.93</v>
      </c>
      <c r="E256" s="1575">
        <v>1.0059434772325486</v>
      </c>
      <c r="F256" s="1575">
        <v>23.342074346473133</v>
      </c>
    </row>
    <row r="257" spans="2:6">
      <c r="B257" s="1574">
        <v>40238</v>
      </c>
      <c r="C257" s="1575">
        <v>415.73399999999998</v>
      </c>
      <c r="D257" s="1575">
        <v>3079.86</v>
      </c>
      <c r="E257" s="1575">
        <v>1.0076007032666325</v>
      </c>
      <c r="F257" s="1575">
        <v>23.519490527208351</v>
      </c>
    </row>
    <row r="258" spans="2:6">
      <c r="B258" s="1574">
        <v>40269</v>
      </c>
      <c r="C258" s="1575">
        <v>418.91699999999997</v>
      </c>
      <c r="D258" s="1575">
        <v>3097.42</v>
      </c>
      <c r="E258" s="1575">
        <v>1.0066591320264642</v>
      </c>
      <c r="F258" s="1575">
        <v>23.676109919824206</v>
      </c>
    </row>
    <row r="259" spans="2:6">
      <c r="B259" s="1574">
        <v>40299</v>
      </c>
      <c r="C259" s="1575">
        <v>423.88499999999999</v>
      </c>
      <c r="D259" s="1575">
        <v>3110.74</v>
      </c>
      <c r="E259" s="1575">
        <v>1.0075136425194853</v>
      </c>
      <c r="F259" s="1575">
        <v>23.854003746013806</v>
      </c>
    </row>
    <row r="260" spans="2:6">
      <c r="B260" s="1574">
        <v>40330</v>
      </c>
      <c r="C260" s="1575">
        <v>427.48899999999998</v>
      </c>
      <c r="D260" s="1575">
        <v>3110.74</v>
      </c>
      <c r="E260" s="1575">
        <v>1.0079257581819461</v>
      </c>
      <c r="F260" s="1575">
        <v>24.043064811375949</v>
      </c>
    </row>
    <row r="261" spans="2:6">
      <c r="B261" s="1574">
        <v>40360</v>
      </c>
      <c r="C261" s="1575">
        <v>428.15</v>
      </c>
      <c r="D261" s="1575">
        <v>3111.05</v>
      </c>
      <c r="E261" s="1575">
        <v>1.0086102956499179</v>
      </c>
      <c r="F261" s="1575">
        <v>24.250082707732034</v>
      </c>
    </row>
    <row r="262" spans="2:6">
      <c r="B262" s="1574">
        <v>40391</v>
      </c>
      <c r="C262" s="1575">
        <v>431.44499999999999</v>
      </c>
      <c r="D262" s="1575">
        <v>3112.29</v>
      </c>
      <c r="E262" s="1575">
        <v>1.0088820963555043</v>
      </c>
      <c r="F262" s="1575">
        <v>24.465474278971058</v>
      </c>
    </row>
    <row r="263" spans="2:6">
      <c r="B263" s="1574">
        <v>40422</v>
      </c>
      <c r="C263" s="1575">
        <v>436.423</v>
      </c>
      <c r="D263" s="1575">
        <v>3126.29</v>
      </c>
      <c r="E263" s="1575">
        <v>1.0084766584844942</v>
      </c>
      <c r="F263" s="1575">
        <v>24.672859749095071</v>
      </c>
    </row>
    <row r="264" spans="2:6">
      <c r="B264" s="1574">
        <v>40452</v>
      </c>
      <c r="C264" s="1575">
        <v>440.82900000000001</v>
      </c>
      <c r="D264" s="1575">
        <v>3149.74</v>
      </c>
      <c r="E264" s="1575">
        <v>1.0080713835461668</v>
      </c>
      <c r="F264" s="1575">
        <v>24.872003863310798</v>
      </c>
    </row>
    <row r="265" spans="2:6">
      <c r="B265" s="1574">
        <v>40483</v>
      </c>
      <c r="C265" s="1575">
        <v>447.20600000000002</v>
      </c>
      <c r="D265" s="1575">
        <v>3175.88</v>
      </c>
      <c r="E265" s="1575">
        <v>1.008071383546167</v>
      </c>
      <c r="F265" s="1575">
        <v>25.072755346053327</v>
      </c>
    </row>
    <row r="266" spans="2:6">
      <c r="B266" s="1574">
        <v>40513</v>
      </c>
      <c r="C266" s="1575">
        <v>450.30099999999999</v>
      </c>
      <c r="D266" s="1575">
        <v>3195.89</v>
      </c>
      <c r="E266" s="1575">
        <v>1.0092887868177591</v>
      </c>
      <c r="F266" s="1575">
        <v>25.305650825396647</v>
      </c>
    </row>
    <row r="267" spans="2:6">
      <c r="B267" s="1574">
        <v>40544</v>
      </c>
      <c r="C267" s="1575">
        <v>453.875</v>
      </c>
      <c r="D267" s="1575">
        <v>3222.42</v>
      </c>
      <c r="E267" s="1575">
        <v>1.0086232010755674</v>
      </c>
      <c r="F267" s="1575">
        <v>25.52386654081214</v>
      </c>
    </row>
    <row r="268" spans="2:6">
      <c r="B268" s="1574">
        <v>40575</v>
      </c>
      <c r="C268" s="1575">
        <v>458.39699999999999</v>
      </c>
      <c r="D268" s="1575">
        <v>3248.2</v>
      </c>
      <c r="E268" s="1575">
        <v>1.0084390842010735</v>
      </c>
      <c r="F268" s="1575">
        <v>25.739264599687019</v>
      </c>
    </row>
    <row r="269" spans="2:6">
      <c r="B269" s="1574">
        <v>40603</v>
      </c>
      <c r="C269" s="1575">
        <v>461.24900000000002</v>
      </c>
      <c r="D269" s="1575">
        <v>3273.86</v>
      </c>
      <c r="E269" s="1575">
        <v>1.0092045846073012</v>
      </c>
      <c r="F269" s="1575">
        <v>25.97618383842455</v>
      </c>
    </row>
    <row r="270" spans="2:6">
      <c r="B270" s="1574">
        <v>40634</v>
      </c>
      <c r="C270" s="1575">
        <v>463.31099999999998</v>
      </c>
      <c r="D270" s="1575">
        <v>3299.07</v>
      </c>
      <c r="E270" s="1575">
        <v>1.0084015541577225</v>
      </c>
      <c r="F270" s="1575">
        <v>26.194424153754028</v>
      </c>
    </row>
    <row r="271" spans="2:6">
      <c r="B271" s="1574">
        <v>40664</v>
      </c>
      <c r="C271" s="1575">
        <v>465.31099999999998</v>
      </c>
      <c r="D271" s="1575">
        <v>3314.58</v>
      </c>
      <c r="E271" s="1575">
        <v>1.0098798495673293</v>
      </c>
      <c r="F271" s="1575">
        <v>26.453221123895936</v>
      </c>
    </row>
    <row r="272" spans="2:6">
      <c r="B272" s="1574">
        <v>40695</v>
      </c>
      <c r="C272" s="1575">
        <v>464.46300000000002</v>
      </c>
      <c r="D272" s="1575">
        <v>3319.55</v>
      </c>
      <c r="E272" s="1575">
        <v>1.0095627565914342</v>
      </c>
      <c r="F272" s="1575">
        <v>26.706186838563141</v>
      </c>
    </row>
    <row r="273" spans="2:7">
      <c r="B273" s="1574">
        <v>40725</v>
      </c>
      <c r="C273" s="1575">
        <v>463.92700000000002</v>
      </c>
      <c r="D273" s="1575">
        <v>3324.86</v>
      </c>
      <c r="E273" s="1575">
        <v>1.0096788504099796</v>
      </c>
      <c r="F273" s="1575">
        <v>26.96467202599456</v>
      </c>
    </row>
    <row r="274" spans="2:7">
      <c r="B274" s="1574">
        <v>40756</v>
      </c>
      <c r="C274" s="1575">
        <v>465.96800000000002</v>
      </c>
      <c r="D274" s="1575">
        <v>3337.16</v>
      </c>
      <c r="E274" s="1575">
        <v>1.0107406292787873</v>
      </c>
      <c r="F274" s="1575">
        <v>27.254289571849853</v>
      </c>
    </row>
    <row r="275" spans="2:7">
      <c r="B275" s="1574">
        <v>40787</v>
      </c>
      <c r="C275" s="1575">
        <v>468.97500000000002</v>
      </c>
      <c r="D275" s="1575">
        <v>3354.85</v>
      </c>
      <c r="E275" s="1575">
        <v>1.00941760689889</v>
      </c>
      <c r="F275" s="1575">
        <v>27.510959757346054</v>
      </c>
    </row>
    <row r="276" spans="2:7">
      <c r="B276" s="1574">
        <v>40817</v>
      </c>
      <c r="C276" s="1575">
        <v>471.46600000000001</v>
      </c>
      <c r="D276" s="1575">
        <v>3369.28</v>
      </c>
      <c r="E276" s="1575">
        <v>1.0088195463919019</v>
      </c>
      <c r="F276" s="1575">
        <v>27.753593943211712</v>
      </c>
    </row>
    <row r="277" spans="2:7">
      <c r="B277" s="1574">
        <v>40848</v>
      </c>
      <c r="C277" s="1575">
        <v>473.80799999999999</v>
      </c>
      <c r="D277" s="1575">
        <v>3386.8</v>
      </c>
      <c r="E277" s="1575">
        <v>1.0086047745492386</v>
      </c>
      <c r="F277" s="1575">
        <v>27.992407362024164</v>
      </c>
    </row>
    <row r="278" spans="2:7">
      <c r="B278" s="1574">
        <v>40878</v>
      </c>
      <c r="C278" s="1575">
        <v>473.25200000000001</v>
      </c>
      <c r="D278" s="1575">
        <v>3403.73</v>
      </c>
      <c r="E278" s="1575">
        <v>1.0090732804800764</v>
      </c>
      <c r="F278" s="1575">
        <v>28.246390325332364</v>
      </c>
    </row>
    <row r="279" spans="2:7">
      <c r="B279" s="1574">
        <v>40909</v>
      </c>
      <c r="C279" s="1575">
        <v>474.42899999999997</v>
      </c>
      <c r="D279" s="1575">
        <v>3422.79</v>
      </c>
      <c r="E279" s="1575">
        <v>1.0089101617717657</v>
      </c>
      <c r="F279" s="1575">
        <v>28.498070232599513</v>
      </c>
    </row>
    <row r="280" spans="2:7">
      <c r="B280" s="1574">
        <v>40940</v>
      </c>
      <c r="C280" s="1575">
        <v>474.13799999999998</v>
      </c>
      <c r="D280" s="1575">
        <v>3438.19</v>
      </c>
      <c r="E280" s="1575">
        <v>1.0074877292470876</v>
      </c>
      <c r="F280" s="1575">
        <v>28.711456066565706</v>
      </c>
    </row>
    <row r="281" spans="2:7">
      <c r="B281" s="1574">
        <v>40969</v>
      </c>
      <c r="C281" s="1575">
        <v>476.166</v>
      </c>
      <c r="D281" s="1575">
        <v>3445.41</v>
      </c>
      <c r="E281" s="1575">
        <v>1.0082113884808406</v>
      </c>
      <c r="F281" s="1575">
        <v>28.947216986178862</v>
      </c>
    </row>
    <row r="282" spans="2:7">
      <c r="B282" s="1574">
        <v>41000</v>
      </c>
      <c r="C282" s="1575">
        <v>480.22899999999998</v>
      </c>
      <c r="D282" s="1575">
        <v>3467.46</v>
      </c>
      <c r="E282" s="1575">
        <v>1.0071187588624242</v>
      </c>
      <c r="F282" s="1575">
        <v>29.15328524364174</v>
      </c>
    </row>
    <row r="283" spans="2:7">
      <c r="B283" s="1574">
        <v>41030</v>
      </c>
      <c r="C283" s="1575">
        <v>485.14</v>
      </c>
      <c r="D283" s="1575">
        <v>3479.94</v>
      </c>
      <c r="E283" s="1575">
        <v>1.007447242329657</v>
      </c>
      <c r="F283" s="1575">
        <v>29.370396823556753</v>
      </c>
      <c r="G283" s="11"/>
    </row>
    <row r="284" spans="2:7">
      <c r="B284" s="1574">
        <v>41061</v>
      </c>
      <c r="C284" s="1575">
        <v>488.34199999999998</v>
      </c>
      <c r="D284" s="1575">
        <v>3482.72</v>
      </c>
      <c r="E284" s="1575">
        <v>1.0064150263426446</v>
      </c>
      <c r="F284" s="1575">
        <v>29.558808692873793</v>
      </c>
    </row>
    <row r="285" spans="2:7">
      <c r="B285" s="1574">
        <v>41091</v>
      </c>
      <c r="C285" s="1575">
        <v>494.89100000000002</v>
      </c>
      <c r="D285" s="1575">
        <v>3497.7</v>
      </c>
      <c r="E285" s="1575">
        <v>1.0067996486835762</v>
      </c>
      <c r="F285" s="1575">
        <v>29.759798207490373</v>
      </c>
    </row>
    <row r="286" spans="2:7">
      <c r="B286" s="1574">
        <v>41122</v>
      </c>
      <c r="C286" s="1575">
        <v>501.95699999999999</v>
      </c>
      <c r="D286" s="1575">
        <v>3512.04</v>
      </c>
      <c r="E286" s="1575">
        <v>1.0069181066014252</v>
      </c>
      <c r="F286" s="1575">
        <v>29.965679663926696</v>
      </c>
    </row>
    <row r="287" spans="2:7">
      <c r="B287" s="1574">
        <v>41153</v>
      </c>
      <c r="C287" s="1575">
        <v>506.80399999999997</v>
      </c>
      <c r="D287" s="1575">
        <v>3532.06</v>
      </c>
      <c r="E287" s="1575">
        <v>1.0053899533259578</v>
      </c>
      <c r="F287" s="1575">
        <v>30.127193278695866</v>
      </c>
    </row>
    <row r="288" spans="2:7">
      <c r="B288" s="1574">
        <v>41183</v>
      </c>
      <c r="C288" s="1575">
        <v>506.92599999999999</v>
      </c>
      <c r="D288" s="1575">
        <v>3552.9</v>
      </c>
      <c r="E288" s="1575">
        <v>1.0061133864051108</v>
      </c>
      <c r="F288" s="1575">
        <v>30.311372452509993</v>
      </c>
    </row>
    <row r="289" spans="2:7">
      <c r="B289" s="1574">
        <v>41214</v>
      </c>
      <c r="C289" s="1575">
        <v>506.79500000000002</v>
      </c>
      <c r="D289" s="1575">
        <v>3574.22</v>
      </c>
      <c r="E289" s="1575">
        <v>1.0054884576647556</v>
      </c>
      <c r="F289" s="1575">
        <v>30.477735136976232</v>
      </c>
    </row>
    <row r="290" spans="2:7">
      <c r="B290" s="1574">
        <v>41244</v>
      </c>
      <c r="C290" s="1575">
        <v>510.25200000000001</v>
      </c>
      <c r="D290" s="1575">
        <v>3602.46</v>
      </c>
      <c r="E290" s="1575">
        <v>1.0055015154231364</v>
      </c>
      <c r="F290" s="1575">
        <v>30.645408866894574</v>
      </c>
    </row>
    <row r="291" spans="2:7">
      <c r="B291" s="1574">
        <v>41275</v>
      </c>
      <c r="C291" s="1575">
        <v>511.97699999999998</v>
      </c>
      <c r="D291" s="1575">
        <v>3633.44</v>
      </c>
      <c r="E291" s="1575">
        <v>1.0060143970219473</v>
      </c>
      <c r="F291" s="1575">
        <v>30.82972252271998</v>
      </c>
    </row>
    <row r="292" spans="2:7">
      <c r="B292" s="1574">
        <v>41306</v>
      </c>
      <c r="C292" s="1575">
        <v>513.46699999999998</v>
      </c>
      <c r="D292" s="1575">
        <v>3655.24</v>
      </c>
      <c r="E292" s="1575">
        <v>1.0049274991744226</v>
      </c>
      <c r="F292" s="1575">
        <v>30.98163595499836</v>
      </c>
    </row>
    <row r="293" spans="2:7">
      <c r="B293" s="1574">
        <v>41334</v>
      </c>
      <c r="C293" s="1575">
        <v>514.52599999999995</v>
      </c>
      <c r="D293" s="1575">
        <v>3672.42</v>
      </c>
      <c r="E293" s="1575">
        <v>1.0054940366101026</v>
      </c>
      <c r="F293" s="1575">
        <v>31.151850197175992</v>
      </c>
    </row>
    <row r="294" spans="2:7">
      <c r="B294" s="1574">
        <v>41365</v>
      </c>
      <c r="C294" s="1575">
        <v>515.27599999999995</v>
      </c>
      <c r="D294" s="1575">
        <v>3692.62</v>
      </c>
      <c r="E294" s="1575">
        <v>1.0061364605097283</v>
      </c>
      <c r="F294" s="1575">
        <v>31.343012295715933</v>
      </c>
    </row>
    <row r="295" spans="2:7">
      <c r="B295" s="1574">
        <v>41395</v>
      </c>
      <c r="C295" s="1575">
        <v>515.29899999999998</v>
      </c>
      <c r="D295" s="1575">
        <v>3706.28</v>
      </c>
      <c r="E295" s="1575">
        <v>1.0059853629993882</v>
      </c>
      <c r="F295" s="1575">
        <v>31.530611601800082</v>
      </c>
    </row>
    <row r="296" spans="2:7">
      <c r="B296" s="1574">
        <v>41426</v>
      </c>
      <c r="C296" s="1575">
        <v>519.15300000000002</v>
      </c>
      <c r="D296" s="1575">
        <v>3715.92</v>
      </c>
      <c r="E296" s="1575">
        <v>1.0060527337434972</v>
      </c>
      <c r="F296" s="1575">
        <v>31.721457998595405</v>
      </c>
      <c r="G296" s="66"/>
    </row>
    <row r="297" spans="2:7">
      <c r="B297" s="1574">
        <v>41456</v>
      </c>
      <c r="C297" s="1575">
        <v>520.50800000000004</v>
      </c>
      <c r="D297" s="1575">
        <v>3717.03</v>
      </c>
      <c r="E297" s="1575">
        <v>1.0072409169740031</v>
      </c>
      <c r="F297" s="1575">
        <v>31.951150442257561</v>
      </c>
    </row>
    <row r="298" spans="2:7">
      <c r="B298" s="1574">
        <v>41487</v>
      </c>
      <c r="C298" s="1575">
        <v>521.27</v>
      </c>
      <c r="D298" s="1575">
        <v>3725.95</v>
      </c>
      <c r="E298" s="1575">
        <v>1.0071031495053051</v>
      </c>
      <c r="F298" s="1575">
        <v>32.178104240715413</v>
      </c>
    </row>
    <row r="299" spans="2:7">
      <c r="B299" s="1574">
        <v>41518</v>
      </c>
      <c r="C299" s="1575">
        <v>529.08500000000004</v>
      </c>
      <c r="D299" s="1575">
        <v>3738.99</v>
      </c>
      <c r="E299" s="1575">
        <v>1.0071302882501354</v>
      </c>
      <c r="F299" s="1575">
        <v>32.407543399294617</v>
      </c>
    </row>
    <row r="300" spans="2:7">
      <c r="B300" s="1574">
        <v>41548</v>
      </c>
      <c r="C300" s="1575">
        <v>533.62099999999998</v>
      </c>
      <c r="D300" s="1575">
        <v>3760.3</v>
      </c>
      <c r="E300" s="1575">
        <v>1.0081051023495244</v>
      </c>
      <c r="F300" s="1575">
        <v>32.670209855442558</v>
      </c>
      <c r="G300" s="67"/>
    </row>
    <row r="301" spans="2:7">
      <c r="B301" s="1574">
        <v>41579</v>
      </c>
      <c r="C301" s="1575">
        <v>535.16800000000001</v>
      </c>
      <c r="D301" s="1575">
        <v>3780.61</v>
      </c>
      <c r="E301" s="1575">
        <v>1.0071920752752215</v>
      </c>
      <c r="F301" s="1575">
        <v>32.905176463980183</v>
      </c>
      <c r="G301" s="67"/>
    </row>
    <row r="302" spans="2:7">
      <c r="B302" s="1574">
        <v>41609</v>
      </c>
      <c r="C302" s="1575">
        <v>538.37</v>
      </c>
      <c r="D302" s="1575">
        <v>3815.39</v>
      </c>
      <c r="E302" s="1575">
        <v>1.0078974581644051</v>
      </c>
      <c r="F302" s="1575">
        <v>33.165043718496833</v>
      </c>
      <c r="G302" s="66"/>
    </row>
    <row r="303" spans="2:7">
      <c r="B303" s="1574">
        <v>41640</v>
      </c>
      <c r="C303" s="1575">
        <v>540.95899999999995</v>
      </c>
      <c r="D303" s="1575">
        <v>3836.38</v>
      </c>
      <c r="E303" s="1575">
        <v>1.0084934395272054</v>
      </c>
      <c r="F303" s="1575">
        <v>33.446729011737006</v>
      </c>
    </row>
    <row r="304" spans="2:7">
      <c r="B304" s="1574">
        <v>41671</v>
      </c>
      <c r="C304" s="1575">
        <v>543.03800000000001</v>
      </c>
      <c r="D304" s="1575">
        <v>3862.84</v>
      </c>
      <c r="E304" s="1575">
        <v>1.007901464239193</v>
      </c>
      <c r="F304" s="1575">
        <v>33.711007144941227</v>
      </c>
    </row>
    <row r="305" spans="2:6">
      <c r="B305" s="1574">
        <v>41699</v>
      </c>
      <c r="C305" s="1575">
        <v>552.08699999999999</v>
      </c>
      <c r="D305" s="1575">
        <v>3898.38</v>
      </c>
      <c r="E305" s="1575">
        <v>1.0076595732083427</v>
      </c>
      <c r="F305" s="1575">
        <v>33.969219072094866</v>
      </c>
    </row>
    <row r="306" spans="2:6">
      <c r="B306" s="1574">
        <v>41730</v>
      </c>
      <c r="C306" s="1575">
        <v>556.41999999999996</v>
      </c>
      <c r="D306" s="1575">
        <v>3924.5</v>
      </c>
      <c r="E306" s="1575">
        <v>1.0082266762081393</v>
      </c>
      <c r="F306" s="1575">
        <v>34.248672838444342</v>
      </c>
    </row>
    <row r="307" spans="2:6">
      <c r="B307" s="1574">
        <v>41760</v>
      </c>
      <c r="C307" s="1575">
        <v>555.67899999999997</v>
      </c>
      <c r="D307" s="1575">
        <v>3942.55</v>
      </c>
      <c r="E307" s="1575">
        <v>1.0086587318278823</v>
      </c>
      <c r="F307" s="1575">
        <v>34.545222912013308</v>
      </c>
    </row>
    <row r="308" spans="2:6">
      <c r="B308" s="1574">
        <v>41791</v>
      </c>
      <c r="C308" s="1575">
        <v>551.55399999999997</v>
      </c>
      <c r="D308" s="1575">
        <v>3958.32</v>
      </c>
      <c r="E308" s="1575">
        <v>1.0082447163000285</v>
      </c>
      <c r="F308" s="1575">
        <v>34.830038474444102</v>
      </c>
    </row>
    <row r="309" spans="2:6">
      <c r="B309" s="1574">
        <v>41821</v>
      </c>
      <c r="C309" s="1575">
        <v>548.202</v>
      </c>
      <c r="D309" s="1575">
        <v>3958.72</v>
      </c>
      <c r="E309" s="1575">
        <v>1.0094872729749897</v>
      </c>
      <c r="F309" s="1575">
        <v>35.160480557180549</v>
      </c>
    </row>
    <row r="310" spans="2:6">
      <c r="B310" s="1574">
        <v>41852</v>
      </c>
      <c r="C310" s="1575">
        <v>546.745</v>
      </c>
      <c r="D310" s="1575">
        <v>3968.62</v>
      </c>
      <c r="E310" s="1575">
        <v>1.0086598207325679</v>
      </c>
      <c r="F310" s="1575">
        <v>35.464964015676671</v>
      </c>
    </row>
    <row r="311" spans="2:6">
      <c r="B311" s="1574">
        <v>41883</v>
      </c>
      <c r="C311" s="1575">
        <v>547.83900000000006</v>
      </c>
      <c r="D311" s="1575">
        <v>3991.24</v>
      </c>
      <c r="E311" s="1575">
        <v>1.0090729173629331</v>
      </c>
      <c r="F311" s="1575">
        <v>35.786734703470302</v>
      </c>
    </row>
    <row r="312" spans="2:6">
      <c r="B312" s="1574">
        <v>41913</v>
      </c>
      <c r="C312" s="1575">
        <v>549.39599999999996</v>
      </c>
      <c r="D312" s="1575">
        <v>4008</v>
      </c>
      <c r="E312" s="1575">
        <v>1.009505315279368</v>
      </c>
      <c r="F312" s="1575">
        <v>36.126898899645887</v>
      </c>
    </row>
    <row r="313" spans="2:6">
      <c r="B313" s="1574">
        <v>41944</v>
      </c>
      <c r="C313" s="1575">
        <v>554.76900000000001</v>
      </c>
      <c r="D313" s="1575">
        <v>4028.44</v>
      </c>
      <c r="E313" s="1575">
        <v>1.0084249317586502</v>
      </c>
      <c r="F313" s="1575">
        <v>36.431265557527063</v>
      </c>
    </row>
    <row r="314" spans="2:6">
      <c r="B314" s="1574">
        <v>41974</v>
      </c>
      <c r="C314" s="1575">
        <v>558.21299999999997</v>
      </c>
      <c r="D314" s="1575">
        <v>4059.86</v>
      </c>
      <c r="E314" s="1575">
        <v>1.0096129495106978</v>
      </c>
      <c r="F314" s="1575">
        <v>36.781477473942395</v>
      </c>
    </row>
    <row r="315" spans="2:6">
      <c r="B315" s="1574">
        <v>42005</v>
      </c>
      <c r="C315" s="1575">
        <v>562.48199999999997</v>
      </c>
      <c r="D315" s="1575">
        <v>4110.2</v>
      </c>
      <c r="E315" s="1575">
        <v>1.0093507541041149</v>
      </c>
      <c r="F315" s="1575">
        <v>37.12541202538727</v>
      </c>
    </row>
    <row r="316" spans="2:6">
      <c r="B316" s="1574">
        <v>42036</v>
      </c>
      <c r="C316" s="1575">
        <v>564.00400000000002</v>
      </c>
      <c r="D316" s="1575">
        <v>4160.34</v>
      </c>
      <c r="E316" s="1575">
        <v>1.0082241099890967</v>
      </c>
      <c r="F316" s="1575">
        <v>37.43073549727459</v>
      </c>
    </row>
    <row r="317" spans="2:6">
      <c r="B317" s="1574">
        <v>42064</v>
      </c>
      <c r="C317" s="1575">
        <v>569.53599999999994</v>
      </c>
      <c r="D317" s="1575">
        <v>4215.26</v>
      </c>
      <c r="E317" s="1575">
        <v>1.0103996710699541</v>
      </c>
      <c r="F317" s="1575">
        <v>37.820002834352699</v>
      </c>
    </row>
    <row r="318" spans="2:6">
      <c r="B318" s="1574">
        <v>42095</v>
      </c>
      <c r="C318" s="1575">
        <v>576.17499999999995</v>
      </c>
      <c r="D318" s="1575">
        <v>4245.1899999999996</v>
      </c>
      <c r="E318" s="1575">
        <v>1.0095179160892187</v>
      </c>
      <c r="F318" s="1575">
        <v>38.179970447824083</v>
      </c>
    </row>
    <row r="319" spans="2:6">
      <c r="B319" s="1574">
        <v>42125</v>
      </c>
      <c r="C319" s="1575">
        <v>578.51599999999996</v>
      </c>
      <c r="D319" s="1575">
        <v>4276.6000000000004</v>
      </c>
      <c r="E319" s="1575">
        <v>1.0098532226245138</v>
      </c>
      <c r="F319" s="1575">
        <v>38.556166196443854</v>
      </c>
    </row>
    <row r="320" spans="2:6">
      <c r="B320" s="1574">
        <v>42156</v>
      </c>
      <c r="C320" s="1575">
        <v>582.40099999999995</v>
      </c>
      <c r="D320" s="1575">
        <v>4310.3900000000003</v>
      </c>
      <c r="E320" s="1575">
        <v>1.0106667572412273</v>
      </c>
      <c r="F320" s="1575">
        <v>38.967435461413736</v>
      </c>
    </row>
    <row r="321" spans="2:6">
      <c r="B321" s="1574">
        <v>42186</v>
      </c>
      <c r="C321" s="1575">
        <v>586.42600000000004</v>
      </c>
      <c r="D321" s="1575">
        <v>4337.1099999999997</v>
      </c>
      <c r="E321" s="1575">
        <v>1.0117819838421735</v>
      </c>
      <c r="F321" s="1575">
        <v>39.426549156391054</v>
      </c>
    </row>
    <row r="322" spans="2:6">
      <c r="B322" s="1574">
        <v>42217</v>
      </c>
      <c r="C322" s="1575">
        <v>588.04200000000003</v>
      </c>
      <c r="D322" s="1575">
        <v>4346.6499999999996</v>
      </c>
      <c r="E322" s="1575">
        <v>1.0110896528780247</v>
      </c>
      <c r="F322" s="1575">
        <v>39.863775900713804</v>
      </c>
    </row>
    <row r="323" spans="2:6">
      <c r="B323" s="1574">
        <v>42248</v>
      </c>
      <c r="C323" s="1575">
        <v>593.60599999999999</v>
      </c>
      <c r="D323" s="1575">
        <v>4370.12</v>
      </c>
      <c r="E323" s="1575">
        <v>1.0110896528780244</v>
      </c>
      <c r="F323" s="1575">
        <v>40.305851337860076</v>
      </c>
    </row>
    <row r="324" spans="2:6">
      <c r="B324" s="1574">
        <v>42278</v>
      </c>
      <c r="C324" s="1575">
        <v>604.83199999999999</v>
      </c>
      <c r="D324" s="1575">
        <v>4405.95</v>
      </c>
      <c r="E324" s="1575">
        <v>1.0110896528780242</v>
      </c>
      <c r="F324" s="1575">
        <v>40.752829238150191</v>
      </c>
    </row>
    <row r="325" spans="2:6">
      <c r="B325" s="1574">
        <v>42309</v>
      </c>
      <c r="C325" s="1575">
        <v>614.05100000000004</v>
      </c>
      <c r="D325" s="1575">
        <v>4450.45</v>
      </c>
      <c r="E325" s="1575">
        <v>1.0105587962367735</v>
      </c>
      <c r="F325" s="1575">
        <v>41.183130058147846</v>
      </c>
    </row>
    <row r="326" spans="2:6">
      <c r="B326" s="1574">
        <v>42339</v>
      </c>
      <c r="C326" s="1575">
        <v>617.04399999999998</v>
      </c>
      <c r="D326" s="1575">
        <v>4493.17</v>
      </c>
      <c r="E326" s="1575">
        <v>1.0116207883835777</v>
      </c>
      <c r="F326" s="1575">
        <v>41.66171049752694</v>
      </c>
    </row>
    <row r="327" spans="2:6">
      <c r="B327" s="1574">
        <v>42370</v>
      </c>
      <c r="C327" s="1575">
        <v>624.05999999999995</v>
      </c>
      <c r="D327" s="1575">
        <v>4550.2299999999996</v>
      </c>
      <c r="E327" s="1575">
        <v>1.0105587962367735</v>
      </c>
      <c r="F327" s="1575">
        <v>42.101608009545771</v>
      </c>
    </row>
    <row r="328" spans="2:6">
      <c r="B328" s="1574">
        <v>42401</v>
      </c>
      <c r="C328" s="1575">
        <v>632.11400000000003</v>
      </c>
      <c r="D328" s="1575">
        <v>4591.18</v>
      </c>
      <c r="E328" s="1575">
        <v>1.0100282183134115</v>
      </c>
      <c r="F328" s="1575">
        <v>42.523812126011173</v>
      </c>
    </row>
    <row r="329" spans="2:6">
      <c r="B329" s="1574">
        <v>42430</v>
      </c>
      <c r="C329" s="1575">
        <v>635.34900000000005</v>
      </c>
      <c r="D329" s="1575">
        <v>4610.92</v>
      </c>
      <c r="E329" s="1575">
        <v>1.0116207883835779</v>
      </c>
      <c r="F329" s="1575">
        <v>43.017972347990572</v>
      </c>
    </row>
    <row r="330" spans="2:6">
      <c r="B330" s="1574">
        <v>42461</v>
      </c>
      <c r="C330" s="1575">
        <v>637.43399999999997</v>
      </c>
      <c r="D330" s="1575">
        <v>4639.05</v>
      </c>
      <c r="E330" s="1575">
        <v>1.0105587962367735</v>
      </c>
      <c r="F330" s="1575">
        <v>43.472190352532159</v>
      </c>
    </row>
    <row r="331" spans="2:6">
      <c r="B331" s="1574">
        <v>42491</v>
      </c>
      <c r="C331" s="1575">
        <v>642.65099999999995</v>
      </c>
      <c r="D331" s="1575">
        <v>4675.2299999999996</v>
      </c>
      <c r="E331" s="1575">
        <v>1.0110896528780244</v>
      </c>
      <c r="F331" s="1575">
        <v>43.954281853389141</v>
      </c>
    </row>
    <row r="332" spans="2:6">
      <c r="B332" s="1574">
        <v>42522</v>
      </c>
      <c r="C332" s="1575">
        <v>653.49599999999998</v>
      </c>
      <c r="D332" s="1575">
        <v>4691.59</v>
      </c>
      <c r="E332" s="1575">
        <v>1.0116207883835777</v>
      </c>
      <c r="F332" s="1575">
        <v>44.465065261359506</v>
      </c>
    </row>
    <row r="333" spans="2:6">
      <c r="B333" s="1574">
        <v>42552</v>
      </c>
      <c r="C333" s="1575">
        <v>654.64099999999996</v>
      </c>
      <c r="D333" s="1575">
        <v>4715.99</v>
      </c>
      <c r="E333" s="1575">
        <v>1.0110896528780242</v>
      </c>
      <c r="F333" s="1575">
        <v>44.958167400306678</v>
      </c>
    </row>
    <row r="334" spans="2:6">
      <c r="B334" s="1574">
        <v>42583</v>
      </c>
      <c r="C334" s="1575">
        <v>655.60199999999998</v>
      </c>
      <c r="D334" s="1575">
        <v>4736.74</v>
      </c>
      <c r="E334" s="1575">
        <v>1.0121522028999232</v>
      </c>
      <c r="F334" s="1575">
        <v>45.504508172563916</v>
      </c>
    </row>
    <row r="335" spans="2:6">
      <c r="B335" s="1574">
        <v>42614</v>
      </c>
      <c r="C335" s="1575">
        <v>656.89400000000001</v>
      </c>
      <c r="D335" s="1575">
        <v>4740.53</v>
      </c>
      <c r="E335" s="1575">
        <v>1.0110896528780247</v>
      </c>
      <c r="F335" s="1575">
        <v>46.009137372582884</v>
      </c>
    </row>
    <row r="336" spans="2:6">
      <c r="B336" s="1574">
        <v>42644</v>
      </c>
      <c r="C336" s="1575">
        <v>657.92700000000002</v>
      </c>
      <c r="D336" s="1575">
        <v>4752.8599999999997</v>
      </c>
      <c r="E336" s="1575">
        <v>1.0104884196148551</v>
      </c>
      <c r="F336" s="1575">
        <v>46.491700511464046</v>
      </c>
    </row>
    <row r="337" spans="2:6">
      <c r="B337" s="1574">
        <v>42675</v>
      </c>
      <c r="C337" s="1575">
        <v>657.75199999999995</v>
      </c>
      <c r="D337" s="1575">
        <v>4761.42</v>
      </c>
      <c r="E337" s="1575">
        <v>1.0103828638714687</v>
      </c>
      <c r="F337" s="1575">
        <v>46.974417509027667</v>
      </c>
    </row>
    <row r="338" spans="2:6">
      <c r="B338" s="1574">
        <v>42705</v>
      </c>
      <c r="C338" s="1575">
        <v>661.30399999999997</v>
      </c>
      <c r="D338" s="1575">
        <v>4775.7</v>
      </c>
      <c r="E338" s="1575">
        <v>1.0112331468569866</v>
      </c>
      <c r="F338" s="1575">
        <v>47.502088039427981</v>
      </c>
    </row>
    <row r="339" spans="2:6">
      <c r="B339" s="1574">
        <v>42736</v>
      </c>
      <c r="C339" s="1575">
        <v>665.54200000000003</v>
      </c>
      <c r="D339" s="1575">
        <v>4793.8500000000004</v>
      </c>
      <c r="E339" s="1575">
        <v>1.0108612048503447</v>
      </c>
      <c r="F339" s="1575">
        <v>48.018017948443315</v>
      </c>
    </row>
    <row r="340" spans="2:6">
      <c r="B340" s="1574">
        <v>42767</v>
      </c>
      <c r="C340" s="1575">
        <v>666.09900000000005</v>
      </c>
      <c r="D340" s="1575">
        <v>4809.67</v>
      </c>
      <c r="E340" s="1575">
        <v>1.0086508422083289</v>
      </c>
      <c r="F340" s="1575">
        <v>48.433414244872004</v>
      </c>
    </row>
    <row r="341" spans="2:6">
      <c r="B341" s="1574">
        <v>42795</v>
      </c>
      <c r="C341" s="1575">
        <v>666.197</v>
      </c>
      <c r="D341" s="1575">
        <v>4821.6899999999996</v>
      </c>
      <c r="E341" s="1575">
        <v>1.0105205646045978</v>
      </c>
      <c r="F341" s="1575">
        <v>48.94296110845643</v>
      </c>
    </row>
    <row r="342" spans="2:6">
      <c r="B342" s="1574">
        <v>42826</v>
      </c>
      <c r="C342" s="1575">
        <v>658.89800000000002</v>
      </c>
      <c r="D342" s="1575">
        <v>4828.4399999999996</v>
      </c>
      <c r="E342" s="1575">
        <v>1.0078658059100756</v>
      </c>
      <c r="F342" s="1575">
        <v>49.327936941199923</v>
      </c>
    </row>
    <row r="343" spans="2:6">
      <c r="B343" s="1574">
        <v>42856</v>
      </c>
      <c r="C343" s="1575">
        <v>652.75800000000004</v>
      </c>
      <c r="D343" s="1575">
        <v>4843.41</v>
      </c>
      <c r="E343" s="1575">
        <v>1.0092713189779878</v>
      </c>
      <c r="F343" s="1575">
        <v>49.785271979107854</v>
      </c>
    </row>
    <row r="344" spans="2:6">
      <c r="B344" s="1574">
        <v>42887</v>
      </c>
      <c r="C344" s="1575">
        <v>648.40899999999999</v>
      </c>
      <c r="D344" s="1575">
        <v>4832.2700000000004</v>
      </c>
      <c r="E344" s="1575">
        <v>1.0080886926571575</v>
      </c>
      <c r="F344" s="1575">
        <v>50.187969742999854</v>
      </c>
    </row>
    <row r="345" spans="2:6">
      <c r="B345" s="1574">
        <v>42917</v>
      </c>
      <c r="C345" s="1575">
        <v>643.76599999999996</v>
      </c>
      <c r="D345" s="1575">
        <v>4843.87</v>
      </c>
      <c r="E345" s="1575">
        <v>1.0079792299470567</v>
      </c>
      <c r="F345" s="1575">
        <v>50.588431094155176</v>
      </c>
    </row>
    <row r="346" spans="2:6">
      <c r="B346" s="1574">
        <v>42948</v>
      </c>
      <c r="C346" s="1575">
        <v>644.38300000000004</v>
      </c>
      <c r="D346" s="1575">
        <v>4853.07</v>
      </c>
      <c r="E346" s="1575">
        <v>1.0080228940119034</v>
      </c>
      <c r="F346" s="1575">
        <v>50.994296715052059</v>
      </c>
    </row>
    <row r="347" spans="2:6">
      <c r="B347" s="1574">
        <v>42979</v>
      </c>
      <c r="C347" s="1575">
        <v>647.4</v>
      </c>
      <c r="D347" s="1575">
        <v>4860.83</v>
      </c>
      <c r="E347" s="1575">
        <v>1.0063846003708505</v>
      </c>
      <c r="F347" s="1575">
        <v>51.319874920770239</v>
      </c>
    </row>
    <row r="348" spans="2:6">
      <c r="B348" s="1574">
        <v>43009</v>
      </c>
      <c r="C348" s="1575">
        <v>648.67200000000003</v>
      </c>
      <c r="D348" s="1575">
        <v>4881.25</v>
      </c>
      <c r="E348" s="1575">
        <v>1.0064393014601032</v>
      </c>
      <c r="F348" s="1575">
        <v>51.650339066279869</v>
      </c>
    </row>
    <row r="349" spans="2:6">
      <c r="B349" s="1574">
        <v>43040</v>
      </c>
      <c r="C349" s="1575">
        <v>652.07299999999998</v>
      </c>
      <c r="D349" s="1575">
        <v>4894.92</v>
      </c>
      <c r="E349" s="1575">
        <v>1.0056818783789492</v>
      </c>
      <c r="F349" s="1575">
        <v>51.943810011085958</v>
      </c>
    </row>
    <row r="350" spans="2:6">
      <c r="B350" s="1574">
        <v>43070</v>
      </c>
      <c r="C350" s="1575">
        <v>657.85900000000004</v>
      </c>
      <c r="D350" s="1575">
        <v>4916.46</v>
      </c>
      <c r="E350" s="1575">
        <v>1.0053840004998948</v>
      </c>
      <c r="F350" s="1575">
        <v>52.223475510152085</v>
      </c>
    </row>
    <row r="351" spans="2:6">
      <c r="B351" s="1574">
        <v>43101</v>
      </c>
      <c r="C351" s="1575">
        <v>662.82600000000002</v>
      </c>
      <c r="D351" s="1575">
        <v>4930.72</v>
      </c>
      <c r="E351" s="1575">
        <v>1.0058420473548675</v>
      </c>
      <c r="F351" s="1575">
        <v>52.528567527118156</v>
      </c>
    </row>
    <row r="352" spans="2:6">
      <c r="B352" s="1574">
        <v>43132</v>
      </c>
      <c r="C352" s="1575">
        <v>663.31100000000004</v>
      </c>
      <c r="D352" s="1575">
        <v>4946.5</v>
      </c>
      <c r="E352" s="1575">
        <v>1.0046560161193037</v>
      </c>
      <c r="F352" s="1575">
        <v>52.773141384248348</v>
      </c>
    </row>
    <row r="353" spans="2:9">
      <c r="B353" s="1574">
        <v>43160</v>
      </c>
      <c r="C353" s="1575">
        <v>667.524</v>
      </c>
      <c r="D353" s="1575">
        <v>4950.95</v>
      </c>
      <c r="E353" s="1575">
        <v>1.0053234480536677</v>
      </c>
      <c r="F353" s="1575">
        <v>53.054076461036253</v>
      </c>
    </row>
    <row r="354" spans="2:9">
      <c r="B354" s="1574">
        <v>43191</v>
      </c>
      <c r="C354" s="1575">
        <v>671.327</v>
      </c>
      <c r="D354" s="1575">
        <v>4961.84</v>
      </c>
      <c r="E354" s="1575">
        <v>1.0051829489023658</v>
      </c>
      <c r="F354" s="1575">
        <v>53.329053028396011</v>
      </c>
    </row>
    <row r="355" spans="2:9">
      <c r="B355" s="1574">
        <v>43221</v>
      </c>
      <c r="C355" s="1575">
        <v>680.57899999999995</v>
      </c>
      <c r="D355" s="1575">
        <v>4981.6899999999996</v>
      </c>
      <c r="E355" s="1575">
        <v>1.0051829489023656</v>
      </c>
      <c r="F355" s="1575">
        <v>53.605454785253734</v>
      </c>
      <c r="G355" s="506"/>
    </row>
    <row r="356" spans="2:9">
      <c r="B356" s="1574">
        <v>43252</v>
      </c>
      <c r="C356" s="1575">
        <v>693.28700000000003</v>
      </c>
      <c r="D356" s="1575">
        <v>5044.46</v>
      </c>
      <c r="E356" s="1575">
        <v>1.0051829489023654</v>
      </c>
      <c r="F356" s="1575">
        <v>53.88328911829376</v>
      </c>
      <c r="G356" s="10"/>
      <c r="I356" s="10"/>
    </row>
    <row r="357" spans="2:9">
      <c r="B357" s="1574">
        <v>43282</v>
      </c>
      <c r="C357" s="1575">
        <v>696.8</v>
      </c>
      <c r="D357" s="1575">
        <v>5061.1099999999997</v>
      </c>
      <c r="E357" s="1575">
        <v>1.0054304249443857</v>
      </c>
      <c r="F357" s="1575">
        <v>54.175898275607288</v>
      </c>
      <c r="G357" s="10"/>
    </row>
    <row r="358" spans="2:9">
      <c r="B358" s="1574">
        <v>43313</v>
      </c>
      <c r="C358" s="1575">
        <v>701.67700000000002</v>
      </c>
      <c r="D358" s="1575">
        <v>5056.5600000000004</v>
      </c>
      <c r="E358" s="1575">
        <v>1.0056779619150069</v>
      </c>
      <c r="F358" s="1575">
        <v>54.483506962727475</v>
      </c>
    </row>
    <row r="359" spans="2:9">
      <c r="B359" s="1574">
        <v>43344</v>
      </c>
      <c r="C359" s="1575">
        <v>712.37300000000005</v>
      </c>
      <c r="D359" s="1575">
        <v>5080.83</v>
      </c>
      <c r="E359" s="1575">
        <v>1.0046881795441467</v>
      </c>
      <c r="F359" s="1575">
        <v>54.738935425563504</v>
      </c>
    </row>
    <row r="360" spans="2:9">
      <c r="B360" s="1574">
        <v>43374</v>
      </c>
      <c r="C360" s="1575">
        <v>718.68399999999997</v>
      </c>
      <c r="D360" s="1575">
        <v>5103.6899999999996</v>
      </c>
      <c r="E360" s="1575">
        <v>1.0054304249443855</v>
      </c>
      <c r="F360" s="1575">
        <v>55.036191105927593</v>
      </c>
    </row>
    <row r="361" spans="2:9">
      <c r="B361" s="1574">
        <v>43405</v>
      </c>
      <c r="C361" s="1575">
        <v>715.16600000000005</v>
      </c>
      <c r="D361" s="1575">
        <v>5092.97</v>
      </c>
      <c r="E361" s="1575">
        <v>1.0049355337739507</v>
      </c>
      <c r="F361" s="1575">
        <v>55.307824085920508</v>
      </c>
    </row>
    <row r="362" spans="2:9">
      <c r="B362" s="1574">
        <v>43435</v>
      </c>
      <c r="C362" s="1575">
        <v>707.44100000000003</v>
      </c>
      <c r="D362" s="1575">
        <v>5100.6099999999997</v>
      </c>
      <c r="E362" s="1575">
        <v>1.0049355337739507</v>
      </c>
      <c r="F362" s="1575">
        <v>55.580797719660296</v>
      </c>
    </row>
    <row r="363" spans="2:9">
      <c r="B363" s="1574">
        <v>43466</v>
      </c>
      <c r="C363" s="1575">
        <v>707.48800000000006</v>
      </c>
      <c r="D363" s="1575">
        <v>5116.93</v>
      </c>
      <c r="E363" s="1575">
        <v>1.0054304249443855</v>
      </c>
      <c r="F363" s="1575">
        <v>55.882625070025988</v>
      </c>
    </row>
    <row r="364" spans="2:9">
      <c r="B364" s="1574">
        <v>43497</v>
      </c>
      <c r="C364" s="1575">
        <v>713.74699999999996</v>
      </c>
      <c r="D364" s="1575">
        <v>5138.93</v>
      </c>
      <c r="E364" s="1575">
        <v>1.0049355337739507</v>
      </c>
      <c r="F364" s="1575">
        <v>56.158435653436129</v>
      </c>
    </row>
    <row r="365" spans="2:9">
      <c r="B365" s="1574">
        <v>43525</v>
      </c>
      <c r="C365" s="1575">
        <v>722.70699999999999</v>
      </c>
      <c r="D365" s="1575">
        <v>5177.47</v>
      </c>
      <c r="E365" s="1575">
        <v>1.0046881795441467</v>
      </c>
      <c r="F365" s="1575">
        <v>56.421716482697846</v>
      </c>
    </row>
    <row r="366" spans="2:9">
      <c r="B366" s="1574">
        <v>43556</v>
      </c>
      <c r="C366" s="1575">
        <v>729.346</v>
      </c>
      <c r="D366" s="1575">
        <v>5206.9799999999996</v>
      </c>
      <c r="E366" s="1575">
        <v>1.0051829489023654</v>
      </c>
      <c r="F366" s="1575">
        <v>56.714147356211413</v>
      </c>
    </row>
    <row r="367" spans="2:9">
      <c r="B367" s="1574">
        <v>43586</v>
      </c>
      <c r="C367" s="1575">
        <v>732.59500000000003</v>
      </c>
      <c r="D367" s="1575">
        <v>5213.75</v>
      </c>
      <c r="E367" s="1575">
        <v>1.0054304249443855</v>
      </c>
      <c r="F367" s="1575">
        <v>57.022129276714139</v>
      </c>
    </row>
    <row r="368" spans="2:9">
      <c r="B368" s="1574">
        <v>43617</v>
      </c>
      <c r="C368" s="1575">
        <v>738.42100000000005</v>
      </c>
      <c r="D368" s="1575">
        <v>5214.2700000000004</v>
      </c>
      <c r="E368" s="1575">
        <v>1.0046881795441465</v>
      </c>
      <c r="F368" s="1575">
        <v>57.289459256752906</v>
      </c>
    </row>
    <row r="369" spans="2:6">
      <c r="B369" s="1574">
        <v>43647</v>
      </c>
      <c r="C369" s="1575">
        <v>741.346</v>
      </c>
      <c r="D369" s="1575">
        <v>5224.18</v>
      </c>
      <c r="E369" s="1575">
        <v>1.0056779619150069</v>
      </c>
      <c r="F369" s="1575">
        <v>57.61474662454409</v>
      </c>
    </row>
    <row r="370" spans="2:6">
      <c r="B370" s="1574">
        <v>43678</v>
      </c>
      <c r="C370" s="1575">
        <v>736.40200000000004</v>
      </c>
      <c r="D370" s="1575">
        <v>5229.93</v>
      </c>
      <c r="E370" s="1575">
        <v>1.0050171948996307</v>
      </c>
      <c r="F370" s="1575">
        <v>57.903811037452265</v>
      </c>
    </row>
    <row r="371" spans="2:6">
      <c r="B371" s="1574">
        <v>43709</v>
      </c>
      <c r="C371" s="1575">
        <v>736.36199999999997</v>
      </c>
      <c r="D371" s="1575">
        <v>5227.84</v>
      </c>
      <c r="E371" s="1575">
        <v>1.0046375999081099</v>
      </c>
      <c r="F371" s="1575">
        <v>58.172345746198765</v>
      </c>
    </row>
    <row r="372" spans="2:6">
      <c r="B372" s="1574">
        <v>43739</v>
      </c>
      <c r="C372" s="1575">
        <v>741.33299999999997</v>
      </c>
      <c r="D372" s="1575">
        <v>5233.07</v>
      </c>
      <c r="E372" s="1575">
        <v>1.0047926409835022</v>
      </c>
      <c r="F372" s="1575">
        <v>58.451144914528456</v>
      </c>
    </row>
    <row r="373" spans="2:6">
      <c r="B373" s="1574">
        <v>43770</v>
      </c>
      <c r="C373" s="1575">
        <v>743.55799999999999</v>
      </c>
      <c r="D373" s="1575">
        <v>5259.76</v>
      </c>
      <c r="E373" s="1575">
        <v>1.0038038559813272</v>
      </c>
      <c r="F373" s="1575">
        <v>58.673484651727009</v>
      </c>
    </row>
    <row r="374" spans="2:6">
      <c r="B374" s="1574">
        <v>43800</v>
      </c>
      <c r="C374" s="1575">
        <v>759.11199999999997</v>
      </c>
      <c r="D374" s="1575">
        <v>5320.25</v>
      </c>
      <c r="E374" s="1575">
        <v>1.0037470387078873</v>
      </c>
      <c r="F374" s="1575">
        <v>58.893336469843661</v>
      </c>
    </row>
    <row r="375" spans="2:6">
      <c r="B375" s="1574">
        <v>43831</v>
      </c>
      <c r="C375" s="1575">
        <v>762.73299999999995</v>
      </c>
      <c r="D375" s="1575">
        <v>5331.42</v>
      </c>
      <c r="E375" s="1575">
        <v>1.00376633367529</v>
      </c>
      <c r="F375" s="1575">
        <v>59.115148426240218</v>
      </c>
    </row>
    <row r="376" spans="2:6">
      <c r="B376" s="1574">
        <v>43862</v>
      </c>
      <c r="C376" s="1575">
        <v>762.423</v>
      </c>
      <c r="D376" s="1575">
        <v>5344.75</v>
      </c>
      <c r="E376" s="1575">
        <v>1.0029372863155552</v>
      </c>
      <c r="F376" s="1575">
        <v>59.288786542754629</v>
      </c>
    </row>
    <row r="377" spans="2:6">
      <c r="B377" s="1574">
        <v>43891</v>
      </c>
      <c r="C377" s="1575">
        <v>771.90800000000002</v>
      </c>
      <c r="D377" s="1575">
        <v>5348.49</v>
      </c>
      <c r="E377" s="1575">
        <v>1.0033836914846632</v>
      </c>
      <c r="F377" s="1575">
        <v>59.489401504915364</v>
      </c>
    </row>
    <row r="378" spans="2:6">
      <c r="B378" s="1574">
        <v>43922</v>
      </c>
      <c r="C378" s="1575">
        <v>778.101</v>
      </c>
      <c r="D378" s="1575">
        <v>5331.91</v>
      </c>
      <c r="E378" s="1575">
        <v>1.0028492490278405</v>
      </c>
      <c r="F378" s="1575">
        <v>59.658901624320052</v>
      </c>
    </row>
    <row r="379" spans="2:6">
      <c r="B379" s="1574">
        <v>43952</v>
      </c>
      <c r="C379" s="1575">
        <v>780.28</v>
      </c>
      <c r="D379" s="1575">
        <v>5311.65</v>
      </c>
      <c r="E379" s="1575">
        <v>1.0023580961930716</v>
      </c>
      <c r="F379" s="1575">
        <v>59.799583053123193</v>
      </c>
    </row>
    <row r="380" spans="2:6">
      <c r="B380" s="1574">
        <v>43983</v>
      </c>
      <c r="C380" s="1575">
        <v>792.42899999999997</v>
      </c>
      <c r="D380" s="1575">
        <v>5325.46</v>
      </c>
      <c r="E380" s="1575">
        <v>1.0021233217736718</v>
      </c>
      <c r="F380" s="1575">
        <v>59.926556809876388</v>
      </c>
    </row>
    <row r="381" spans="2:6">
      <c r="B381" s="1574">
        <v>44013</v>
      </c>
      <c r="C381" s="1575">
        <v>810.08299999999997</v>
      </c>
      <c r="D381" s="1575">
        <v>5344.63</v>
      </c>
      <c r="E381" s="1575">
        <v>1.0019434641302636</v>
      </c>
      <c r="F381" s="1575">
        <v>60.043021923486585</v>
      </c>
    </row>
    <row r="382" spans="2:6">
      <c r="B382" s="1574">
        <v>44044</v>
      </c>
      <c r="C382" s="1575">
        <v>832.31299999999999</v>
      </c>
      <c r="D382" s="1575">
        <v>5357.46</v>
      </c>
      <c r="E382" s="1575">
        <v>1.0015988959789295</v>
      </c>
      <c r="F382" s="1575">
        <v>60.13902446980282</v>
      </c>
    </row>
    <row r="383" spans="2:6">
      <c r="B383" s="1574">
        <v>44075</v>
      </c>
      <c r="C383" s="1575">
        <v>868.44200000000001</v>
      </c>
      <c r="D383" s="1575">
        <v>5391.75</v>
      </c>
      <c r="E383" s="1575">
        <v>1.0015696620595307</v>
      </c>
      <c r="F383" s="1575">
        <v>60.233422414810256</v>
      </c>
    </row>
    <row r="384" spans="2:6">
      <c r="B384" s="1574">
        <v>44105</v>
      </c>
      <c r="C384" s="1575">
        <v>896.505</v>
      </c>
      <c r="D384" s="1575">
        <v>5438.12</v>
      </c>
      <c r="E384" s="1575">
        <v>1.00156966205953</v>
      </c>
      <c r="F384" s="1575">
        <v>60.327968532690427</v>
      </c>
    </row>
    <row r="385" spans="2:6">
      <c r="B385" s="1574">
        <v>44136</v>
      </c>
      <c r="C385" s="1575">
        <v>925.88699999999994</v>
      </c>
      <c r="D385" s="1575">
        <v>5486.52</v>
      </c>
      <c r="E385" s="1575">
        <v>1.0014948604084073</v>
      </c>
      <c r="F385" s="1575">
        <v>60.418150424369585</v>
      </c>
    </row>
    <row r="386" spans="2:6">
      <c r="B386" s="1574">
        <v>44166</v>
      </c>
      <c r="C386" s="1575">
        <v>934.75800000000004</v>
      </c>
      <c r="D386" s="1575">
        <v>5560.59</v>
      </c>
      <c r="E386" s="1575">
        <v>1.0016444692975899</v>
      </c>
      <c r="F386" s="1575">
        <v>60.517506217759632</v>
      </c>
    </row>
    <row r="387" spans="2:6">
      <c r="B387" s="1574">
        <v>44197</v>
      </c>
      <c r="C387" s="1575">
        <v>958.84400000000005</v>
      </c>
      <c r="D387" s="1575">
        <v>5574.49</v>
      </c>
      <c r="E387" s="1575">
        <v>1.0014948604084077</v>
      </c>
      <c r="F387" s="1575">
        <v>60.607971441820126</v>
      </c>
    </row>
    <row r="388" spans="2:6">
      <c r="B388" s="1574">
        <v>44228</v>
      </c>
      <c r="C388" s="1575">
        <v>983.06299999999999</v>
      </c>
      <c r="D388" s="1575">
        <v>5622.43</v>
      </c>
      <c r="E388" s="1575">
        <v>1.0013452738652961</v>
      </c>
      <c r="F388" s="1575">
        <v>60.689505761829423</v>
      </c>
    </row>
    <row r="389" spans="2:6">
      <c r="B389" s="1574">
        <v>44256</v>
      </c>
      <c r="C389" s="1575">
        <v>1011.948</v>
      </c>
      <c r="D389" s="1575">
        <v>5674.72</v>
      </c>
      <c r="E389" s="1575">
        <v>1.0020107988327946</v>
      </c>
      <c r="F389" s="1575">
        <v>60.811540149178192</v>
      </c>
    </row>
    <row r="390" spans="2:6">
      <c r="B390" s="1574">
        <v>44287</v>
      </c>
      <c r="C390" s="1575">
        <v>1027.211</v>
      </c>
      <c r="D390" s="1575">
        <v>5692.31</v>
      </c>
      <c r="E390" s="1575">
        <v>1.0020778480243349</v>
      </c>
      <c r="F390" s="1575">
        <v>60.937897287733925</v>
      </c>
    </row>
    <row r="391" spans="2:6">
      <c r="B391" s="1574">
        <v>44317</v>
      </c>
      <c r="C391" s="1575">
        <v>1069.289</v>
      </c>
      <c r="D391" s="1575">
        <v>5739.56</v>
      </c>
      <c r="E391" s="1575">
        <v>1.0027032626398216</v>
      </c>
      <c r="F391" s="1575">
        <v>61.102628428821141</v>
      </c>
    </row>
    <row r="392" spans="2:6">
      <c r="B392" s="1574">
        <v>44348</v>
      </c>
      <c r="C392" s="1575">
        <v>1075.7329999999999</v>
      </c>
      <c r="D392" s="1575">
        <v>5769.98</v>
      </c>
      <c r="E392" s="1575">
        <v>1.0030777896833167</v>
      </c>
      <c r="F392" s="1575">
        <v>61.290689468222901</v>
      </c>
    </row>
    <row r="393" spans="2:6">
      <c r="B393" s="1574">
        <v>44378</v>
      </c>
      <c r="C393" s="1575">
        <v>1084.095</v>
      </c>
      <c r="D393" s="1575">
        <v>5825.37</v>
      </c>
      <c r="E393" s="1575">
        <v>1.003556161780192</v>
      </c>
      <c r="F393" s="1575">
        <v>61.508649075591414</v>
      </c>
    </row>
    <row r="394" spans="2:6">
      <c r="B394" s="1574">
        <v>44409</v>
      </c>
      <c r="C394" s="1575">
        <v>1091.29</v>
      </c>
      <c r="D394" s="1575">
        <v>5876.05</v>
      </c>
      <c r="E394" s="1575">
        <v>1.0042795247734253</v>
      </c>
      <c r="F394" s="1575">
        <v>61.771876863090334</v>
      </c>
    </row>
    <row r="395" spans="2:6">
      <c r="B395" s="1574">
        <v>44440</v>
      </c>
      <c r="C395" s="1575">
        <v>1084.3119999999999</v>
      </c>
      <c r="D395" s="1575">
        <v>5944.21</v>
      </c>
      <c r="E395" s="1575">
        <v>1.0044199933223523</v>
      </c>
      <c r="F395" s="1575">
        <v>62.044908146334365</v>
      </c>
    </row>
    <row r="396" spans="2:6">
      <c r="B396" s="1574">
        <v>44470</v>
      </c>
      <c r="C396" s="1575">
        <v>1091.2829999999999</v>
      </c>
      <c r="D396" s="1575">
        <v>6018.51</v>
      </c>
      <c r="E396" s="1575">
        <v>1.0048599610251685</v>
      </c>
      <c r="F396" s="1575">
        <v>62.34644398173571</v>
      </c>
    </row>
    <row r="397" spans="2:6">
      <c r="B397" s="1574">
        <v>44501</v>
      </c>
      <c r="C397" s="1575">
        <v>1091.4829999999999</v>
      </c>
      <c r="D397" s="1575">
        <v>6075.69</v>
      </c>
      <c r="E397" s="1575">
        <v>1.0058674909390046</v>
      </c>
      <c r="F397" s="1575">
        <v>62.712261176877703</v>
      </c>
    </row>
    <row r="398" spans="2:6">
      <c r="B398" s="1574">
        <v>44531</v>
      </c>
      <c r="C398" s="1575">
        <v>1100.9880000000001</v>
      </c>
      <c r="D398" s="1575">
        <v>6120.04</v>
      </c>
      <c r="E398" s="1575">
        <v>1.0076908308186336</v>
      </c>
      <c r="F398" s="1575">
        <v>63.194570567843037</v>
      </c>
    </row>
    <row r="399" spans="2:6">
      <c r="B399" s="1574">
        <v>44562</v>
      </c>
      <c r="C399" s="1575">
        <v>1120.999</v>
      </c>
      <c r="D399" s="1575">
        <v>6153.09</v>
      </c>
      <c r="E399" s="1575">
        <v>1.0073227032460901</v>
      </c>
      <c r="F399" s="1575">
        <v>63.65732565487545</v>
      </c>
    </row>
    <row r="400" spans="2:6">
      <c r="B400" s="1574">
        <v>44593</v>
      </c>
      <c r="C400" s="1575">
        <v>1141.546</v>
      </c>
      <c r="D400" s="1575">
        <v>6215.24</v>
      </c>
      <c r="E400" s="1575">
        <v>1.0075504098703885</v>
      </c>
      <c r="F400" s="1575">
        <v>64.13796455482256</v>
      </c>
    </row>
    <row r="401" spans="2:6">
      <c r="B401" s="1574">
        <v>44621</v>
      </c>
      <c r="C401" s="1575">
        <v>1161.4179999999999</v>
      </c>
      <c r="D401" s="1575">
        <v>6315.93</v>
      </c>
      <c r="E401" s="1575">
        <v>1.0092705386289318</v>
      </c>
      <c r="F401" s="1575">
        <v>64.732558032809095</v>
      </c>
    </row>
    <row r="402" spans="2:6">
      <c r="B402" s="1574">
        <v>44652</v>
      </c>
      <c r="C402" s="1575">
        <v>1177.809</v>
      </c>
      <c r="D402" s="1575">
        <v>6382.88</v>
      </c>
      <c r="E402" s="1575">
        <v>1.0083432052372134</v>
      </c>
      <c r="F402" s="1575">
        <v>65.272635050006656</v>
      </c>
    </row>
    <row r="403" spans="2:6">
      <c r="B403" s="1574">
        <v>44682</v>
      </c>
      <c r="C403" s="1575">
        <v>1185.8075009189999</v>
      </c>
      <c r="D403" s="1575">
        <v>6399.9988841600007</v>
      </c>
      <c r="E403" s="1575">
        <v>1.0103459230153136</v>
      </c>
      <c r="F403" s="1575">
        <v>65.947940707240676</v>
      </c>
    </row>
    <row r="404" spans="2:6">
      <c r="B404" s="1574">
        <v>44713</v>
      </c>
      <c r="C404" s="1575">
        <v>1193.2840172122942</v>
      </c>
      <c r="D404" s="1575">
        <v>6427.0772794388822</v>
      </c>
      <c r="E404" s="1575">
        <v>1.0099756722384827</v>
      </c>
      <c r="F404" s="1575">
        <v>66.605815748539001</v>
      </c>
    </row>
    <row r="405" spans="2:6">
      <c r="B405" s="1574">
        <v>44743</v>
      </c>
      <c r="C405" s="1575">
        <v>1199.4783545456432</v>
      </c>
      <c r="D405" s="1575">
        <v>6462.3876420121205</v>
      </c>
      <c r="E405" s="1575">
        <v>1.0099756722384829</v>
      </c>
      <c r="F405" s="1575">
        <v>67.270253535623212</v>
      </c>
    </row>
    <row r="406" spans="2:6">
      <c r="B406" s="1574">
        <v>44774</v>
      </c>
      <c r="C406" s="1575">
        <v>1205.6760592035805</v>
      </c>
      <c r="D406" s="1575">
        <v>6485.7039366245008</v>
      </c>
      <c r="E406" s="1575">
        <v>1.0109309107948876</v>
      </c>
      <c r="F406" s="1575">
        <v>68.005578676170586</v>
      </c>
    </row>
    <row r="407" spans="2:6">
      <c r="B407" s="1574">
        <v>44805</v>
      </c>
      <c r="C407" s="1575">
        <v>1212.7967820092367</v>
      </c>
      <c r="D407" s="1575">
        <v>6512.3861226197732</v>
      </c>
      <c r="E407" s="1575">
        <v>1.0099756722384823</v>
      </c>
      <c r="F407" s="1575">
        <v>68.683980039432385</v>
      </c>
    </row>
    <row r="408" spans="2:6">
      <c r="B408" s="1574">
        <v>44835</v>
      </c>
      <c r="C408" s="1575">
        <v>1220.0444555785239</v>
      </c>
      <c r="D408" s="1575">
        <v>6542.4538093479096</v>
      </c>
      <c r="E408" s="1575">
        <v>1.0094983914939686</v>
      </c>
      <c r="F408" s="1575">
        <v>69.336367371210841</v>
      </c>
    </row>
    <row r="409" spans="2:6">
      <c r="B409" s="1574">
        <v>44866</v>
      </c>
      <c r="C409" s="1575">
        <v>1227.463545912897</v>
      </c>
      <c r="D409" s="1575">
        <v>6572.8107950232834</v>
      </c>
      <c r="E409" s="1575">
        <v>1.0094983914939686</v>
      </c>
      <c r="F409" s="1575">
        <v>69.994951333272226</v>
      </c>
    </row>
    <row r="410" spans="2:6">
      <c r="B410" s="1574">
        <v>44896</v>
      </c>
      <c r="C410" s="1575">
        <v>1234.805005381002</v>
      </c>
      <c r="D410" s="1575">
        <v>6614.3312408154452</v>
      </c>
      <c r="E410" s="1575">
        <v>1.0104531786365607</v>
      </c>
      <c r="F410" s="1575">
        <v>70.726621063216299</v>
      </c>
    </row>
    <row r="411" spans="2:6">
      <c r="B411" s="1574">
        <v>44927</v>
      </c>
      <c r="C411" s="1575">
        <v>1240.6443982514488</v>
      </c>
      <c r="D411" s="1575">
        <v>6645.6368705782252</v>
      </c>
      <c r="E411" s="1575">
        <v>1.0104531786365603</v>
      </c>
      <c r="F411" s="1575">
        <v>71.465939067550408</v>
      </c>
    </row>
    <row r="412" spans="2:6">
      <c r="B412" s="1574">
        <v>44958</v>
      </c>
      <c r="C412" s="1575">
        <v>1245.3960662967518</v>
      </c>
      <c r="D412" s="1575">
        <v>6678.964739484175</v>
      </c>
      <c r="E412" s="1575">
        <v>1.0085445065391345</v>
      </c>
      <c r="F412" s="1575">
        <v>72.076580251238482</v>
      </c>
    </row>
    <row r="413" spans="2:6">
      <c r="B413" s="1574">
        <v>44986</v>
      </c>
      <c r="C413" s="1575">
        <v>1249.9691606521933</v>
      </c>
      <c r="D413" s="1575">
        <v>6703.7503776324011</v>
      </c>
      <c r="E413" s="1575">
        <v>1.0109309107948878</v>
      </c>
      <c r="F413" s="1575">
        <v>72.864442920365349</v>
      </c>
    </row>
    <row r="414" spans="2:6">
      <c r="B414" s="1574">
        <v>45017</v>
      </c>
      <c r="C414" s="1575">
        <v>1253.9940613494934</v>
      </c>
      <c r="D414" s="1575">
        <v>6728.6883290371934</v>
      </c>
      <c r="E414" s="1575">
        <v>1.0085445065391345</v>
      </c>
      <c r="F414" s="1575">
        <v>73.48703362936881</v>
      </c>
    </row>
    <row r="415" spans="2:6">
      <c r="B415" s="1574">
        <v>45047</v>
      </c>
      <c r="C415" s="1575">
        <v>1257.6118342164868</v>
      </c>
      <c r="D415" s="1575">
        <v>6746.6471981873938</v>
      </c>
      <c r="E415" s="1575">
        <v>1.0104531786365605</v>
      </c>
      <c r="F415" s="1575">
        <v>74.255206719367536</v>
      </c>
    </row>
    <row r="416" spans="2:6">
      <c r="B416" s="1574">
        <v>45078</v>
      </c>
      <c r="C416" s="1575" t="e">
        <v>#N/A</v>
      </c>
      <c r="D416" s="1575" t="e">
        <v>#N/A</v>
      </c>
      <c r="E416" s="1575" t="e">
        <v>#N/A</v>
      </c>
      <c r="F416" s="1575" t="e">
        <f t="shared" ref="F416:F419" si="0">F415*E416</f>
        <v>#N/A</v>
      </c>
    </row>
    <row r="417" spans="2:6">
      <c r="B417" s="1574">
        <v>45108</v>
      </c>
      <c r="C417" s="1575" t="e">
        <v>#N/A</v>
      </c>
      <c r="D417" s="1575" t="e">
        <v>#N/A</v>
      </c>
      <c r="E417" s="1575" t="e">
        <v>#N/A</v>
      </c>
      <c r="F417" s="1575" t="e">
        <f t="shared" si="0"/>
        <v>#N/A</v>
      </c>
    </row>
    <row r="418" spans="2:6">
      <c r="B418" s="1574">
        <v>45139</v>
      </c>
      <c r="C418" s="1575" t="e">
        <v>#N/A</v>
      </c>
      <c r="D418" s="1575" t="e">
        <v>#N/A</v>
      </c>
      <c r="E418" s="1575" t="e">
        <v>#N/A</v>
      </c>
      <c r="F418" s="1575" t="e">
        <f t="shared" si="0"/>
        <v>#N/A</v>
      </c>
    </row>
    <row r="419" spans="2:6">
      <c r="B419" s="1574">
        <v>45170</v>
      </c>
      <c r="C419" s="1575" t="e">
        <v>#N/A</v>
      </c>
      <c r="D419" s="1575" t="e">
        <v>#N/A</v>
      </c>
      <c r="E419" s="1575" t="e">
        <v>#N/A</v>
      </c>
      <c r="F419" s="1575" t="e">
        <f t="shared" si="0"/>
        <v>#N/A</v>
      </c>
    </row>
    <row r="420" spans="2:6">
      <c r="B420" s="1574">
        <v>45200</v>
      </c>
      <c r="C420" s="1575" t="e">
        <v>#N/A</v>
      </c>
      <c r="D420" s="1575" t="e">
        <v>#N/A</v>
      </c>
      <c r="E420" s="1575" t="e">
        <v>#N/A</v>
      </c>
      <c r="F420" s="1575" t="e">
        <f t="shared" ref="F420:F483" si="1">F419*E420</f>
        <v>#N/A</v>
      </c>
    </row>
    <row r="421" spans="2:6">
      <c r="B421" s="1574">
        <v>45231</v>
      </c>
      <c r="C421" s="1575" t="e">
        <v>#N/A</v>
      </c>
      <c r="D421" s="1575" t="e">
        <v>#N/A</v>
      </c>
      <c r="E421" s="1575" t="e">
        <v>#N/A</v>
      </c>
      <c r="F421" s="1575" t="e">
        <f t="shared" si="1"/>
        <v>#N/A</v>
      </c>
    </row>
    <row r="422" spans="2:6">
      <c r="B422" s="1574">
        <v>45261</v>
      </c>
      <c r="C422" s="1575" t="e">
        <v>#N/A</v>
      </c>
      <c r="D422" s="1575" t="e">
        <v>#N/A</v>
      </c>
      <c r="E422" s="1575" t="e">
        <v>#N/A</v>
      </c>
      <c r="F422" s="1575" t="e">
        <f t="shared" si="1"/>
        <v>#N/A</v>
      </c>
    </row>
    <row r="423" spans="2:6">
      <c r="B423" s="1574">
        <v>45292</v>
      </c>
      <c r="C423" s="1575" t="e">
        <v>#N/A</v>
      </c>
      <c r="D423" s="1575" t="e">
        <v>#N/A</v>
      </c>
      <c r="E423" s="1575" t="e">
        <v>#N/A</v>
      </c>
      <c r="F423" s="1575" t="e">
        <f t="shared" si="1"/>
        <v>#N/A</v>
      </c>
    </row>
    <row r="424" spans="2:6">
      <c r="B424" s="1574">
        <v>45323</v>
      </c>
      <c r="C424" s="1575" t="e">
        <v>#N/A</v>
      </c>
      <c r="D424" s="1575" t="e">
        <v>#N/A</v>
      </c>
      <c r="E424" s="1575" t="e">
        <v>#N/A</v>
      </c>
      <c r="F424" s="1575" t="e">
        <f t="shared" si="1"/>
        <v>#N/A</v>
      </c>
    </row>
    <row r="425" spans="2:6">
      <c r="B425" s="1574">
        <v>45352</v>
      </c>
      <c r="C425" s="1575" t="e">
        <v>#N/A</v>
      </c>
      <c r="D425" s="1575" t="e">
        <v>#N/A</v>
      </c>
      <c r="E425" s="1575" t="e">
        <v>#N/A</v>
      </c>
      <c r="F425" s="1575" t="e">
        <f t="shared" si="1"/>
        <v>#N/A</v>
      </c>
    </row>
    <row r="426" spans="2:6">
      <c r="B426" s="1574">
        <v>45383</v>
      </c>
      <c r="C426" s="1575" t="e">
        <v>#N/A</v>
      </c>
      <c r="D426" s="1575" t="e">
        <v>#N/A</v>
      </c>
      <c r="E426" s="1575" t="e">
        <v>#N/A</v>
      </c>
      <c r="F426" s="1575" t="e">
        <f t="shared" si="1"/>
        <v>#N/A</v>
      </c>
    </row>
    <row r="427" spans="2:6">
      <c r="B427" s="1574">
        <v>45413</v>
      </c>
      <c r="C427" s="1575" t="e">
        <v>#N/A</v>
      </c>
      <c r="D427" s="1575" t="e">
        <v>#N/A</v>
      </c>
      <c r="E427" s="1575" t="e">
        <v>#N/A</v>
      </c>
      <c r="F427" s="1575" t="e">
        <f t="shared" si="1"/>
        <v>#N/A</v>
      </c>
    </row>
    <row r="428" spans="2:6">
      <c r="B428" s="1574">
        <v>45444</v>
      </c>
      <c r="C428" s="1575" t="e">
        <v>#N/A</v>
      </c>
      <c r="D428" s="1575" t="e">
        <v>#N/A</v>
      </c>
      <c r="E428" s="1575" t="e">
        <v>#N/A</v>
      </c>
      <c r="F428" s="1575" t="e">
        <f t="shared" si="1"/>
        <v>#N/A</v>
      </c>
    </row>
    <row r="429" spans="2:6">
      <c r="B429" s="1574">
        <v>45474</v>
      </c>
      <c r="C429" s="1575" t="e">
        <v>#N/A</v>
      </c>
      <c r="D429" s="1575" t="e">
        <v>#N/A</v>
      </c>
      <c r="E429" s="1575" t="e">
        <v>#N/A</v>
      </c>
      <c r="F429" s="1575" t="e">
        <f t="shared" si="1"/>
        <v>#N/A</v>
      </c>
    </row>
    <row r="430" spans="2:6">
      <c r="B430" s="1574">
        <v>45505</v>
      </c>
      <c r="C430" s="1575" t="e">
        <v>#N/A</v>
      </c>
      <c r="D430" s="1575" t="e">
        <v>#N/A</v>
      </c>
      <c r="E430" s="1575" t="e">
        <v>#N/A</v>
      </c>
      <c r="F430" s="1575" t="e">
        <f t="shared" si="1"/>
        <v>#N/A</v>
      </c>
    </row>
    <row r="431" spans="2:6">
      <c r="B431" s="1574">
        <v>45536</v>
      </c>
      <c r="C431" s="1575" t="e">
        <v>#N/A</v>
      </c>
      <c r="D431" s="1575" t="e">
        <v>#N/A</v>
      </c>
      <c r="E431" s="1575" t="e">
        <v>#N/A</v>
      </c>
      <c r="F431" s="1575" t="e">
        <f t="shared" si="1"/>
        <v>#N/A</v>
      </c>
    </row>
    <row r="432" spans="2:6">
      <c r="B432" s="1574">
        <v>45566</v>
      </c>
      <c r="C432" s="1575" t="e">
        <v>#N/A</v>
      </c>
      <c r="D432" s="1575" t="e">
        <v>#N/A</v>
      </c>
      <c r="E432" s="1575" t="e">
        <v>#N/A</v>
      </c>
      <c r="F432" s="1575" t="e">
        <f t="shared" si="1"/>
        <v>#N/A</v>
      </c>
    </row>
    <row r="433" spans="2:6">
      <c r="B433" s="1574">
        <v>45597</v>
      </c>
      <c r="C433" s="1575" t="e">
        <v>#N/A</v>
      </c>
      <c r="D433" s="1575" t="e">
        <v>#N/A</v>
      </c>
      <c r="E433" s="1575" t="e">
        <v>#N/A</v>
      </c>
      <c r="F433" s="1575" t="e">
        <f t="shared" si="1"/>
        <v>#N/A</v>
      </c>
    </row>
    <row r="434" spans="2:6">
      <c r="B434" s="1574">
        <v>45627</v>
      </c>
      <c r="C434" s="1575" t="e">
        <v>#N/A</v>
      </c>
      <c r="D434" s="1575" t="e">
        <v>#N/A</v>
      </c>
      <c r="E434" s="1575" t="e">
        <v>#N/A</v>
      </c>
      <c r="F434" s="1575" t="e">
        <f t="shared" si="1"/>
        <v>#N/A</v>
      </c>
    </row>
    <row r="435" spans="2:6">
      <c r="B435" s="1574">
        <v>45658</v>
      </c>
      <c r="C435" s="1575" t="e">
        <v>#N/A</v>
      </c>
      <c r="D435" s="1575" t="e">
        <v>#N/A</v>
      </c>
      <c r="E435" s="1575" t="e">
        <v>#N/A</v>
      </c>
      <c r="F435" s="1575" t="e">
        <f t="shared" si="1"/>
        <v>#N/A</v>
      </c>
    </row>
    <row r="436" spans="2:6">
      <c r="B436" s="1574">
        <v>45689</v>
      </c>
      <c r="C436" s="1575" t="e">
        <v>#N/A</v>
      </c>
      <c r="D436" s="1575" t="e">
        <v>#N/A</v>
      </c>
      <c r="E436" s="1575" t="e">
        <v>#N/A</v>
      </c>
      <c r="F436" s="1575" t="e">
        <f t="shared" si="1"/>
        <v>#N/A</v>
      </c>
    </row>
    <row r="437" spans="2:6">
      <c r="B437" s="1574">
        <v>45717</v>
      </c>
      <c r="C437" s="1575" t="e">
        <v>#N/A</v>
      </c>
      <c r="D437" s="1575" t="e">
        <v>#N/A</v>
      </c>
      <c r="E437" s="1575" t="e">
        <v>#N/A</v>
      </c>
      <c r="F437" s="1575" t="e">
        <f t="shared" si="1"/>
        <v>#N/A</v>
      </c>
    </row>
    <row r="438" spans="2:6">
      <c r="B438" s="1574">
        <v>45748</v>
      </c>
      <c r="C438" s="1575" t="e">
        <v>#N/A</v>
      </c>
      <c r="D438" s="1575" t="e">
        <v>#N/A</v>
      </c>
      <c r="E438" s="1575" t="e">
        <v>#N/A</v>
      </c>
      <c r="F438" s="1575" t="e">
        <f t="shared" si="1"/>
        <v>#N/A</v>
      </c>
    </row>
    <row r="439" spans="2:6">
      <c r="B439" s="1574">
        <v>45778</v>
      </c>
      <c r="C439" s="1575" t="e">
        <v>#N/A</v>
      </c>
      <c r="D439" s="1575" t="e">
        <v>#N/A</v>
      </c>
      <c r="E439" s="1575" t="e">
        <v>#N/A</v>
      </c>
      <c r="F439" s="1575" t="e">
        <f t="shared" si="1"/>
        <v>#N/A</v>
      </c>
    </row>
    <row r="440" spans="2:6">
      <c r="B440" s="1574">
        <v>45809</v>
      </c>
      <c r="C440" s="1575" t="e">
        <v>#N/A</v>
      </c>
      <c r="D440" s="1575" t="e">
        <v>#N/A</v>
      </c>
      <c r="E440" s="1575" t="e">
        <v>#N/A</v>
      </c>
      <c r="F440" s="1575" t="e">
        <f t="shared" si="1"/>
        <v>#N/A</v>
      </c>
    </row>
    <row r="441" spans="2:6">
      <c r="B441" s="1574">
        <v>45839</v>
      </c>
      <c r="C441" s="1575" t="e">
        <v>#N/A</v>
      </c>
      <c r="D441" s="1575" t="e">
        <v>#N/A</v>
      </c>
      <c r="E441" s="1575" t="e">
        <v>#N/A</v>
      </c>
      <c r="F441" s="1575" t="e">
        <f t="shared" si="1"/>
        <v>#N/A</v>
      </c>
    </row>
    <row r="442" spans="2:6">
      <c r="B442" s="1574">
        <v>45870</v>
      </c>
      <c r="C442" s="1575" t="e">
        <v>#N/A</v>
      </c>
      <c r="D442" s="1575" t="e">
        <v>#N/A</v>
      </c>
      <c r="E442" s="1575" t="e">
        <v>#N/A</v>
      </c>
      <c r="F442" s="1575" t="e">
        <f t="shared" si="1"/>
        <v>#N/A</v>
      </c>
    </row>
    <row r="443" spans="2:6">
      <c r="B443" s="1574">
        <v>45901</v>
      </c>
      <c r="C443" s="1575" t="e">
        <v>#N/A</v>
      </c>
      <c r="D443" s="1575" t="e">
        <v>#N/A</v>
      </c>
      <c r="E443" s="1575" t="e">
        <v>#N/A</v>
      </c>
      <c r="F443" s="1575" t="e">
        <f t="shared" si="1"/>
        <v>#N/A</v>
      </c>
    </row>
    <row r="444" spans="2:6">
      <c r="B444" s="1574">
        <v>45931</v>
      </c>
      <c r="C444" s="1575" t="e">
        <v>#N/A</v>
      </c>
      <c r="D444" s="1575" t="e">
        <v>#N/A</v>
      </c>
      <c r="E444" s="1575" t="e">
        <v>#N/A</v>
      </c>
      <c r="F444" s="1575" t="e">
        <f t="shared" si="1"/>
        <v>#N/A</v>
      </c>
    </row>
    <row r="445" spans="2:6">
      <c r="B445" s="1574">
        <v>45962</v>
      </c>
      <c r="C445" s="1575" t="e">
        <v>#N/A</v>
      </c>
      <c r="D445" s="1575" t="e">
        <v>#N/A</v>
      </c>
      <c r="E445" s="1575" t="e">
        <v>#N/A</v>
      </c>
      <c r="F445" s="1575" t="e">
        <f t="shared" si="1"/>
        <v>#N/A</v>
      </c>
    </row>
    <row r="446" spans="2:6">
      <c r="B446" s="1574">
        <v>45992</v>
      </c>
      <c r="C446" s="1575" t="e">
        <v>#N/A</v>
      </c>
      <c r="D446" s="1575" t="e">
        <v>#N/A</v>
      </c>
      <c r="E446" s="1575" t="e">
        <v>#N/A</v>
      </c>
      <c r="F446" s="1575" t="e">
        <f t="shared" si="1"/>
        <v>#N/A</v>
      </c>
    </row>
    <row r="447" spans="2:6">
      <c r="B447" s="1574">
        <v>46023</v>
      </c>
      <c r="C447" s="1575" t="e">
        <v>#N/A</v>
      </c>
      <c r="D447" s="1575" t="e">
        <v>#N/A</v>
      </c>
      <c r="E447" s="1575" t="e">
        <v>#N/A</v>
      </c>
      <c r="F447" s="1575" t="e">
        <f t="shared" si="1"/>
        <v>#N/A</v>
      </c>
    </row>
    <row r="448" spans="2:6">
      <c r="B448" s="1574">
        <v>46054</v>
      </c>
      <c r="C448" s="1575" t="e">
        <v>#N/A</v>
      </c>
      <c r="D448" s="1575" t="e">
        <v>#N/A</v>
      </c>
      <c r="E448" s="1575" t="e">
        <v>#N/A</v>
      </c>
      <c r="F448" s="1575" t="e">
        <f t="shared" si="1"/>
        <v>#N/A</v>
      </c>
    </row>
    <row r="449" spans="2:6">
      <c r="B449" s="1574">
        <v>46082</v>
      </c>
      <c r="C449" s="1575" t="e">
        <v>#N/A</v>
      </c>
      <c r="D449" s="1575" t="e">
        <v>#N/A</v>
      </c>
      <c r="E449" s="1575" t="e">
        <v>#N/A</v>
      </c>
      <c r="F449" s="1575" t="e">
        <f t="shared" si="1"/>
        <v>#N/A</v>
      </c>
    </row>
    <row r="450" spans="2:6">
      <c r="B450" s="1574">
        <v>46113</v>
      </c>
      <c r="C450" s="1575" t="e">
        <v>#N/A</v>
      </c>
      <c r="D450" s="1575" t="e">
        <v>#N/A</v>
      </c>
      <c r="E450" s="1575" t="e">
        <v>#N/A</v>
      </c>
      <c r="F450" s="1575" t="e">
        <f t="shared" si="1"/>
        <v>#N/A</v>
      </c>
    </row>
    <row r="451" spans="2:6">
      <c r="B451" s="1574">
        <v>46143</v>
      </c>
      <c r="C451" s="1575" t="e">
        <v>#N/A</v>
      </c>
      <c r="D451" s="1575" t="e">
        <v>#N/A</v>
      </c>
      <c r="E451" s="1575" t="e">
        <v>#N/A</v>
      </c>
      <c r="F451" s="1575" t="e">
        <f t="shared" si="1"/>
        <v>#N/A</v>
      </c>
    </row>
    <row r="452" spans="2:6">
      <c r="B452" s="1574">
        <v>46174</v>
      </c>
      <c r="C452" s="1575" t="e">
        <v>#N/A</v>
      </c>
      <c r="D452" s="1575" t="e">
        <v>#N/A</v>
      </c>
      <c r="E452" s="1575" t="e">
        <v>#N/A</v>
      </c>
      <c r="F452" s="1575" t="e">
        <f t="shared" si="1"/>
        <v>#N/A</v>
      </c>
    </row>
    <row r="453" spans="2:6">
      <c r="B453" s="1574">
        <v>46204</v>
      </c>
      <c r="C453" s="1575" t="e">
        <v>#N/A</v>
      </c>
      <c r="D453" s="1575" t="e">
        <v>#N/A</v>
      </c>
      <c r="E453" s="1575" t="e">
        <v>#N/A</v>
      </c>
      <c r="F453" s="1575" t="e">
        <f t="shared" si="1"/>
        <v>#N/A</v>
      </c>
    </row>
    <row r="454" spans="2:6">
      <c r="B454" s="1574">
        <v>46235</v>
      </c>
      <c r="C454" s="1575" t="e">
        <v>#N/A</v>
      </c>
      <c r="D454" s="1575" t="e">
        <v>#N/A</v>
      </c>
      <c r="E454" s="1575" t="e">
        <v>#N/A</v>
      </c>
      <c r="F454" s="1575" t="e">
        <f t="shared" si="1"/>
        <v>#N/A</v>
      </c>
    </row>
    <row r="455" spans="2:6">
      <c r="B455" s="1574">
        <v>46266</v>
      </c>
      <c r="C455" s="1575" t="e">
        <v>#N/A</v>
      </c>
      <c r="D455" s="1575" t="e">
        <v>#N/A</v>
      </c>
      <c r="E455" s="1575" t="e">
        <v>#N/A</v>
      </c>
      <c r="F455" s="1575" t="e">
        <f t="shared" si="1"/>
        <v>#N/A</v>
      </c>
    </row>
    <row r="456" spans="2:6">
      <c r="B456" s="1574">
        <v>46296</v>
      </c>
      <c r="C456" s="1575" t="e">
        <v>#N/A</v>
      </c>
      <c r="D456" s="1575" t="e">
        <v>#N/A</v>
      </c>
      <c r="E456" s="1575" t="e">
        <v>#N/A</v>
      </c>
      <c r="F456" s="1575" t="e">
        <f t="shared" si="1"/>
        <v>#N/A</v>
      </c>
    </row>
    <row r="457" spans="2:6">
      <c r="B457" s="1574">
        <v>46327</v>
      </c>
      <c r="C457" s="1575" t="e">
        <v>#N/A</v>
      </c>
      <c r="D457" s="1575" t="e">
        <v>#N/A</v>
      </c>
      <c r="E457" s="1575" t="e">
        <v>#N/A</v>
      </c>
      <c r="F457" s="1575" t="e">
        <f t="shared" si="1"/>
        <v>#N/A</v>
      </c>
    </row>
    <row r="458" spans="2:6">
      <c r="B458" s="1574">
        <v>46357</v>
      </c>
      <c r="C458" s="1575" t="e">
        <v>#N/A</v>
      </c>
      <c r="D458" s="1575" t="e">
        <v>#N/A</v>
      </c>
      <c r="E458" s="1575" t="e">
        <v>#N/A</v>
      </c>
      <c r="F458" s="1575" t="e">
        <f t="shared" si="1"/>
        <v>#N/A</v>
      </c>
    </row>
    <row r="459" spans="2:6">
      <c r="B459" s="1574">
        <v>46388</v>
      </c>
      <c r="C459" s="1575" t="e">
        <v>#N/A</v>
      </c>
      <c r="D459" s="1575" t="e">
        <v>#N/A</v>
      </c>
      <c r="E459" s="1575" t="e">
        <v>#N/A</v>
      </c>
      <c r="F459" s="1575" t="e">
        <f t="shared" si="1"/>
        <v>#N/A</v>
      </c>
    </row>
    <row r="460" spans="2:6">
      <c r="B460" s="1574">
        <v>46419</v>
      </c>
      <c r="C460" s="1575" t="e">
        <v>#N/A</v>
      </c>
      <c r="D460" s="1575" t="e">
        <v>#N/A</v>
      </c>
      <c r="E460" s="1575" t="e">
        <v>#N/A</v>
      </c>
      <c r="F460" s="1575" t="e">
        <f t="shared" si="1"/>
        <v>#N/A</v>
      </c>
    </row>
    <row r="461" spans="2:6">
      <c r="B461" s="1574">
        <v>46447</v>
      </c>
      <c r="C461" s="1575" t="e">
        <v>#N/A</v>
      </c>
      <c r="D461" s="1575" t="e">
        <v>#N/A</v>
      </c>
      <c r="E461" s="1575" t="e">
        <v>#N/A</v>
      </c>
      <c r="F461" s="1575" t="e">
        <f t="shared" si="1"/>
        <v>#N/A</v>
      </c>
    </row>
    <row r="462" spans="2:6">
      <c r="B462" s="1574">
        <v>46478</v>
      </c>
      <c r="C462" s="1575" t="e">
        <v>#N/A</v>
      </c>
      <c r="D462" s="1575" t="e">
        <v>#N/A</v>
      </c>
      <c r="E462" s="1575" t="e">
        <v>#N/A</v>
      </c>
      <c r="F462" s="1575" t="e">
        <f t="shared" si="1"/>
        <v>#N/A</v>
      </c>
    </row>
    <row r="463" spans="2:6">
      <c r="B463" s="1574">
        <v>46508</v>
      </c>
      <c r="C463" s="1575" t="e">
        <v>#N/A</v>
      </c>
      <c r="D463" s="1575" t="e">
        <v>#N/A</v>
      </c>
      <c r="E463" s="1575" t="e">
        <v>#N/A</v>
      </c>
      <c r="F463" s="1575" t="e">
        <f t="shared" si="1"/>
        <v>#N/A</v>
      </c>
    </row>
    <row r="464" spans="2:6">
      <c r="B464" s="1574">
        <v>46539</v>
      </c>
      <c r="C464" s="1575" t="e">
        <v>#N/A</v>
      </c>
      <c r="D464" s="1575" t="e">
        <v>#N/A</v>
      </c>
      <c r="E464" s="1575" t="e">
        <v>#N/A</v>
      </c>
      <c r="F464" s="1575" t="e">
        <f t="shared" si="1"/>
        <v>#N/A</v>
      </c>
    </row>
    <row r="465" spans="2:6">
      <c r="B465" s="1574">
        <v>46569</v>
      </c>
      <c r="C465" s="1575" t="e">
        <v>#N/A</v>
      </c>
      <c r="D465" s="1575" t="e">
        <v>#N/A</v>
      </c>
      <c r="E465" s="1575" t="e">
        <v>#N/A</v>
      </c>
      <c r="F465" s="1575" t="e">
        <f t="shared" si="1"/>
        <v>#N/A</v>
      </c>
    </row>
    <row r="466" spans="2:6">
      <c r="B466" s="1574">
        <v>46600</v>
      </c>
      <c r="C466" s="1575" t="e">
        <v>#N/A</v>
      </c>
      <c r="D466" s="1575" t="e">
        <v>#N/A</v>
      </c>
      <c r="E466" s="1575" t="e">
        <v>#N/A</v>
      </c>
      <c r="F466" s="1575" t="e">
        <f t="shared" si="1"/>
        <v>#N/A</v>
      </c>
    </row>
    <row r="467" spans="2:6">
      <c r="B467" s="1574">
        <v>46631</v>
      </c>
      <c r="C467" s="1575" t="e">
        <v>#N/A</v>
      </c>
      <c r="D467" s="1575" t="e">
        <v>#N/A</v>
      </c>
      <c r="E467" s="1575" t="e">
        <v>#N/A</v>
      </c>
      <c r="F467" s="1575" t="e">
        <f t="shared" si="1"/>
        <v>#N/A</v>
      </c>
    </row>
    <row r="468" spans="2:6">
      <c r="B468" s="1574">
        <v>46661</v>
      </c>
      <c r="C468" s="1575" t="e">
        <v>#N/A</v>
      </c>
      <c r="D468" s="1575" t="e">
        <v>#N/A</v>
      </c>
      <c r="E468" s="1575" t="e">
        <v>#N/A</v>
      </c>
      <c r="F468" s="1575" t="e">
        <f t="shared" si="1"/>
        <v>#N/A</v>
      </c>
    </row>
    <row r="469" spans="2:6">
      <c r="B469" s="1574">
        <v>46692</v>
      </c>
      <c r="C469" s="1575" t="e">
        <v>#N/A</v>
      </c>
      <c r="D469" s="1575" t="e">
        <v>#N/A</v>
      </c>
      <c r="E469" s="1575" t="e">
        <v>#N/A</v>
      </c>
      <c r="F469" s="1575" t="e">
        <f t="shared" si="1"/>
        <v>#N/A</v>
      </c>
    </row>
    <row r="470" spans="2:6">
      <c r="B470" s="1574">
        <v>46722</v>
      </c>
      <c r="C470" s="1575" t="e">
        <v>#N/A</v>
      </c>
      <c r="D470" s="1575" t="e">
        <v>#N/A</v>
      </c>
      <c r="E470" s="1575" t="e">
        <v>#N/A</v>
      </c>
      <c r="F470" s="1575" t="e">
        <f t="shared" si="1"/>
        <v>#N/A</v>
      </c>
    </row>
    <row r="471" spans="2:6">
      <c r="B471" s="1574">
        <v>46753</v>
      </c>
      <c r="C471" s="1575" t="e">
        <v>#N/A</v>
      </c>
      <c r="D471" s="1575" t="e">
        <v>#N/A</v>
      </c>
      <c r="E471" s="1575" t="e">
        <v>#N/A</v>
      </c>
      <c r="F471" s="1575" t="e">
        <f t="shared" si="1"/>
        <v>#N/A</v>
      </c>
    </row>
    <row r="472" spans="2:6">
      <c r="B472" s="1574">
        <v>46784</v>
      </c>
      <c r="C472" s="1575" t="e">
        <v>#N/A</v>
      </c>
      <c r="D472" s="1575" t="e">
        <v>#N/A</v>
      </c>
      <c r="E472" s="1575" t="e">
        <v>#N/A</v>
      </c>
      <c r="F472" s="1575" t="e">
        <f t="shared" si="1"/>
        <v>#N/A</v>
      </c>
    </row>
    <row r="473" spans="2:6">
      <c r="B473" s="1574">
        <v>46813</v>
      </c>
      <c r="C473" s="1575" t="e">
        <v>#N/A</v>
      </c>
      <c r="D473" s="1575" t="e">
        <v>#N/A</v>
      </c>
      <c r="E473" s="1575" t="e">
        <v>#N/A</v>
      </c>
      <c r="F473" s="1575" t="e">
        <f t="shared" si="1"/>
        <v>#N/A</v>
      </c>
    </row>
    <row r="474" spans="2:6">
      <c r="B474" s="1574">
        <v>46844</v>
      </c>
      <c r="C474" s="1575" t="e">
        <v>#N/A</v>
      </c>
      <c r="D474" s="1575" t="e">
        <v>#N/A</v>
      </c>
      <c r="E474" s="1575" t="e">
        <v>#N/A</v>
      </c>
      <c r="F474" s="1575" t="e">
        <f t="shared" si="1"/>
        <v>#N/A</v>
      </c>
    </row>
    <row r="475" spans="2:6">
      <c r="B475" s="1574">
        <v>46874</v>
      </c>
      <c r="C475" s="1575" t="e">
        <v>#N/A</v>
      </c>
      <c r="D475" s="1575" t="e">
        <v>#N/A</v>
      </c>
      <c r="E475" s="1575" t="e">
        <v>#N/A</v>
      </c>
      <c r="F475" s="1575" t="e">
        <f t="shared" si="1"/>
        <v>#N/A</v>
      </c>
    </row>
    <row r="476" spans="2:6">
      <c r="B476" s="1574">
        <v>46905</v>
      </c>
      <c r="C476" s="1575" t="e">
        <v>#N/A</v>
      </c>
      <c r="D476" s="1575" t="e">
        <v>#N/A</v>
      </c>
      <c r="E476" s="1575" t="e">
        <v>#N/A</v>
      </c>
      <c r="F476" s="1575" t="e">
        <f t="shared" si="1"/>
        <v>#N/A</v>
      </c>
    </row>
    <row r="477" spans="2:6">
      <c r="B477" s="1574">
        <v>46935</v>
      </c>
      <c r="C477" s="1575" t="e">
        <v>#N/A</v>
      </c>
      <c r="D477" s="1575" t="e">
        <v>#N/A</v>
      </c>
      <c r="E477" s="1575" t="e">
        <v>#N/A</v>
      </c>
      <c r="F477" s="1575" t="e">
        <f t="shared" si="1"/>
        <v>#N/A</v>
      </c>
    </row>
    <row r="478" spans="2:6">
      <c r="B478" s="1574">
        <v>46966</v>
      </c>
      <c r="C478" s="1575" t="e">
        <v>#N/A</v>
      </c>
      <c r="D478" s="1575" t="e">
        <v>#N/A</v>
      </c>
      <c r="E478" s="1575" t="e">
        <v>#N/A</v>
      </c>
      <c r="F478" s="1575" t="e">
        <f t="shared" si="1"/>
        <v>#N/A</v>
      </c>
    </row>
    <row r="479" spans="2:6">
      <c r="B479" s="1574">
        <v>46997</v>
      </c>
      <c r="C479" s="1575" t="e">
        <v>#N/A</v>
      </c>
      <c r="D479" s="1575" t="e">
        <v>#N/A</v>
      </c>
      <c r="E479" s="1575" t="e">
        <v>#N/A</v>
      </c>
      <c r="F479" s="1575" t="e">
        <f t="shared" si="1"/>
        <v>#N/A</v>
      </c>
    </row>
    <row r="480" spans="2:6">
      <c r="B480" s="1574">
        <v>47027</v>
      </c>
      <c r="C480" s="1575" t="e">
        <v>#N/A</v>
      </c>
      <c r="D480" s="1575" t="e">
        <v>#N/A</v>
      </c>
      <c r="E480" s="1575" t="e">
        <v>#N/A</v>
      </c>
      <c r="F480" s="1575" t="e">
        <f t="shared" si="1"/>
        <v>#N/A</v>
      </c>
    </row>
    <row r="481" spans="2:6">
      <c r="B481" s="1574">
        <v>47058</v>
      </c>
      <c r="C481" s="1575" t="e">
        <v>#N/A</v>
      </c>
      <c r="D481" s="1575" t="e">
        <v>#N/A</v>
      </c>
      <c r="E481" s="1575" t="e">
        <v>#N/A</v>
      </c>
      <c r="F481" s="1575" t="e">
        <f t="shared" si="1"/>
        <v>#N/A</v>
      </c>
    </row>
    <row r="482" spans="2:6">
      <c r="B482" s="1574">
        <v>47088</v>
      </c>
      <c r="C482" s="1575" t="e">
        <v>#N/A</v>
      </c>
      <c r="D482" s="1575" t="e">
        <v>#N/A</v>
      </c>
      <c r="E482" s="1575" t="e">
        <v>#N/A</v>
      </c>
      <c r="F482" s="1575" t="e">
        <f t="shared" si="1"/>
        <v>#N/A</v>
      </c>
    </row>
    <row r="483" spans="2:6">
      <c r="B483" s="1574">
        <v>47119</v>
      </c>
      <c r="C483" s="1575" t="e">
        <v>#N/A</v>
      </c>
      <c r="D483" s="1575" t="e">
        <v>#N/A</v>
      </c>
      <c r="E483" s="1575" t="e">
        <v>#N/A</v>
      </c>
      <c r="F483" s="1575" t="e">
        <f t="shared" si="1"/>
        <v>#N/A</v>
      </c>
    </row>
    <row r="484" spans="2:6">
      <c r="B484" s="1574">
        <v>47150</v>
      </c>
      <c r="C484" s="1575" t="e">
        <v>#N/A</v>
      </c>
      <c r="D484" s="1575" t="e">
        <v>#N/A</v>
      </c>
      <c r="E484" s="1575" t="e">
        <v>#N/A</v>
      </c>
      <c r="F484" s="1575" t="e">
        <f t="shared" ref="F484:F500" si="2">F483*E484</f>
        <v>#N/A</v>
      </c>
    </row>
    <row r="485" spans="2:6">
      <c r="B485" s="1574">
        <v>47178</v>
      </c>
      <c r="C485" s="1575" t="e">
        <v>#N/A</v>
      </c>
      <c r="D485" s="1575" t="e">
        <v>#N/A</v>
      </c>
      <c r="E485" s="1575" t="e">
        <v>#N/A</v>
      </c>
      <c r="F485" s="1575" t="e">
        <f t="shared" si="2"/>
        <v>#N/A</v>
      </c>
    </row>
    <row r="486" spans="2:6">
      <c r="B486" s="1574">
        <v>47209</v>
      </c>
      <c r="C486" s="1575" t="e">
        <v>#N/A</v>
      </c>
      <c r="D486" s="1575" t="e">
        <v>#N/A</v>
      </c>
      <c r="E486" s="1575" t="e">
        <v>#N/A</v>
      </c>
      <c r="F486" s="1575" t="e">
        <f t="shared" si="2"/>
        <v>#N/A</v>
      </c>
    </row>
    <row r="487" spans="2:6">
      <c r="B487" s="1574">
        <v>47239</v>
      </c>
      <c r="C487" s="1575" t="e">
        <v>#N/A</v>
      </c>
      <c r="D487" s="1575" t="e">
        <v>#N/A</v>
      </c>
      <c r="E487" s="1575" t="e">
        <v>#N/A</v>
      </c>
      <c r="F487" s="1575" t="e">
        <f t="shared" si="2"/>
        <v>#N/A</v>
      </c>
    </row>
    <row r="488" spans="2:6">
      <c r="B488" s="1574">
        <v>47270</v>
      </c>
      <c r="C488" s="1575" t="e">
        <v>#N/A</v>
      </c>
      <c r="D488" s="1575" t="e">
        <v>#N/A</v>
      </c>
      <c r="E488" s="1575" t="e">
        <v>#N/A</v>
      </c>
      <c r="F488" s="1575" t="e">
        <f t="shared" si="2"/>
        <v>#N/A</v>
      </c>
    </row>
    <row r="489" spans="2:6">
      <c r="B489" s="1574">
        <v>47300</v>
      </c>
      <c r="C489" s="1575" t="e">
        <v>#N/A</v>
      </c>
      <c r="D489" s="1575" t="e">
        <v>#N/A</v>
      </c>
      <c r="E489" s="1575" t="e">
        <v>#N/A</v>
      </c>
      <c r="F489" s="1575" t="e">
        <f t="shared" si="2"/>
        <v>#N/A</v>
      </c>
    </row>
    <row r="490" spans="2:6">
      <c r="B490" s="1574">
        <v>47331</v>
      </c>
      <c r="C490" s="1575" t="e">
        <v>#N/A</v>
      </c>
      <c r="D490" s="1575" t="e">
        <v>#N/A</v>
      </c>
      <c r="E490" s="1575" t="e">
        <v>#N/A</v>
      </c>
      <c r="F490" s="1575" t="e">
        <f t="shared" si="2"/>
        <v>#N/A</v>
      </c>
    </row>
    <row r="491" spans="2:6">
      <c r="B491" s="1574">
        <v>47362</v>
      </c>
      <c r="C491" s="1575" t="e">
        <v>#N/A</v>
      </c>
      <c r="D491" s="1575" t="e">
        <v>#N/A</v>
      </c>
      <c r="E491" s="1575" t="e">
        <v>#N/A</v>
      </c>
      <c r="F491" s="1575" t="e">
        <f t="shared" si="2"/>
        <v>#N/A</v>
      </c>
    </row>
    <row r="492" spans="2:6">
      <c r="B492" s="1574">
        <v>47392</v>
      </c>
      <c r="C492" s="1575" t="e">
        <v>#N/A</v>
      </c>
      <c r="D492" s="1575" t="e">
        <v>#N/A</v>
      </c>
      <c r="E492" s="1575" t="e">
        <v>#N/A</v>
      </c>
      <c r="F492" s="1575" t="e">
        <f t="shared" si="2"/>
        <v>#N/A</v>
      </c>
    </row>
    <row r="493" spans="2:6">
      <c r="B493" s="1574">
        <v>47423</v>
      </c>
      <c r="C493" s="1575" t="e">
        <v>#N/A</v>
      </c>
      <c r="D493" s="1575" t="e">
        <v>#N/A</v>
      </c>
      <c r="E493" s="1575" t="e">
        <v>#N/A</v>
      </c>
      <c r="F493" s="1575" t="e">
        <f t="shared" si="2"/>
        <v>#N/A</v>
      </c>
    </row>
    <row r="494" spans="2:6">
      <c r="B494" s="1574">
        <v>47453</v>
      </c>
      <c r="C494" s="1575" t="e">
        <v>#N/A</v>
      </c>
      <c r="D494" s="1575" t="e">
        <v>#N/A</v>
      </c>
      <c r="E494" s="1575" t="e">
        <v>#N/A</v>
      </c>
      <c r="F494" s="1575" t="e">
        <f t="shared" si="2"/>
        <v>#N/A</v>
      </c>
    </row>
    <row r="495" spans="2:6">
      <c r="B495" s="1574">
        <v>47484</v>
      </c>
      <c r="C495" s="1575" t="e">
        <v>#N/A</v>
      </c>
      <c r="D495" s="1575" t="e">
        <v>#N/A</v>
      </c>
      <c r="E495" s="1575" t="e">
        <v>#N/A</v>
      </c>
      <c r="F495" s="1575" t="e">
        <f t="shared" si="2"/>
        <v>#N/A</v>
      </c>
    </row>
    <row r="496" spans="2:6">
      <c r="B496" s="1574">
        <v>47515</v>
      </c>
      <c r="C496" s="1575" t="e">
        <v>#N/A</v>
      </c>
      <c r="D496" s="1575" t="e">
        <v>#N/A</v>
      </c>
      <c r="E496" s="1575" t="e">
        <v>#N/A</v>
      </c>
      <c r="F496" s="1575" t="e">
        <f t="shared" si="2"/>
        <v>#N/A</v>
      </c>
    </row>
    <row r="497" spans="2:6">
      <c r="B497" s="1574">
        <v>47543</v>
      </c>
      <c r="C497" s="1575" t="e">
        <v>#N/A</v>
      </c>
      <c r="D497" s="1575" t="e">
        <v>#N/A</v>
      </c>
      <c r="E497" s="1575" t="e">
        <v>#N/A</v>
      </c>
      <c r="F497" s="1575" t="e">
        <f t="shared" si="2"/>
        <v>#N/A</v>
      </c>
    </row>
    <row r="498" spans="2:6">
      <c r="B498" s="1574">
        <v>47574</v>
      </c>
      <c r="C498" s="1575" t="e">
        <v>#N/A</v>
      </c>
      <c r="D498" s="1575" t="e">
        <v>#N/A</v>
      </c>
      <c r="E498" s="1575" t="e">
        <v>#N/A</v>
      </c>
      <c r="F498" s="1575" t="e">
        <f t="shared" si="2"/>
        <v>#N/A</v>
      </c>
    </row>
    <row r="499" spans="2:6">
      <c r="B499" s="1574">
        <v>47604</v>
      </c>
      <c r="C499" s="1575" t="e">
        <v>#N/A</v>
      </c>
      <c r="D499" s="1575" t="e">
        <v>#N/A</v>
      </c>
      <c r="E499" s="1575" t="e">
        <v>#N/A</v>
      </c>
      <c r="F499" s="1575" t="e">
        <f t="shared" si="2"/>
        <v>#N/A</v>
      </c>
    </row>
    <row r="500" spans="2:6">
      <c r="B500" s="1574">
        <v>47635</v>
      </c>
      <c r="C500" s="1575" t="e">
        <v>#N/A</v>
      </c>
      <c r="D500" s="1575" t="e">
        <v>#N/A</v>
      </c>
      <c r="E500" s="1575" t="e">
        <v>#N/A</v>
      </c>
      <c r="F500" s="1575" t="e">
        <f t="shared" si="2"/>
        <v>#N/A</v>
      </c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496"/>
  <sheetViews>
    <sheetView showGridLines="0" zoomScale="68" zoomScaleNormal="68" workbookViewId="0">
      <selection activeCell="G146" sqref="G14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1537</v>
      </c>
      <c r="B1" t="s">
        <v>1555</v>
      </c>
      <c r="C1" t="s">
        <v>22</v>
      </c>
      <c r="D1" t="s">
        <v>1556</v>
      </c>
      <c r="E1" t="s">
        <v>1557</v>
      </c>
      <c r="F1" t="s">
        <v>1558</v>
      </c>
      <c r="G1" t="s">
        <v>1559</v>
      </c>
      <c r="H1" t="s">
        <v>1560</v>
      </c>
      <c r="I1" t="s">
        <v>1372</v>
      </c>
      <c r="J1" t="s">
        <v>1373</v>
      </c>
      <c r="K1" t="s">
        <v>1374</v>
      </c>
      <c r="L1" t="s">
        <v>1561</v>
      </c>
      <c r="M1" t="s">
        <v>1562</v>
      </c>
      <c r="N1" t="s">
        <v>1563</v>
      </c>
      <c r="O1" t="s">
        <v>1564</v>
      </c>
      <c r="P1" t="s">
        <v>1565</v>
      </c>
      <c r="Q1" t="s">
        <v>1566</v>
      </c>
    </row>
    <row r="2" spans="1:17" s="13" customFormat="1" ht="15.75">
      <c r="A2" t="s">
        <v>771</v>
      </c>
      <c r="B2" t="s">
        <v>1567</v>
      </c>
      <c r="C2" t="s">
        <v>1551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0.14660863250101475</v>
      </c>
      <c r="Q2" s="234">
        <f>CAPA!K16</f>
        <v>0.14660863250101475</v>
      </c>
    </row>
    <row r="3" spans="1:17" s="13" customFormat="1" ht="15.75">
      <c r="A3" t="s">
        <v>771</v>
      </c>
      <c r="B3" t="s">
        <v>1567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0.12131630216906664</v>
      </c>
      <c r="Q3" s="234">
        <f>CAPA!K17</f>
        <v>0.12131630216906664</v>
      </c>
    </row>
    <row r="4" spans="1:17" s="13" customFormat="1" ht="15.75">
      <c r="A4" t="s">
        <v>771</v>
      </c>
      <c r="B4" t="s">
        <v>1567</v>
      </c>
      <c r="C4" t="s">
        <v>1551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1177.809</v>
      </c>
      <c r="Q4" s="234">
        <f>CAPA!K14</f>
        <v>1177.809</v>
      </c>
    </row>
    <row r="5" spans="1:17" s="13" customFormat="1" ht="15.75">
      <c r="A5" t="s">
        <v>771</v>
      </c>
      <c r="B5" t="s">
        <v>1567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6382.88</v>
      </c>
      <c r="Q5" s="234">
        <f>CAPA!K15</f>
        <v>6382.88</v>
      </c>
    </row>
    <row r="6" spans="1:17" s="13" customFormat="1" ht="15.75">
      <c r="A6" t="s">
        <v>771</v>
      </c>
      <c r="B6" t="s">
        <v>1567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0.25069999999999998</v>
      </c>
      <c r="Q6" s="234">
        <f ca="1">Resultado!C7</f>
        <v>0.25069999999999998</v>
      </c>
    </row>
    <row r="7" spans="1:17" s="13" customFormat="1" ht="15.75">
      <c r="A7" t="s">
        <v>771</v>
      </c>
      <c r="B7" t="s">
        <v>1567</v>
      </c>
      <c r="C7" t="s">
        <v>1345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-5.5800000000000002E-2</v>
      </c>
      <c r="Q7" s="234">
        <f ca="1">Resultado!C8</f>
        <v>-5.5800000000000002E-2</v>
      </c>
    </row>
    <row r="8" spans="1:17" s="13" customFormat="1" ht="15.75">
      <c r="A8" t="s">
        <v>771</v>
      </c>
      <c r="B8" t="s">
        <v>1567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0.19489999999999999</v>
      </c>
      <c r="Q8" s="234">
        <f ca="1">Resultado!C9</f>
        <v>0.19489999999999999</v>
      </c>
    </row>
    <row r="9" spans="1:17" s="13" customFormat="1" ht="15.75">
      <c r="A9" t="s">
        <v>771</v>
      </c>
      <c r="B9" t="s">
        <v>1567</v>
      </c>
      <c r="C9" t="s">
        <v>1568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0.20341202822744492</v>
      </c>
      <c r="Q9" s="234">
        <f ca="1">IF(ISERROR(LnkTXTICMS),0,LnkTXTICMS)</f>
        <v>0.20341202822744492</v>
      </c>
    </row>
    <row r="10" spans="1:17" s="13" customFormat="1" ht="15.75">
      <c r="A10" t="s">
        <v>771</v>
      </c>
      <c r="B10" t="s">
        <v>1567</v>
      </c>
      <c r="C10" t="s">
        <v>1569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1.0958009121667465E-2</v>
      </c>
      <c r="Q10" s="234">
        <f ca="1">IF(ISERROR(LNKTXTPercPISCOFINS),0,LNKTXTPercPISCOFINS)</f>
        <v>1.0958009121667465E-2</v>
      </c>
    </row>
    <row r="11" spans="1:17" ht="15.75">
      <c r="A11" t="s">
        <v>771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771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771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56881.93393419528</v>
      </c>
      <c r="Q13" s="234">
        <f ca="1">Resultado!D17</f>
        <v>56881.93393419528</v>
      </c>
    </row>
    <row r="14" spans="1:17" ht="15.75">
      <c r="A14" t="s">
        <v>771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3950481.0116799995</v>
      </c>
      <c r="Q14" s="234">
        <f ca="1">Encargos!I19</f>
        <v>3950481.0116799995</v>
      </c>
    </row>
    <row r="15" spans="1:17" ht="15.75">
      <c r="A15" t="s">
        <v>771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771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0</v>
      </c>
      <c r="Q16" s="234">
        <f>Resultado!D20</f>
        <v>0</v>
      </c>
    </row>
    <row r="17" spans="1:17" ht="15.75">
      <c r="A17" t="s">
        <v>771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721760.7249899999</v>
      </c>
      <c r="Q17" s="234">
        <f ca="1">Resultado!D21</f>
        <v>721760.7249899999</v>
      </c>
    </row>
    <row r="18" spans="1:17" ht="15.75">
      <c r="A18" t="s">
        <v>771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771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771</v>
      </c>
      <c r="B20" t="s">
        <v>793</v>
      </c>
      <c r="C20" t="s">
        <v>1570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771</v>
      </c>
      <c r="B21" t="s">
        <v>793</v>
      </c>
      <c r="C21" t="s">
        <v>1571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6028139.6394422995</v>
      </c>
      <c r="Q21" s="234">
        <f>Q22/(1-Q20)</f>
        <v>6028139.6394422995</v>
      </c>
    </row>
    <row r="22" spans="1:17" ht="15.75">
      <c r="A22" t="s">
        <v>771</v>
      </c>
      <c r="B22" t="s">
        <v>793</v>
      </c>
      <c r="C22" t="s">
        <v>1572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6028139.6394422995</v>
      </c>
      <c r="Q22" s="234">
        <f>CUSD!C3</f>
        <v>6028139.6394422995</v>
      </c>
    </row>
    <row r="23" spans="1:17" ht="15.75">
      <c r="A23" t="s">
        <v>771</v>
      </c>
      <c r="B23" t="s">
        <v>793</v>
      </c>
      <c r="C23" s="9" t="s">
        <v>1237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771</v>
      </c>
      <c r="B24" t="s">
        <v>793</v>
      </c>
      <c r="C24" t="s">
        <v>1265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771</v>
      </c>
      <c r="B25" t="s">
        <v>793</v>
      </c>
      <c r="C25" t="s">
        <v>1573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771</v>
      </c>
      <c r="B26" t="s">
        <v>793</v>
      </c>
      <c r="C26" t="s">
        <v>1574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771</v>
      </c>
      <c r="B27" t="s">
        <v>793</v>
      </c>
      <c r="C27" t="s">
        <v>1575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771</v>
      </c>
      <c r="B28" t="s">
        <v>793</v>
      </c>
      <c r="C28" t="s">
        <v>1576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771</v>
      </c>
      <c r="B29" t="s">
        <v>793</v>
      </c>
      <c r="C29" t="s">
        <v>1577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770</v>
      </c>
      <c r="B30" t="s">
        <v>120</v>
      </c>
      <c r="C30" t="s">
        <v>821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771</v>
      </c>
      <c r="B31" t="s">
        <v>120</v>
      </c>
      <c r="C31" t="s">
        <v>821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10944.528595109821</v>
      </c>
      <c r="Q31" s="234">
        <f ca="1">Energia!C5</f>
        <v>10944.528595109821</v>
      </c>
    </row>
    <row r="32" spans="1:17" ht="15.75">
      <c r="A32" t="s">
        <v>771</v>
      </c>
      <c r="B32" t="s">
        <v>120</v>
      </c>
      <c r="C32" t="s">
        <v>1578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380.86959510982177</v>
      </c>
      <c r="Q32" s="234">
        <f ca="1">Energia!M17</f>
        <v>380.86959510982177</v>
      </c>
    </row>
    <row r="33" spans="1:17" ht="15.75">
      <c r="A33" t="s">
        <v>771</v>
      </c>
      <c r="B33" t="s">
        <v>120</v>
      </c>
      <c r="C33" t="s">
        <v>1579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771</v>
      </c>
      <c r="B34" t="s">
        <v>120</v>
      </c>
      <c r="C34" t="s">
        <v>1580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Energia!M18</f>
        <v>0</v>
      </c>
    </row>
    <row r="35" spans="1:17" ht="15.75">
      <c r="A35" t="s">
        <v>771</v>
      </c>
      <c r="B35" t="s">
        <v>120</v>
      </c>
      <c r="C35" t="s">
        <v>1581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Energia!M19</f>
        <v>0</v>
      </c>
    </row>
    <row r="36" spans="1:17" ht="15.75">
      <c r="A36" t="s">
        <v>771</v>
      </c>
      <c r="B36" t="s">
        <v>120</v>
      </c>
      <c r="C36" t="s">
        <v>1582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3.4799999999999998E-2</v>
      </c>
      <c r="Q36" s="234">
        <f ca="1">Energia!M14</f>
        <v>3.4799999999999998E-2</v>
      </c>
    </row>
    <row r="37" spans="1:17" s="12" customFormat="1" ht="15.75">
      <c r="A37" t="s">
        <v>771</v>
      </c>
      <c r="B37" t="s">
        <v>120</v>
      </c>
      <c r="C37" t="s">
        <v>1583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771</v>
      </c>
      <c r="B38" t="s">
        <v>120</v>
      </c>
      <c r="C38" t="s">
        <v>1584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Energia!M15</f>
        <v>0</v>
      </c>
    </row>
    <row r="39" spans="1:17" s="15" customFormat="1" ht="15.75">
      <c r="A39" t="s">
        <v>771</v>
      </c>
      <c r="B39" t="s">
        <v>120</v>
      </c>
      <c r="C39" t="s">
        <v>1585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3329455.1935485285</v>
      </c>
      <c r="Q39" s="234">
        <f ca="1">Energia!C14</f>
        <v>3329455.1935485285</v>
      </c>
    </row>
    <row r="40" spans="1:17" ht="15.75">
      <c r="A40" t="s">
        <v>770</v>
      </c>
      <c r="B40" t="s">
        <v>120</v>
      </c>
      <c r="C40" t="s">
        <v>1586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304.21184106880389</v>
      </c>
      <c r="Q40" s="234">
        <f ca="1">Energia!C13</f>
        <v>304.21184106880389</v>
      </c>
    </row>
    <row r="41" spans="1:17" ht="15.75">
      <c r="A41" t="s">
        <v>770</v>
      </c>
      <c r="B41" t="s">
        <v>120</v>
      </c>
      <c r="C41" t="s">
        <v>1587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215.08</v>
      </c>
      <c r="Q41" s="234">
        <f>Energia!C19</f>
        <v>215.08</v>
      </c>
    </row>
    <row r="42" spans="1:17" ht="15.75">
      <c r="A42" t="s">
        <v>771</v>
      </c>
      <c r="B42" t="s">
        <v>120</v>
      </c>
      <c r="C42" t="s">
        <v>1588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10729.448595109821</v>
      </c>
      <c r="Q42" s="234">
        <f ca="1">Energia!C22</f>
        <v>10729.448595109821</v>
      </c>
    </row>
    <row r="43" spans="1:17" ht="15.75">
      <c r="A43" t="s">
        <v>771</v>
      </c>
      <c r="B43" t="s">
        <v>120</v>
      </c>
      <c r="C43" s="9" t="s">
        <v>1589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3329455.1935485285</v>
      </c>
      <c r="Q43" s="234">
        <f ca="1">Energia!F22</f>
        <v>3329455.1935485285</v>
      </c>
    </row>
    <row r="44" spans="1:17" s="12" customFormat="1" ht="15.75">
      <c r="A44" t="s">
        <v>771</v>
      </c>
      <c r="B44" t="s">
        <v>120</v>
      </c>
      <c r="C44" t="s">
        <v>1590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771</v>
      </c>
      <c r="B45" t="s">
        <v>120</v>
      </c>
      <c r="C45" t="s">
        <v>1591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771</v>
      </c>
      <c r="B46" t="s">
        <v>120</v>
      </c>
      <c r="C46" t="s">
        <v>1592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771</v>
      </c>
      <c r="B47" t="s">
        <v>120</v>
      </c>
      <c r="C47" s="9" t="s">
        <v>1593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2">
        <f>VALUE(Energia!A28)</f>
        <v>63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771</v>
      </c>
      <c r="B48" t="s">
        <v>120</v>
      </c>
      <c r="C48" s="9" t="s">
        <v>1593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 s="422">
        <f>VALUE(Energia!A29)</f>
        <v>0</v>
      </c>
      <c r="P48" s="234">
        <f t="shared" si="0"/>
        <v>0</v>
      </c>
      <c r="Q48" s="234" t="str">
        <f>Energia!F29</f>
        <v/>
      </c>
    </row>
    <row r="49" spans="1:17" s="12" customFormat="1" ht="15.75">
      <c r="A49" t="s">
        <v>771</v>
      </c>
      <c r="B49" t="s">
        <v>120</v>
      </c>
      <c r="C49" s="9" t="s">
        <v>1593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2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771</v>
      </c>
      <c r="B50" t="s">
        <v>120</v>
      </c>
      <c r="C50" s="9" t="s">
        <v>1593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2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771</v>
      </c>
      <c r="B51" t="s">
        <v>120</v>
      </c>
      <c r="C51" s="9" t="s">
        <v>1593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2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771</v>
      </c>
      <c r="B52" t="s">
        <v>974</v>
      </c>
      <c r="C52" t="s">
        <v>966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10563.659</v>
      </c>
      <c r="Q52" s="234">
        <f ca="1">FornecimentoE</f>
        <v>10563.659</v>
      </c>
    </row>
    <row r="53" spans="1:17" s="12" customFormat="1" ht="15.75">
      <c r="A53" t="s">
        <v>771</v>
      </c>
      <c r="B53" t="s">
        <v>974</v>
      </c>
      <c r="C53" t="s">
        <v>987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771</v>
      </c>
      <c r="B54" t="s">
        <v>974</v>
      </c>
      <c r="C54" t="s">
        <v>1594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771</v>
      </c>
      <c r="B55" t="s">
        <v>974</v>
      </c>
      <c r="C55" t="s">
        <v>1595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40537.047999999995</v>
      </c>
      <c r="Q55" s="234">
        <f ca="1">Calc_Mercado!C22</f>
        <v>40537.047999999995</v>
      </c>
    </row>
    <row r="56" spans="1:17" s="12" customFormat="1" ht="15.75">
      <c r="A56" t="s">
        <v>771</v>
      </c>
      <c r="B56" t="s">
        <v>974</v>
      </c>
      <c r="C56" t="s">
        <v>991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771</v>
      </c>
      <c r="B57" t="s">
        <v>974</v>
      </c>
      <c r="C57" t="s">
        <v>1596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771</v>
      </c>
      <c r="B58" t="s">
        <v>974</v>
      </c>
      <c r="C58" t="s">
        <v>1597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771</v>
      </c>
      <c r="B59" t="s">
        <v>974</v>
      </c>
      <c r="C59" t="s">
        <v>1598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771</v>
      </c>
      <c r="B60" t="s">
        <v>974</v>
      </c>
      <c r="C60" t="s">
        <v>1599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771</v>
      </c>
      <c r="B61" t="s">
        <v>974</v>
      </c>
      <c r="C61" t="s">
        <v>1600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771</v>
      </c>
      <c r="B62" t="s">
        <v>974</v>
      </c>
      <c r="C62" t="s">
        <v>1601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2396.4049999999997</v>
      </c>
      <c r="Q62" s="234">
        <f ca="1">Calc_Mercado!C13</f>
        <v>2396.4049999999997</v>
      </c>
    </row>
    <row r="63" spans="1:17" s="12" customFormat="1" ht="15.75">
      <c r="A63" t="s">
        <v>771</v>
      </c>
      <c r="B63" t="s">
        <v>974</v>
      </c>
      <c r="C63" t="s">
        <v>1602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771</v>
      </c>
      <c r="B64" t="s">
        <v>974</v>
      </c>
      <c r="C64" t="s">
        <v>1603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0" ca="1" si="2">IF(ISNUMBER(Q64),Q64,0)</f>
        <v>8167.2539999999999</v>
      </c>
      <c r="Q64" s="234">
        <f ca="1">FornecimentoE_BT</f>
        <v>8167.2539999999999</v>
      </c>
    </row>
    <row r="65" spans="1:17" ht="15.75">
      <c r="A65" t="s">
        <v>771</v>
      </c>
      <c r="B65" t="s">
        <v>974</v>
      </c>
      <c r="C65" t="s">
        <v>966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6779114.2738800077</v>
      </c>
      <c r="Q65" s="234">
        <f ca="1">Calc_Mercado!D8</f>
        <v>6779114.2738800077</v>
      </c>
    </row>
    <row r="66" spans="1:17" ht="15.75">
      <c r="A66" t="s">
        <v>771</v>
      </c>
      <c r="B66" t="s">
        <v>974</v>
      </c>
      <c r="C66" t="s">
        <v>987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771</v>
      </c>
      <c r="B67" t="s">
        <v>974</v>
      </c>
      <c r="C67" t="s">
        <v>1594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771</v>
      </c>
      <c r="B68" t="s">
        <v>974</v>
      </c>
      <c r="C68" t="s">
        <v>1595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12944382.223039998</v>
      </c>
      <c r="Q68" s="234">
        <f ca="1">Calc_Mercado!D22</f>
        <v>12944382.223039998</v>
      </c>
    </row>
    <row r="69" spans="1:17" ht="15.75">
      <c r="A69" t="s">
        <v>771</v>
      </c>
      <c r="B69" t="s">
        <v>974</v>
      </c>
      <c r="C69" t="s">
        <v>991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771</v>
      </c>
      <c r="B70" t="s">
        <v>974</v>
      </c>
      <c r="C70" t="s">
        <v>1596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771</v>
      </c>
      <c r="B71" t="s">
        <v>974</v>
      </c>
      <c r="C71" t="s">
        <v>1597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771</v>
      </c>
      <c r="B72" t="s">
        <v>974</v>
      </c>
      <c r="C72" t="s">
        <v>1598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771</v>
      </c>
      <c r="B73" t="s">
        <v>974</v>
      </c>
      <c r="C73" t="s">
        <v>1599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771</v>
      </c>
      <c r="B74" t="s">
        <v>974</v>
      </c>
      <c r="C74" t="s">
        <v>1600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771</v>
      </c>
      <c r="B75" t="s">
        <v>974</v>
      </c>
      <c r="C75" t="s">
        <v>1601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1676878.3129400006</v>
      </c>
      <c r="Q75" s="234">
        <f ca="1">Calc_Mercado!D13</f>
        <v>1676878.3129400006</v>
      </c>
    </row>
    <row r="76" spans="1:17" ht="15.75">
      <c r="A76" t="s">
        <v>771</v>
      </c>
      <c r="B76" t="s">
        <v>974</v>
      </c>
      <c r="C76" t="s">
        <v>1602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771</v>
      </c>
      <c r="B77" t="s">
        <v>974</v>
      </c>
      <c r="C77" t="s">
        <v>1603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5102235.9609400071</v>
      </c>
      <c r="Q77" s="234">
        <f ca="1">Calc_Mercado!D15</f>
        <v>5102235.9609400071</v>
      </c>
    </row>
    <row r="78" spans="1:17" ht="15.75">
      <c r="A78" t="s">
        <v>771</v>
      </c>
      <c r="B78" t="s">
        <v>974</v>
      </c>
      <c r="C78" t="s">
        <v>1604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770</v>
      </c>
      <c r="B79" t="s">
        <v>974</v>
      </c>
      <c r="C79" s="9" t="s">
        <v>1605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771</v>
      </c>
      <c r="B80" t="s">
        <v>974</v>
      </c>
      <c r="C80" t="s">
        <v>1606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10563.659</v>
      </c>
      <c r="Q80" s="234">
        <f ca="1">LnkTXTEV</f>
        <v>10563.659</v>
      </c>
    </row>
    <row r="81" spans="1:17" ht="15.75">
      <c r="A81" t="s">
        <v>771</v>
      </c>
      <c r="B81" t="s">
        <v>109</v>
      </c>
      <c r="C81" t="s">
        <v>1607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10580562.18</v>
      </c>
      <c r="Q81" s="234">
        <f>Resultado!D39</f>
        <v>10580562.18</v>
      </c>
    </row>
    <row r="82" spans="1:17" ht="15.75">
      <c r="A82" s="402" t="s">
        <v>771</v>
      </c>
      <c r="B82" s="402" t="s">
        <v>1378</v>
      </c>
      <c r="C82" s="402" t="str">
        <f>Financeiros!C9</f>
        <v>Repasse de PIS COFINS</v>
      </c>
      <c r="D82" s="402">
        <v>2</v>
      </c>
      <c r="E82" s="402">
        <v>2</v>
      </c>
      <c r="F82" s="402">
        <v>999</v>
      </c>
      <c r="G82" s="402">
        <v>999999</v>
      </c>
      <c r="H82" s="402">
        <v>999</v>
      </c>
      <c r="I82" s="402">
        <v>99</v>
      </c>
      <c r="J82" s="402">
        <v>999</v>
      </c>
      <c r="K82" s="402">
        <v>9</v>
      </c>
      <c r="L82" s="402">
        <v>99</v>
      </c>
      <c r="M82">
        <v>9</v>
      </c>
      <c r="N82" s="402">
        <v>3</v>
      </c>
      <c r="O82" s="402">
        <v>99999</v>
      </c>
      <c r="P82" s="403">
        <f t="shared" si="2"/>
        <v>0</v>
      </c>
      <c r="Q82" s="403">
        <v>0</v>
      </c>
    </row>
    <row r="83" spans="1:17" ht="15.75">
      <c r="A83" t="s">
        <v>771</v>
      </c>
      <c r="B83" t="s">
        <v>1378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241000.99150086846</v>
      </c>
      <c r="Q83" s="234">
        <f ca="1">Financeiros!D10</f>
        <v>241000.99150086846</v>
      </c>
    </row>
    <row r="84" spans="1:17" ht="15.75">
      <c r="A84" t="s">
        <v>771</v>
      </c>
      <c r="B84" t="s">
        <v>1378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146730.84592383954</v>
      </c>
      <c r="Q84" s="234">
        <f ca="1">Financeiros!D11</f>
        <v>146730.84592383954</v>
      </c>
    </row>
    <row r="85" spans="1:17" ht="15.75">
      <c r="A85" t="s">
        <v>771</v>
      </c>
      <c r="B85" t="s">
        <v>1378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3034.2740746862569</v>
      </c>
      <c r="Q85" s="234">
        <f ca="1">Financeiros!D12</f>
        <v>3034.2740746862569</v>
      </c>
    </row>
    <row r="86" spans="1:17" ht="15.75">
      <c r="A86" t="s">
        <v>771</v>
      </c>
      <c r="B86" t="s">
        <v>1378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184353.43642328435</v>
      </c>
      <c r="Q86" s="234">
        <f ca="1">Financeiros!D13</f>
        <v>184353.43642328435</v>
      </c>
    </row>
    <row r="87" spans="1:17" ht="15.75">
      <c r="A87" t="s">
        <v>771</v>
      </c>
      <c r="B87" t="s">
        <v>1378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771</v>
      </c>
      <c r="B88" t="s">
        <v>1378</v>
      </c>
      <c r="C88" t="str">
        <f>Financeiros!C15</f>
        <v>(Neutralidade) ESS/ERR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771</v>
      </c>
      <c r="B89" t="s">
        <v>1378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33003.699825291988</v>
      </c>
      <c r="Q89" s="234">
        <f ca="1">Financeiros!D16</f>
        <v>33003.699825291988</v>
      </c>
    </row>
    <row r="90" spans="1:17" ht="15.75">
      <c r="A90" t="s">
        <v>771</v>
      </c>
      <c r="B90" t="s">
        <v>1378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771</v>
      </c>
      <c r="B91" t="s">
        <v>1378</v>
      </c>
      <c r="C91" t="str">
        <f>Financeiros!C18</f>
        <v>(Neutralidade)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999</v>
      </c>
      <c r="I91">
        <f>Financeiros!I18</f>
        <v>4</v>
      </c>
      <c r="J91">
        <f>Financeiros!J18</f>
        <v>999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771</v>
      </c>
      <c r="B92" t="s">
        <v>1378</v>
      </c>
      <c r="C92" t="str">
        <f>Financeiros!C19</f>
        <v>Ajuste CUST RB + PIS Cofins RB</v>
      </c>
      <c r="D92">
        <v>2</v>
      </c>
      <c r="E92">
        <v>2</v>
      </c>
      <c r="F92">
        <f>Financeiros!F19</f>
        <v>22</v>
      </c>
      <c r="G92">
        <f>Financeiros!G19</f>
        <v>60</v>
      </c>
      <c r="H92">
        <f>Financeiros!H19</f>
        <v>999</v>
      </c>
      <c r="I92">
        <f>Financeiros!I19</f>
        <v>1</v>
      </c>
      <c r="J92">
        <f>Financeiros!J19</f>
        <v>1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si="2"/>
        <v>0</v>
      </c>
      <c r="Q92" s="234">
        <f>Financeiros!D19</f>
        <v>0</v>
      </c>
    </row>
    <row r="93" spans="1:17" ht="15.75">
      <c r="A93" t="s">
        <v>771</v>
      </c>
      <c r="B93" t="s">
        <v>1378</v>
      </c>
      <c r="C93" t="str">
        <f>Financeiros!C20</f>
        <v>Ajuste CUST RB Fronteira + PIS Cofins RB Fronteira</v>
      </c>
      <c r="D93">
        <v>2</v>
      </c>
      <c r="E93">
        <v>2</v>
      </c>
      <c r="F93">
        <f>Financeiros!F20</f>
        <v>22</v>
      </c>
      <c r="G93">
        <f>Financeiros!G20</f>
        <v>60</v>
      </c>
      <c r="H93">
        <f>Financeiros!H20</f>
        <v>999</v>
      </c>
      <c r="I93">
        <f>Financeiros!I20</f>
        <v>1</v>
      </c>
      <c r="J93">
        <f>Financeiros!J20</f>
        <v>2</v>
      </c>
      <c r="K93">
        <f>Financeiros!K20</f>
        <v>9</v>
      </c>
      <c r="L93">
        <v>99</v>
      </c>
      <c r="M93">
        <v>9</v>
      </c>
      <c r="N93">
        <v>3</v>
      </c>
      <c r="O93">
        <v>99999</v>
      </c>
      <c r="P93" s="234">
        <f t="shared" si="2"/>
        <v>0</v>
      </c>
      <c r="Q93" s="234">
        <f>Financeiros!D20</f>
        <v>0</v>
      </c>
    </row>
    <row r="94" spans="1:17" ht="15.75">
      <c r="A94" t="s">
        <v>771</v>
      </c>
      <c r="B94" t="s">
        <v>1378</v>
      </c>
      <c r="C94" t="str">
        <f>Financeiros!C21</f>
        <v>Manual de Contabilidade do Setor Elétrico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167</v>
      </c>
      <c r="I94">
        <f>Financeiros!I21</f>
        <v>4</v>
      </c>
      <c r="J94">
        <f>Financeiros!J21</f>
        <v>999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771</v>
      </c>
      <c r="B95" t="s">
        <v>1378</v>
      </c>
      <c r="C95">
        <f>Financeiros!C22</f>
        <v>0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194</v>
      </c>
      <c r="I95">
        <f>Financeiros!I22</f>
        <v>99</v>
      </c>
      <c r="J95">
        <f>Financeiros!J22</f>
        <v>999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771</v>
      </c>
      <c r="B96" t="s">
        <v>1378</v>
      </c>
      <c r="C96" t="str">
        <f>Financeiros!C23</f>
        <v>Ajustes Processos anteriores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999</v>
      </c>
      <c r="I96">
        <f>Financeiros!I23</f>
        <v>2</v>
      </c>
      <c r="J96">
        <f>Financeiros!J23</f>
        <v>30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s="402" t="s">
        <v>771</v>
      </c>
      <c r="B97" s="402" t="s">
        <v>1378</v>
      </c>
      <c r="C97" s="402" t="str">
        <f>Financeiros!C24</f>
        <v>Ajuste CUST + PISCONFINS Transmissão</v>
      </c>
      <c r="D97" s="402">
        <v>2</v>
      </c>
      <c r="E97" s="402">
        <v>2</v>
      </c>
      <c r="F97" s="402">
        <v>999</v>
      </c>
      <c r="G97" s="402">
        <v>999999</v>
      </c>
      <c r="H97" s="402">
        <v>999</v>
      </c>
      <c r="I97" s="402">
        <v>99</v>
      </c>
      <c r="J97" s="402">
        <v>999</v>
      </c>
      <c r="K97" s="402">
        <v>9</v>
      </c>
      <c r="L97" s="402">
        <v>99</v>
      </c>
      <c r="M97">
        <v>9</v>
      </c>
      <c r="N97" s="402">
        <v>3</v>
      </c>
      <c r="O97" s="402">
        <v>99999</v>
      </c>
      <c r="P97" s="403">
        <f t="shared" si="2"/>
        <v>0</v>
      </c>
      <c r="Q97" s="403">
        <v>0</v>
      </c>
    </row>
    <row r="98" spans="1:17" ht="15.75">
      <c r="A98" t="s">
        <v>771</v>
      </c>
      <c r="B98" t="s">
        <v>1378</v>
      </c>
      <c r="C98" t="str">
        <f>Financeiros!C25</f>
        <v>Compensação DIC FIC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178</v>
      </c>
      <c r="I98">
        <f>Financeiros!I25</f>
        <v>1</v>
      </c>
      <c r="J98">
        <f>Financeiros!J25</f>
        <v>7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-101090.8966218686</v>
      </c>
      <c r="Q98" s="234">
        <f>Financeiros!D25</f>
        <v>-101090.8966218686</v>
      </c>
    </row>
    <row r="99" spans="1:17" ht="15.75">
      <c r="A99" t="s">
        <v>771</v>
      </c>
      <c r="B99" t="s">
        <v>1378</v>
      </c>
      <c r="C99" t="str">
        <f>Financeiros!C26</f>
        <v>Subvenção CDE</v>
      </c>
      <c r="D99">
        <v>2</v>
      </c>
      <c r="E99">
        <v>2</v>
      </c>
      <c r="F99">
        <f>Financeiros!F26</f>
        <v>22</v>
      </c>
      <c r="G99">
        <f>Financeiros!G26</f>
        <v>60</v>
      </c>
      <c r="H99">
        <f>Financeiros!H26</f>
        <v>999</v>
      </c>
      <c r="I99">
        <f>Financeiros!I26</f>
        <v>4</v>
      </c>
      <c r="J99">
        <f>Financeiros!J26</f>
        <v>999</v>
      </c>
      <c r="K99">
        <f>Financeiros!K26</f>
        <v>9</v>
      </c>
      <c r="L99">
        <v>99</v>
      </c>
      <c r="M99">
        <v>9</v>
      </c>
      <c r="N99">
        <v>3</v>
      </c>
      <c r="O99">
        <v>99999</v>
      </c>
      <c r="P99" s="234">
        <f t="shared" ca="1" si="2"/>
        <v>-1599892.1389602604</v>
      </c>
      <c r="Q99" s="234">
        <f ca="1">Financeiros!D26</f>
        <v>-1599892.1389602604</v>
      </c>
    </row>
    <row r="100" spans="1:17" ht="15.75">
      <c r="A100" t="s">
        <v>771</v>
      </c>
      <c r="B100" t="s">
        <v>1378</v>
      </c>
      <c r="C100" t="str">
        <f>Financeiros!C27</f>
        <v>Retenção de Adicionais de Bandeiras Tarifárias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999</v>
      </c>
      <c r="I100">
        <f>Financeiros!I27</f>
        <v>2</v>
      </c>
      <c r="J100">
        <f>Financeiros!J27</f>
        <v>30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ref="P100:P110" si="3">IF(ISNUMBER(Q100),Q100,0)</f>
        <v>0</v>
      </c>
      <c r="Q100" s="234">
        <f>Financeiros!D27</f>
        <v>0</v>
      </c>
    </row>
    <row r="101" spans="1:17" ht="15.75">
      <c r="A101" t="s">
        <v>771</v>
      </c>
      <c r="B101" t="s">
        <v>1378</v>
      </c>
      <c r="C101" t="str">
        <f>Financeiros!C28</f>
        <v>Multa LPT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120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si="3"/>
        <v>0</v>
      </c>
      <c r="Q101" s="234">
        <f>Financeiros!D28</f>
        <v>0</v>
      </c>
    </row>
    <row r="102" spans="1:17" ht="15.75">
      <c r="A102" t="s">
        <v>771</v>
      </c>
      <c r="B102" t="s">
        <v>1378</v>
      </c>
      <c r="C102" t="str">
        <f>Financeiros!C30</f>
        <v>Repasse de ICMS CUSD</v>
      </c>
      <c r="D102">
        <v>2</v>
      </c>
      <c r="E102">
        <v>2</v>
      </c>
      <c r="F102">
        <f>Financeiros!F30</f>
        <v>22</v>
      </c>
      <c r="G102">
        <f>Financeiros!G30</f>
        <v>60</v>
      </c>
      <c r="H102">
        <f>Financeiros!H30</f>
        <v>999</v>
      </c>
      <c r="I102">
        <f>Financeiros!I30</f>
        <v>1</v>
      </c>
      <c r="J102">
        <f>Financeiros!J30</f>
        <v>7</v>
      </c>
      <c r="K102">
        <f>Financeiros!K30</f>
        <v>9</v>
      </c>
      <c r="L102">
        <v>99</v>
      </c>
      <c r="M102">
        <v>9</v>
      </c>
      <c r="N102">
        <v>3</v>
      </c>
      <c r="O102">
        <v>99999</v>
      </c>
      <c r="P102" s="234">
        <f t="shared" ca="1" si="3"/>
        <v>5.008086939629818</v>
      </c>
      <c r="Q102" s="234">
        <f ca="1">Financeiros!D30</f>
        <v>5.008086939629818</v>
      </c>
    </row>
    <row r="103" spans="1:17" ht="15.75">
      <c r="A103" t="s">
        <v>771</v>
      </c>
      <c r="B103" t="s">
        <v>1378</v>
      </c>
      <c r="C103" t="str">
        <f>Financeiros!C31</f>
        <v>Repasse de ICMS TE</v>
      </c>
      <c r="D103">
        <v>2</v>
      </c>
      <c r="E103">
        <v>2</v>
      </c>
      <c r="F103">
        <f>Financeiros!F31</f>
        <v>22</v>
      </c>
      <c r="G103">
        <f>Financeiros!G31</f>
        <v>60</v>
      </c>
      <c r="H103">
        <f>Financeiros!H31</f>
        <v>999</v>
      </c>
      <c r="I103">
        <f>Financeiros!I31</f>
        <v>2</v>
      </c>
      <c r="J103">
        <f>Financeiros!J31</f>
        <v>30</v>
      </c>
      <c r="K103">
        <f>Financeiros!K31</f>
        <v>9</v>
      </c>
      <c r="L103">
        <v>99</v>
      </c>
      <c r="M103">
        <v>9</v>
      </c>
      <c r="N103">
        <v>3</v>
      </c>
      <c r="O103">
        <v>99999</v>
      </c>
      <c r="P103" s="234">
        <f t="shared" ca="1" si="3"/>
        <v>2.7660608526373966</v>
      </c>
      <c r="Q103" s="234">
        <f ca="1">Financeiros!D31</f>
        <v>2.7660608526373966</v>
      </c>
    </row>
    <row r="104" spans="1:17" ht="15.75">
      <c r="A104" t="s">
        <v>771</v>
      </c>
      <c r="B104" t="s">
        <v>1378</v>
      </c>
      <c r="C104" t="str">
        <f>Financeiros!C32</f>
        <v>Ressarcimento P&amp;D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231</v>
      </c>
      <c r="I104">
        <f>Financeiros!I32</f>
        <v>3</v>
      </c>
      <c r="J104">
        <f>Financeiros!J32</f>
        <v>19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si="3"/>
        <v>0</v>
      </c>
      <c r="Q104" s="234">
        <f>Financeiros!D32</f>
        <v>0</v>
      </c>
    </row>
    <row r="105" spans="1:17" ht="15.75">
      <c r="A105" t="s">
        <v>771</v>
      </c>
      <c r="B105" t="s">
        <v>1378</v>
      </c>
      <c r="C105" t="str">
        <f>Financeiros!C33</f>
        <v>Efeito Conta COVID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235</v>
      </c>
      <c r="I105">
        <f>Financeiros!I33</f>
        <v>4</v>
      </c>
      <c r="J105">
        <f>Financeiros!J33</f>
        <v>999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si="3"/>
        <v>0</v>
      </c>
      <c r="Q105" s="234">
        <f>Financeiros!D33</f>
        <v>0</v>
      </c>
    </row>
    <row r="106" spans="1:17" ht="15.75">
      <c r="A106" t="s">
        <v>771</v>
      </c>
      <c r="B106" t="s">
        <v>1378</v>
      </c>
      <c r="C106" t="str">
        <f>Financeiros!C34</f>
        <v>Previsão de Risco Hidrologico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220</v>
      </c>
      <c r="I106">
        <f>Financeiros!I34</f>
        <v>2</v>
      </c>
      <c r="J106">
        <f>Financeiros!J34</f>
        <v>30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3"/>
        <v>0</v>
      </c>
      <c r="Q106" s="234">
        <f>Financeiros!D34</f>
        <v>0</v>
      </c>
    </row>
    <row r="107" spans="1:17" ht="15.75">
      <c r="A107" t="s">
        <v>771</v>
      </c>
      <c r="B107" t="s">
        <v>1378</v>
      </c>
      <c r="C107" t="str">
        <f>Financeiros!C35</f>
        <v>Efeito COVID da Supridora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999</v>
      </c>
      <c r="I107">
        <f>Financeiros!I35</f>
        <v>2</v>
      </c>
      <c r="J107">
        <f>Financeiros!J35</f>
        <v>30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3"/>
        <v>0</v>
      </c>
      <c r="Q107" s="234">
        <f>Financeiros!D35</f>
        <v>0</v>
      </c>
    </row>
    <row r="108" spans="1:17" ht="15.75">
      <c r="A108" t="s">
        <v>771</v>
      </c>
      <c r="B108" t="s">
        <v>1378</v>
      </c>
      <c r="C108" t="str">
        <f>Financeiros!C36</f>
        <v>Crédito de Pis Cofins sobre ICMS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179</v>
      </c>
      <c r="I108">
        <f>Financeiros!I36</f>
        <v>99</v>
      </c>
      <c r="J108">
        <f>Financeiros!J36</f>
        <v>999</v>
      </c>
      <c r="K108">
        <f>Financeiros!K36</f>
        <v>3</v>
      </c>
      <c r="L108">
        <v>99</v>
      </c>
      <c r="M108">
        <v>9</v>
      </c>
      <c r="N108">
        <v>3</v>
      </c>
      <c r="O108">
        <v>99999</v>
      </c>
      <c r="P108" s="234">
        <f t="shared" si="3"/>
        <v>0</v>
      </c>
      <c r="Q108" s="234">
        <f>Financeiros!D36</f>
        <v>0</v>
      </c>
    </row>
    <row r="109" spans="1:17" ht="15.75">
      <c r="A109" t="s">
        <v>771</v>
      </c>
      <c r="B109" t="s">
        <v>1378</v>
      </c>
      <c r="C109" t="str">
        <f>Financeiros!C37</f>
        <v>Diferimento Pis Cofins TUSD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1</v>
      </c>
      <c r="J109">
        <f>Financeiros!J37</f>
        <v>7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3"/>
        <v>0</v>
      </c>
      <c r="Q109" s="234">
        <f>Financeiros!D37</f>
        <v>0</v>
      </c>
    </row>
    <row r="110" spans="1:17" ht="15.75">
      <c r="A110" t="s">
        <v>771</v>
      </c>
      <c r="B110" t="s">
        <v>1378</v>
      </c>
      <c r="C110" t="str">
        <f>Financeiros!C38</f>
        <v>Diferimento Pis Cofins TE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999</v>
      </c>
      <c r="I110">
        <f>Financeiros!I38</f>
        <v>2</v>
      </c>
      <c r="J110">
        <f>Financeiros!J38</f>
        <v>30</v>
      </c>
      <c r="K110">
        <f>Financeiros!K38</f>
        <v>9</v>
      </c>
      <c r="L110">
        <v>99</v>
      </c>
      <c r="M110">
        <v>9</v>
      </c>
      <c r="N110">
        <v>3</v>
      </c>
      <c r="O110">
        <v>99999</v>
      </c>
      <c r="P110" s="234">
        <f t="shared" si="3"/>
        <v>0</v>
      </c>
      <c r="Q110" s="234">
        <f>Financeiros!D38</f>
        <v>0</v>
      </c>
    </row>
    <row r="111" spans="1:17" ht="15.75">
      <c r="A111" t="s">
        <v>771</v>
      </c>
      <c r="B111" t="s">
        <v>1378</v>
      </c>
      <c r="C111" t="str">
        <f>Financeiros!C39</f>
        <v>Financeiros associados ao §7º do Art. 88 da Ren 414/2021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2</v>
      </c>
      <c r="J111">
        <f>Financeiros!J39</f>
        <v>30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2"/>
        <v>0</v>
      </c>
      <c r="Q111" s="234">
        <f>Financeiros!D39</f>
        <v>0</v>
      </c>
    </row>
    <row r="112" spans="1:17" ht="15.75">
      <c r="A112" t="s">
        <v>771</v>
      </c>
      <c r="B112" t="s">
        <v>1378</v>
      </c>
      <c r="C112">
        <f>Financeiros!C40</f>
        <v>0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99</v>
      </c>
      <c r="J112">
        <f>Financeiros!J40</f>
        <v>999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ref="P112:P114" si="4">IF(ISNUMBER(Q112),Q112,0)</f>
        <v>0</v>
      </c>
      <c r="Q112" s="234">
        <f>Financeiros!D40</f>
        <v>0</v>
      </c>
    </row>
    <row r="113" spans="1:17" ht="15.75">
      <c r="A113" t="s">
        <v>771</v>
      </c>
      <c r="B113" t="s">
        <v>1378</v>
      </c>
      <c r="C113" t="str">
        <f>Financeiros!C41</f>
        <v>Reversão Postergação Covid TUSD em 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196</v>
      </c>
      <c r="I113">
        <f>Financeiros!I41</f>
        <v>99</v>
      </c>
      <c r="J113">
        <f>Financeiros!J41</f>
        <v>999</v>
      </c>
      <c r="K113">
        <f>Financeiros!K41</f>
        <v>1</v>
      </c>
      <c r="L113">
        <v>99</v>
      </c>
      <c r="M113">
        <v>9</v>
      </c>
      <c r="N113">
        <v>3</v>
      </c>
      <c r="O113">
        <v>99999</v>
      </c>
      <c r="P113" s="234">
        <f t="shared" si="4"/>
        <v>-28378.362367771737</v>
      </c>
      <c r="Q113" s="234">
        <f>Financeiros!D41</f>
        <v>-28378.362367771737</v>
      </c>
    </row>
    <row r="114" spans="1:17" ht="15.75">
      <c r="A114" t="s">
        <v>771</v>
      </c>
      <c r="B114" t="s">
        <v>1378</v>
      </c>
      <c r="C114" t="str">
        <f>Financeiros!C42</f>
        <v>Reversão Postergação Covid TE em 2021</v>
      </c>
      <c r="D114">
        <v>2</v>
      </c>
      <c r="E114">
        <v>2</v>
      </c>
      <c r="F114">
        <f>Financeiros!F42</f>
        <v>22</v>
      </c>
      <c r="G114">
        <f>Financeiros!G42</f>
        <v>60</v>
      </c>
      <c r="H114">
        <f>Financeiros!H42</f>
        <v>196</v>
      </c>
      <c r="I114">
        <f>Financeiros!I42</f>
        <v>99</v>
      </c>
      <c r="J114">
        <f>Financeiros!J42</f>
        <v>999</v>
      </c>
      <c r="K114">
        <f>Financeiros!K42</f>
        <v>2</v>
      </c>
      <c r="L114">
        <v>99</v>
      </c>
      <c r="M114">
        <v>9</v>
      </c>
      <c r="N114">
        <v>3</v>
      </c>
      <c r="O114">
        <v>99999</v>
      </c>
      <c r="P114" s="234">
        <f t="shared" si="4"/>
        <v>21104.069183764557</v>
      </c>
      <c r="Q114" s="234">
        <f>Financeiros!D42</f>
        <v>21104.069183764557</v>
      </c>
    </row>
    <row r="115" spans="1:17" ht="15.75">
      <c r="A115" t="s">
        <v>771</v>
      </c>
      <c r="B115" t="s">
        <v>1378</v>
      </c>
      <c r="C115" t="str">
        <f>Financeiros!C10</f>
        <v>Repasse de PIS COFINS CUSD</v>
      </c>
      <c r="D115">
        <v>2</v>
      </c>
      <c r="E115">
        <v>2</v>
      </c>
      <c r="F115">
        <f>Financeiros!F10</f>
        <v>22</v>
      </c>
      <c r="G115">
        <f>Financeiros!G10</f>
        <v>60</v>
      </c>
      <c r="H115">
        <f>Financeiros!H10</f>
        <v>999</v>
      </c>
      <c r="I115">
        <f>Financeiros!I10</f>
        <v>1</v>
      </c>
      <c r="J115">
        <f>Financeiros!J10</f>
        <v>7</v>
      </c>
      <c r="K115">
        <f>Financeiros!K10</f>
        <v>9</v>
      </c>
      <c r="L115">
        <v>99</v>
      </c>
      <c r="M115">
        <v>9</v>
      </c>
      <c r="N115">
        <v>4</v>
      </c>
      <c r="O115">
        <v>99999</v>
      </c>
      <c r="P115" s="234">
        <f t="shared" ca="1" si="2"/>
        <v>1.2218979101322266E-2</v>
      </c>
      <c r="Q115" s="234">
        <f ca="1">Financeiros!E10</f>
        <v>1.2218979101322266E-2</v>
      </c>
    </row>
    <row r="116" spans="1:17" ht="15.75">
      <c r="A116" t="s">
        <v>771</v>
      </c>
      <c r="B116" t="s">
        <v>1378</v>
      </c>
      <c r="C116" t="str">
        <f>Financeiros!C11</f>
        <v>Repasse de PIS COFINS TE</v>
      </c>
      <c r="D116">
        <v>2</v>
      </c>
      <c r="E116">
        <v>2</v>
      </c>
      <c r="F116">
        <f>Financeiros!F11</f>
        <v>22</v>
      </c>
      <c r="G116">
        <f>Financeiros!G11</f>
        <v>60</v>
      </c>
      <c r="H116">
        <f>Financeiros!H11</f>
        <v>999</v>
      </c>
      <c r="I116">
        <f>Financeiros!I11</f>
        <v>2</v>
      </c>
      <c r="J116">
        <f>Financeiros!J11</f>
        <v>30</v>
      </c>
      <c r="K116">
        <f>Financeiros!K11</f>
        <v>9</v>
      </c>
      <c r="L116">
        <v>99</v>
      </c>
      <c r="M116">
        <v>9</v>
      </c>
      <c r="N116">
        <v>4</v>
      </c>
      <c r="O116">
        <v>99999</v>
      </c>
      <c r="P116" s="234">
        <f t="shared" ca="1" si="2"/>
        <v>7.4393932103647463E-3</v>
      </c>
      <c r="Q116" s="234">
        <f ca="1">Financeiros!E11</f>
        <v>7.4393932103647463E-3</v>
      </c>
    </row>
    <row r="117" spans="1:17" ht="15.75">
      <c r="A117" t="s">
        <v>771</v>
      </c>
      <c r="B117" t="s">
        <v>1378</v>
      </c>
      <c r="C117" t="str">
        <f>Financeiros!C12</f>
        <v>(Neutralidade) TFSEE</v>
      </c>
      <c r="D117">
        <v>2</v>
      </c>
      <c r="E117">
        <v>2</v>
      </c>
      <c r="F117">
        <f>Financeiros!F12</f>
        <v>20</v>
      </c>
      <c r="G117">
        <f>Financeiros!G12</f>
        <v>60</v>
      </c>
      <c r="H117">
        <f>Financeiros!H12</f>
        <v>20</v>
      </c>
      <c r="I117">
        <f>Financeiros!I12</f>
        <v>3</v>
      </c>
      <c r="J117">
        <f>Financeiros!J12</f>
        <v>14</v>
      </c>
      <c r="K117">
        <f>Financeiros!K12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1.5384057665232355E-4</v>
      </c>
      <c r="Q117" s="249">
        <f ca="1">Financeiros!E12</f>
        <v>1.5384057665232355E-4</v>
      </c>
    </row>
    <row r="118" spans="1:17" ht="15.75">
      <c r="A118" t="s">
        <v>771</v>
      </c>
      <c r="B118" t="s">
        <v>1378</v>
      </c>
      <c r="C118" t="str">
        <f>Financeiros!C13</f>
        <v>(Neutralidade) CDE</v>
      </c>
      <c r="D118">
        <v>2</v>
      </c>
      <c r="E118">
        <v>2</v>
      </c>
      <c r="F118">
        <f>Financeiros!F13</f>
        <v>20</v>
      </c>
      <c r="G118">
        <f>Financeiros!G13</f>
        <v>60</v>
      </c>
      <c r="H118">
        <f>Financeiros!H13</f>
        <v>20</v>
      </c>
      <c r="I118">
        <f>Financeiros!I13</f>
        <v>3</v>
      </c>
      <c r="J118">
        <f>Financeiros!J13</f>
        <v>15</v>
      </c>
      <c r="K118">
        <f>Financeiros!K13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9.3468942716152144E-3</v>
      </c>
      <c r="Q118" s="249">
        <f ca="1">Financeiros!E13</f>
        <v>9.3468942716152144E-3</v>
      </c>
    </row>
    <row r="119" spans="1:17" ht="15.75">
      <c r="A119" t="s">
        <v>771</v>
      </c>
      <c r="B119" t="s">
        <v>1378</v>
      </c>
      <c r="C119" t="str">
        <f>Financeiros!C14</f>
        <v>(Neutralidade) CFURH</v>
      </c>
      <c r="D119">
        <v>2</v>
      </c>
      <c r="E119">
        <v>2</v>
      </c>
      <c r="F119">
        <f>Financeiros!F14</f>
        <v>20</v>
      </c>
      <c r="G119">
        <f>Financeiros!G14</f>
        <v>60</v>
      </c>
      <c r="H119">
        <f>Financeiros!H14</f>
        <v>20</v>
      </c>
      <c r="I119">
        <f>Financeiros!I14</f>
        <v>3</v>
      </c>
      <c r="J119">
        <f>Financeiros!J14</f>
        <v>16</v>
      </c>
      <c r="K119">
        <f>Financeiros!K14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0</v>
      </c>
      <c r="Q119" s="249">
        <f ca="1">Financeiros!E14</f>
        <v>0</v>
      </c>
    </row>
    <row r="120" spans="1:17" ht="15.75">
      <c r="A120" t="s">
        <v>771</v>
      </c>
      <c r="B120" t="s">
        <v>1378</v>
      </c>
      <c r="C120" t="str">
        <f>Financeiros!C15</f>
        <v>(Neutralidade) ESS/ERR</v>
      </c>
      <c r="D120">
        <v>2</v>
      </c>
      <c r="E120">
        <v>2</v>
      </c>
      <c r="F120">
        <f>Financeiros!F15</f>
        <v>20</v>
      </c>
      <c r="G120">
        <f>Financeiros!G15</f>
        <v>60</v>
      </c>
      <c r="H120">
        <f>Financeiros!H15</f>
        <v>20</v>
      </c>
      <c r="I120">
        <f>Financeiros!I15</f>
        <v>3</v>
      </c>
      <c r="J120">
        <f>Financeiros!J15</f>
        <v>17</v>
      </c>
      <c r="K120">
        <f>Financeiros!K15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0</v>
      </c>
      <c r="Q120" s="249">
        <f ca="1">Financeiros!E15</f>
        <v>0</v>
      </c>
    </row>
    <row r="121" spans="1:17" ht="15.75">
      <c r="A121" t="s">
        <v>771</v>
      </c>
      <c r="B121" t="s">
        <v>1378</v>
      </c>
      <c r="C121" t="str">
        <f>Financeiros!C16</f>
        <v>(Neutralidade) PROINFA</v>
      </c>
      <c r="D121">
        <v>2</v>
      </c>
      <c r="E121">
        <v>2</v>
      </c>
      <c r="F121">
        <f>Financeiros!F16</f>
        <v>20</v>
      </c>
      <c r="G121">
        <f>Financeiros!G16</f>
        <v>60</v>
      </c>
      <c r="H121">
        <f>Financeiros!H16</f>
        <v>20</v>
      </c>
      <c r="I121">
        <f>Financeiros!I16</f>
        <v>3</v>
      </c>
      <c r="J121">
        <f>Financeiros!J16</f>
        <v>18</v>
      </c>
      <c r="K121">
        <f>Financeiros!K16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1.6733189183999807E-3</v>
      </c>
      <c r="Q121" s="249">
        <f ca="1">Financeiros!E16</f>
        <v>1.6733189183999807E-3</v>
      </c>
    </row>
    <row r="122" spans="1:17" ht="15.75">
      <c r="A122" t="s">
        <v>771</v>
      </c>
      <c r="B122" t="s">
        <v>1378</v>
      </c>
      <c r="C122" t="str">
        <f>Financeiros!C17</f>
        <v>(Neutralidade) P&amp;D e PEE</v>
      </c>
      <c r="D122">
        <v>2</v>
      </c>
      <c r="E122">
        <v>2</v>
      </c>
      <c r="F122">
        <f>Financeiros!F17</f>
        <v>20</v>
      </c>
      <c r="G122">
        <f>Financeiros!G17</f>
        <v>60</v>
      </c>
      <c r="H122">
        <f>Financeiros!H17</f>
        <v>20</v>
      </c>
      <c r="I122">
        <f>Financeiros!I17</f>
        <v>3</v>
      </c>
      <c r="J122">
        <f>Financeiros!J17</f>
        <v>19</v>
      </c>
      <c r="K122">
        <f>Financeiros!K17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Financeiros!E17</f>
        <v>0</v>
      </c>
    </row>
    <row r="123" spans="1:17" ht="15.75">
      <c r="A123" t="s">
        <v>771</v>
      </c>
      <c r="B123" t="s">
        <v>1378</v>
      </c>
      <c r="C123" t="str">
        <f>Financeiros!C18</f>
        <v>(Neutralidade) conta covid-19</v>
      </c>
      <c r="D123">
        <v>2</v>
      </c>
      <c r="E123">
        <v>2</v>
      </c>
      <c r="F123">
        <f>Financeiros!F18</f>
        <v>20</v>
      </c>
      <c r="G123">
        <f>Financeiros!G18</f>
        <v>60</v>
      </c>
      <c r="H123">
        <f>Financeiros!H18</f>
        <v>999</v>
      </c>
      <c r="I123">
        <f>Financeiros!I18</f>
        <v>4</v>
      </c>
      <c r="J123">
        <f>Financeiros!J18</f>
        <v>999</v>
      </c>
      <c r="K123">
        <f>Financeiros!K18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0</v>
      </c>
      <c r="Q123" s="249">
        <f ca="1">Financeiros!E18</f>
        <v>0</v>
      </c>
    </row>
    <row r="124" spans="1:17" ht="15.75">
      <c r="A124" t="s">
        <v>771</v>
      </c>
      <c r="B124" t="s">
        <v>1378</v>
      </c>
      <c r="C124" t="str">
        <f>Financeiros!C19</f>
        <v>Ajuste CUST RB + PIS Cofins RB</v>
      </c>
      <c r="D124">
        <v>2</v>
      </c>
      <c r="E124">
        <v>2</v>
      </c>
      <c r="F124">
        <f>Financeiros!F19</f>
        <v>22</v>
      </c>
      <c r="G124">
        <f>Financeiros!G19</f>
        <v>60</v>
      </c>
      <c r="H124">
        <f>Financeiros!H19</f>
        <v>999</v>
      </c>
      <c r="I124">
        <f>Financeiros!I19</f>
        <v>1</v>
      </c>
      <c r="J124">
        <f>Financeiros!J19</f>
        <v>1</v>
      </c>
      <c r="K124">
        <f>Financeiros!K19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Financeiros!E19</f>
        <v>0</v>
      </c>
    </row>
    <row r="125" spans="1:17" ht="15.75">
      <c r="A125" t="s">
        <v>771</v>
      </c>
      <c r="B125" t="s">
        <v>1378</v>
      </c>
      <c r="C125" t="str">
        <f>Financeiros!C20</f>
        <v>Ajuste CUST RB Fronteira + PIS Cofins RB Fronteira</v>
      </c>
      <c r="D125">
        <v>2</v>
      </c>
      <c r="E125">
        <v>2</v>
      </c>
      <c r="F125">
        <f>Financeiros!F20</f>
        <v>22</v>
      </c>
      <c r="G125">
        <f>Financeiros!G20</f>
        <v>60</v>
      </c>
      <c r="H125">
        <f>Financeiros!H20</f>
        <v>999</v>
      </c>
      <c r="I125">
        <f>Financeiros!I20</f>
        <v>1</v>
      </c>
      <c r="J125">
        <f>Financeiros!J20</f>
        <v>2</v>
      </c>
      <c r="K125">
        <f>Financeiros!K20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Financeiros!E20</f>
        <v>0</v>
      </c>
    </row>
    <row r="126" spans="1:17" ht="15.75">
      <c r="A126" t="s">
        <v>771</v>
      </c>
      <c r="B126" t="s">
        <v>1378</v>
      </c>
      <c r="C126" t="str">
        <f>Financeiros!C21</f>
        <v>Manual de Contabilidade do Setor Elétrico</v>
      </c>
      <c r="D126">
        <v>2</v>
      </c>
      <c r="E126">
        <v>2</v>
      </c>
      <c r="F126">
        <f>Financeiros!F21</f>
        <v>22</v>
      </c>
      <c r="G126">
        <f>Financeiros!G21</f>
        <v>60</v>
      </c>
      <c r="H126">
        <f>Financeiros!H21</f>
        <v>167</v>
      </c>
      <c r="I126">
        <f>Financeiros!I21</f>
        <v>4</v>
      </c>
      <c r="J126">
        <f>Financeiros!J21</f>
        <v>999</v>
      </c>
      <c r="K126">
        <f>Financeiros!K21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2"/>
        <v>0</v>
      </c>
      <c r="Q126" s="249">
        <f ca="1">Financeiros!E21</f>
        <v>0</v>
      </c>
    </row>
    <row r="127" spans="1:17" ht="15.75">
      <c r="A127" t="s">
        <v>771</v>
      </c>
      <c r="B127" t="s">
        <v>1378</v>
      </c>
      <c r="C127">
        <f>Financeiros!C22</f>
        <v>0</v>
      </c>
      <c r="D127">
        <v>2</v>
      </c>
      <c r="E127">
        <v>2</v>
      </c>
      <c r="F127">
        <f>Financeiros!F22</f>
        <v>22</v>
      </c>
      <c r="G127">
        <f>Financeiros!G22</f>
        <v>60</v>
      </c>
      <c r="H127">
        <f>Financeiros!H22</f>
        <v>194</v>
      </c>
      <c r="I127">
        <f>Financeiros!I22</f>
        <v>99</v>
      </c>
      <c r="J127">
        <f>Financeiros!J22</f>
        <v>999</v>
      </c>
      <c r="K127">
        <f>Financeiros!K22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2"/>
        <v>0</v>
      </c>
      <c r="Q127" s="249">
        <f ca="1">Financeiros!E22</f>
        <v>0</v>
      </c>
    </row>
    <row r="128" spans="1:17" ht="15.75">
      <c r="A128" s="1040" t="s">
        <v>771</v>
      </c>
      <c r="B128" s="1040" t="s">
        <v>1378</v>
      </c>
      <c r="C128" s="1040" t="str">
        <f>Financeiros!C24</f>
        <v>Ajuste CUST + PISCONFINS Transmissão</v>
      </c>
      <c r="D128" s="1040">
        <v>2</v>
      </c>
      <c r="E128" s="1040">
        <v>2</v>
      </c>
      <c r="F128" s="1040">
        <v>22</v>
      </c>
      <c r="G128" s="1040">
        <v>60</v>
      </c>
      <c r="H128" s="1040">
        <v>196</v>
      </c>
      <c r="I128" s="1040">
        <v>99</v>
      </c>
      <c r="J128" s="1040">
        <v>999</v>
      </c>
      <c r="K128" s="1040">
        <v>1</v>
      </c>
      <c r="L128" s="1040">
        <v>99</v>
      </c>
      <c r="M128">
        <v>9</v>
      </c>
      <c r="N128" s="1040">
        <v>4</v>
      </c>
      <c r="O128" s="1040">
        <v>99999</v>
      </c>
      <c r="P128" s="1041">
        <f t="shared" si="2"/>
        <v>0</v>
      </c>
      <c r="Q128" s="1042">
        <v>0</v>
      </c>
    </row>
    <row r="129" spans="1:17" ht="15.75">
      <c r="A129" t="s">
        <v>771</v>
      </c>
      <c r="B129" t="s">
        <v>1378</v>
      </c>
      <c r="C129" t="str">
        <f>Financeiros!C25</f>
        <v>Compensação DIC FIC</v>
      </c>
      <c r="D129">
        <v>2</v>
      </c>
      <c r="E129">
        <v>2</v>
      </c>
      <c r="F129">
        <f>Financeiros!F25</f>
        <v>22</v>
      </c>
      <c r="G129">
        <f>Financeiros!G25</f>
        <v>60</v>
      </c>
      <c r="H129">
        <f>Financeiros!H25</f>
        <v>178</v>
      </c>
      <c r="I129">
        <f>Financeiros!I25</f>
        <v>1</v>
      </c>
      <c r="J129">
        <f>Financeiros!J25</f>
        <v>7</v>
      </c>
      <c r="K129">
        <f>Financeiros!K25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-5.1254044452845784E-3</v>
      </c>
      <c r="Q129" s="249">
        <f ca="1">Financeiros!E25</f>
        <v>-5.1254044452845784E-3</v>
      </c>
    </row>
    <row r="130" spans="1:17" ht="15.75">
      <c r="A130" t="s">
        <v>771</v>
      </c>
      <c r="B130" t="s">
        <v>1378</v>
      </c>
      <c r="C130" t="str">
        <f>Financeiros!C26</f>
        <v>Subvenção CDE</v>
      </c>
      <c r="D130">
        <v>2</v>
      </c>
      <c r="E130">
        <v>2</v>
      </c>
      <c r="F130">
        <f>Financeiros!F26</f>
        <v>22</v>
      </c>
      <c r="G130">
        <f>Financeiros!G26</f>
        <v>60</v>
      </c>
      <c r="H130">
        <f>Financeiros!H26</f>
        <v>999</v>
      </c>
      <c r="I130">
        <f>Financeiros!I26</f>
        <v>4</v>
      </c>
      <c r="J130">
        <f>Financeiros!J26</f>
        <v>999</v>
      </c>
      <c r="K130">
        <f>Financeiros!K26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-8.1116050554732907E-2</v>
      </c>
      <c r="Q130" s="249">
        <f ca="1">Financeiros!E26</f>
        <v>-8.1116050554732907E-2</v>
      </c>
    </row>
    <row r="131" spans="1:17" ht="15.75">
      <c r="A131" t="s">
        <v>771</v>
      </c>
      <c r="B131" t="s">
        <v>1378</v>
      </c>
      <c r="C131" t="str">
        <f>Financeiros!C27</f>
        <v>Retenção de Adicionais de Bandeiras Tarifárias</v>
      </c>
      <c r="D131">
        <v>2</v>
      </c>
      <c r="E131">
        <v>2</v>
      </c>
      <c r="F131">
        <f>Financeiros!F27</f>
        <v>22</v>
      </c>
      <c r="G131">
        <f>Financeiros!G27</f>
        <v>60</v>
      </c>
      <c r="H131">
        <f>Financeiros!H27</f>
        <v>999</v>
      </c>
      <c r="I131">
        <f>Financeiros!I27</f>
        <v>2</v>
      </c>
      <c r="J131">
        <f>Financeiros!J27</f>
        <v>30</v>
      </c>
      <c r="K131">
        <f>Financeiros!K27</f>
        <v>9</v>
      </c>
      <c r="L131">
        <v>99</v>
      </c>
      <c r="M131">
        <v>9</v>
      </c>
      <c r="N131">
        <v>4</v>
      </c>
      <c r="O131">
        <v>99999</v>
      </c>
      <c r="P131" s="234">
        <f t="shared" ref="P131:P172" ca="1" si="5">IF(ISNUMBER(Q131),Q131,0)</f>
        <v>0</v>
      </c>
      <c r="Q131" s="249">
        <f ca="1">Financeiros!E27</f>
        <v>0</v>
      </c>
    </row>
    <row r="132" spans="1:17" ht="15.75">
      <c r="A132" t="s">
        <v>771</v>
      </c>
      <c r="B132" t="s">
        <v>1378</v>
      </c>
      <c r="C132" t="str">
        <f>Financeiros!C28</f>
        <v>Multa LPT</v>
      </c>
      <c r="D132">
        <v>2</v>
      </c>
      <c r="E132">
        <v>2</v>
      </c>
      <c r="F132">
        <f>Financeiros!F28</f>
        <v>22</v>
      </c>
      <c r="G132">
        <f>Financeiros!G28</f>
        <v>60</v>
      </c>
      <c r="H132">
        <f>Financeiros!H28</f>
        <v>120</v>
      </c>
      <c r="I132">
        <f>Financeiros!I28</f>
        <v>4</v>
      </c>
      <c r="J132">
        <f>Financeiros!J28</f>
        <v>999</v>
      </c>
      <c r="K132">
        <f>Financeiros!K28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5"/>
        <v>0</v>
      </c>
      <c r="Q132" s="249">
        <f ca="1">Financeiros!E28</f>
        <v>0</v>
      </c>
    </row>
    <row r="133" spans="1:17" ht="15.75">
      <c r="A133" t="s">
        <v>771</v>
      </c>
      <c r="B133" t="s">
        <v>1378</v>
      </c>
      <c r="C133" t="str">
        <f>Financeiros!C30</f>
        <v>Repasse de ICMS CUSD</v>
      </c>
      <c r="D133">
        <v>2</v>
      </c>
      <c r="E133">
        <v>2</v>
      </c>
      <c r="F133">
        <f>Financeiros!F30</f>
        <v>22</v>
      </c>
      <c r="G133">
        <f>Financeiros!G30</f>
        <v>60</v>
      </c>
      <c r="H133">
        <f>Financeiros!H30</f>
        <v>999</v>
      </c>
      <c r="I133">
        <f>Financeiros!I30</f>
        <v>1</v>
      </c>
      <c r="J133">
        <f>Financeiros!J30</f>
        <v>7</v>
      </c>
      <c r="K133">
        <f>Financeiros!K30</f>
        <v>9</v>
      </c>
      <c r="L133">
        <v>99</v>
      </c>
      <c r="M133">
        <v>9</v>
      </c>
      <c r="N133">
        <v>4</v>
      </c>
      <c r="O133">
        <v>99999</v>
      </c>
      <c r="P133" s="234">
        <f t="shared" ref="P133:P134" ca="1" si="6">IF(ISNUMBER(Q133),Q133,0)</f>
        <v>2.5391476305491139E-7</v>
      </c>
      <c r="Q133" s="249">
        <f ca="1">Financeiros!E30</f>
        <v>2.5391476305491139E-7</v>
      </c>
    </row>
    <row r="134" spans="1:17" ht="15.75">
      <c r="A134" t="s">
        <v>771</v>
      </c>
      <c r="B134" t="s">
        <v>1378</v>
      </c>
      <c r="C134" t="str">
        <f>Financeiros!C31</f>
        <v>Repasse de ICMS TE</v>
      </c>
      <c r="D134">
        <v>2</v>
      </c>
      <c r="E134">
        <v>2</v>
      </c>
      <c r="F134">
        <f>Financeiros!F31</f>
        <v>22</v>
      </c>
      <c r="G134">
        <f>Financeiros!G31</f>
        <v>60</v>
      </c>
      <c r="H134">
        <f>Financeiros!H31</f>
        <v>999</v>
      </c>
      <c r="I134">
        <f>Financeiros!I31</f>
        <v>2</v>
      </c>
      <c r="J134">
        <f>Financeiros!J31</f>
        <v>30</v>
      </c>
      <c r="K134">
        <f>Financeiros!K31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6"/>
        <v>2.5391476305491139E-7</v>
      </c>
      <c r="Q134" s="249">
        <f ca="1">Financeiros!E30</f>
        <v>2.5391476305491139E-7</v>
      </c>
    </row>
    <row r="135" spans="1:17" ht="15.75">
      <c r="A135" t="s">
        <v>771</v>
      </c>
      <c r="B135" t="s">
        <v>1378</v>
      </c>
      <c r="C135" t="str">
        <f>Financeiros!C32</f>
        <v>Ressarcimento P&amp;D</v>
      </c>
      <c r="D135">
        <v>2</v>
      </c>
      <c r="E135">
        <v>2</v>
      </c>
      <c r="F135">
        <f>Financeiros!F32</f>
        <v>22</v>
      </c>
      <c r="G135">
        <f>Financeiros!G32</f>
        <v>60</v>
      </c>
      <c r="H135">
        <f>Financeiros!H32</f>
        <v>231</v>
      </c>
      <c r="I135">
        <f>Financeiros!I32</f>
        <v>3</v>
      </c>
      <c r="J135">
        <f>Financeiros!J32</f>
        <v>19</v>
      </c>
      <c r="K135">
        <f>Financeiros!K32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5"/>
        <v>1.4024191162400344E-7</v>
      </c>
      <c r="Q135" s="249">
        <f ca="1">Financeiros!E31</f>
        <v>1.4024191162400344E-7</v>
      </c>
    </row>
    <row r="136" spans="1:17" ht="15.75">
      <c r="A136" t="s">
        <v>771</v>
      </c>
      <c r="B136" t="s">
        <v>1378</v>
      </c>
      <c r="C136" t="str">
        <f>Financeiros!C33</f>
        <v>Efeito Conta COVID</v>
      </c>
      <c r="D136">
        <v>2</v>
      </c>
      <c r="E136">
        <v>2</v>
      </c>
      <c r="F136">
        <f>Financeiros!F33</f>
        <v>22</v>
      </c>
      <c r="G136">
        <f>Financeiros!G33</f>
        <v>60</v>
      </c>
      <c r="H136">
        <f>Financeiros!H33</f>
        <v>235</v>
      </c>
      <c r="I136">
        <f>Financeiros!I33</f>
        <v>4</v>
      </c>
      <c r="J136">
        <f>Financeiros!J33</f>
        <v>999</v>
      </c>
      <c r="K136">
        <f>Financeiros!K33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5"/>
        <v>0</v>
      </c>
      <c r="Q136" s="249">
        <f ca="1">Financeiros!E32</f>
        <v>0</v>
      </c>
    </row>
    <row r="137" spans="1:17" ht="15.75">
      <c r="A137" t="s">
        <v>771</v>
      </c>
      <c r="B137" t="s">
        <v>1378</v>
      </c>
      <c r="C137" t="str">
        <f>Financeiros!C34</f>
        <v>Previsão de Risco Hidrologico</v>
      </c>
      <c r="D137">
        <v>2</v>
      </c>
      <c r="E137">
        <v>2</v>
      </c>
      <c r="F137">
        <f>Financeiros!F34</f>
        <v>22</v>
      </c>
      <c r="G137">
        <f>Financeiros!G34</f>
        <v>60</v>
      </c>
      <c r="H137">
        <f>Financeiros!H34</f>
        <v>220</v>
      </c>
      <c r="I137">
        <f>Financeiros!I34</f>
        <v>2</v>
      </c>
      <c r="J137">
        <f>Financeiros!J34</f>
        <v>30</v>
      </c>
      <c r="K137">
        <f>Financeiros!K34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42" ca="1" si="7">IF(ISNUMBER(Q137),Q137,0)</f>
        <v>0</v>
      </c>
      <c r="Q137" s="249">
        <f ca="1">Financeiros!E33</f>
        <v>0</v>
      </c>
    </row>
    <row r="138" spans="1:17" ht="15.75">
      <c r="A138" t="s">
        <v>771</v>
      </c>
      <c r="B138" t="s">
        <v>1378</v>
      </c>
      <c r="C138" t="str">
        <f>Financeiros!C35</f>
        <v>Efeito COVID da Supridora</v>
      </c>
      <c r="D138">
        <v>2</v>
      </c>
      <c r="E138">
        <v>2</v>
      </c>
      <c r="F138">
        <f>Financeiros!F35</f>
        <v>22</v>
      </c>
      <c r="G138">
        <f>Financeiros!G35</f>
        <v>60</v>
      </c>
      <c r="H138">
        <f>Financeiros!H35</f>
        <v>999</v>
      </c>
      <c r="I138">
        <f>Financeiros!I35</f>
        <v>2</v>
      </c>
      <c r="J138">
        <f>Financeiros!J35</f>
        <v>30</v>
      </c>
      <c r="K138">
        <f>Financeiros!K35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7"/>
        <v>0</v>
      </c>
      <c r="Q138" s="249">
        <f ca="1">Financeiros!E34</f>
        <v>0</v>
      </c>
    </row>
    <row r="139" spans="1:17" ht="15.75">
      <c r="A139" t="s">
        <v>771</v>
      </c>
      <c r="B139" t="s">
        <v>1378</v>
      </c>
      <c r="C139" t="str">
        <f>Financeiros!C36</f>
        <v>Crédito de Pis Cofins sobre ICMS</v>
      </c>
      <c r="D139">
        <v>2</v>
      </c>
      <c r="E139">
        <v>2</v>
      </c>
      <c r="F139">
        <f>Financeiros!F36</f>
        <v>22</v>
      </c>
      <c r="G139">
        <f>Financeiros!G36</f>
        <v>60</v>
      </c>
      <c r="H139">
        <f>Financeiros!H36</f>
        <v>179</v>
      </c>
      <c r="I139">
        <f>Financeiros!I36</f>
        <v>99</v>
      </c>
      <c r="J139">
        <f>Financeiros!J36</f>
        <v>999</v>
      </c>
      <c r="K139">
        <f>Financeiros!K36</f>
        <v>3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Financeiros!E35</f>
        <v>0</v>
      </c>
    </row>
    <row r="140" spans="1:17" ht="15.75">
      <c r="A140" t="s">
        <v>771</v>
      </c>
      <c r="B140" t="s">
        <v>1378</v>
      </c>
      <c r="C140" t="str">
        <f>Financeiros!C37</f>
        <v>Diferimento Pis Cofins TUSD</v>
      </c>
      <c r="D140">
        <v>2</v>
      </c>
      <c r="E140">
        <v>2</v>
      </c>
      <c r="F140">
        <f>Financeiros!F37</f>
        <v>22</v>
      </c>
      <c r="G140">
        <f>Financeiros!G37</f>
        <v>60</v>
      </c>
      <c r="H140">
        <f>Financeiros!H37</f>
        <v>999</v>
      </c>
      <c r="I140">
        <f>Financeiros!I37</f>
        <v>1</v>
      </c>
      <c r="J140">
        <f>Financeiros!J37</f>
        <v>7</v>
      </c>
      <c r="K140">
        <f>Financeiros!K37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Financeiros!E36</f>
        <v>0</v>
      </c>
    </row>
    <row r="141" spans="1:17" ht="15.75">
      <c r="A141" t="s">
        <v>771</v>
      </c>
      <c r="B141" t="s">
        <v>1378</v>
      </c>
      <c r="C141" t="str">
        <f>Financeiros!C38</f>
        <v>Diferimento Pis Cofins TE</v>
      </c>
      <c r="D141">
        <v>2</v>
      </c>
      <c r="E141">
        <v>2</v>
      </c>
      <c r="F141">
        <f>Financeiros!F38</f>
        <v>22</v>
      </c>
      <c r="G141">
        <f>Financeiros!G38</f>
        <v>60</v>
      </c>
      <c r="H141">
        <f>Financeiros!H38</f>
        <v>999</v>
      </c>
      <c r="I141">
        <f>Financeiros!I38</f>
        <v>2</v>
      </c>
      <c r="J141">
        <f>Financeiros!J38</f>
        <v>30</v>
      </c>
      <c r="K141">
        <f>Financeiros!K38</f>
        <v>9</v>
      </c>
      <c r="L141">
        <v>99</v>
      </c>
      <c r="M141">
        <v>9</v>
      </c>
      <c r="N141">
        <v>4</v>
      </c>
      <c r="O141">
        <v>99999</v>
      </c>
      <c r="P141" s="234">
        <f t="shared" ca="1" si="7"/>
        <v>0</v>
      </c>
      <c r="Q141" s="249">
        <f ca="1">Financeiros!E37</f>
        <v>0</v>
      </c>
    </row>
    <row r="142" spans="1:17" ht="15.75">
      <c r="A142" t="s">
        <v>771</v>
      </c>
      <c r="B142" t="s">
        <v>1378</v>
      </c>
      <c r="C142" t="str">
        <f>Financeiros!C39</f>
        <v>Financeiros associados ao §7º do Art. 88 da Ren 414/2021</v>
      </c>
      <c r="D142">
        <v>2</v>
      </c>
      <c r="E142">
        <v>2</v>
      </c>
      <c r="F142">
        <f>Financeiros!F39</f>
        <v>22</v>
      </c>
      <c r="G142">
        <f>Financeiros!G39</f>
        <v>60</v>
      </c>
      <c r="H142">
        <f>Financeiros!H39</f>
        <v>999</v>
      </c>
      <c r="I142">
        <f>Financeiros!I39</f>
        <v>2</v>
      </c>
      <c r="J142">
        <f>Financeiros!J39</f>
        <v>30</v>
      </c>
      <c r="K142">
        <f>Financeiros!K39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7"/>
        <v>0</v>
      </c>
      <c r="Q142" s="249">
        <f ca="1">Financeiros!E38</f>
        <v>0</v>
      </c>
    </row>
    <row r="143" spans="1:17" ht="15.75">
      <c r="A143" t="s">
        <v>771</v>
      </c>
      <c r="B143" t="s">
        <v>1378</v>
      </c>
      <c r="C143">
        <f>Financeiros!C40</f>
        <v>0</v>
      </c>
      <c r="D143">
        <v>2</v>
      </c>
      <c r="E143">
        <v>2</v>
      </c>
      <c r="F143">
        <f>Financeiros!F40</f>
        <v>22</v>
      </c>
      <c r="G143">
        <f>Financeiros!G40</f>
        <v>60</v>
      </c>
      <c r="H143">
        <f>Financeiros!H40</f>
        <v>999</v>
      </c>
      <c r="I143">
        <f>Financeiros!I40</f>
        <v>99</v>
      </c>
      <c r="J143">
        <f>Financeiros!J40</f>
        <v>999</v>
      </c>
      <c r="K143">
        <f>Financeiros!K40</f>
        <v>9</v>
      </c>
      <c r="L143">
        <v>99</v>
      </c>
      <c r="M143">
        <v>9</v>
      </c>
      <c r="N143">
        <v>4</v>
      </c>
      <c r="O143">
        <v>99999</v>
      </c>
      <c r="P143" s="234">
        <f t="shared" ref="P143:P145" ca="1" si="8">IF(ISNUMBER(Q143),Q143,0)</f>
        <v>0</v>
      </c>
      <c r="Q143" s="249">
        <f ca="1">Financeiros!E39</f>
        <v>0</v>
      </c>
    </row>
    <row r="144" spans="1:17" ht="15.75">
      <c r="A144" t="s">
        <v>771</v>
      </c>
      <c r="B144" t="s">
        <v>1378</v>
      </c>
      <c r="C144" t="str">
        <f>Financeiros!C41</f>
        <v>Reversão Postergação Covid TUSD em 2021</v>
      </c>
      <c r="D144">
        <v>2</v>
      </c>
      <c r="E144">
        <v>2</v>
      </c>
      <c r="F144">
        <f>Financeiros!F41</f>
        <v>22</v>
      </c>
      <c r="G144">
        <f>Financeiros!G41</f>
        <v>60</v>
      </c>
      <c r="H144">
        <f>Financeiros!H41</f>
        <v>196</v>
      </c>
      <c r="I144">
        <f>Financeiros!I41</f>
        <v>99</v>
      </c>
      <c r="J144">
        <f>Financeiros!J41</f>
        <v>999</v>
      </c>
      <c r="K144">
        <f>Financeiros!K41</f>
        <v>1</v>
      </c>
      <c r="L144">
        <v>99</v>
      </c>
      <c r="M144">
        <v>9</v>
      </c>
      <c r="N144">
        <v>4</v>
      </c>
      <c r="O144">
        <v>99999</v>
      </c>
      <c r="P144" s="234">
        <f t="shared" ca="1" si="8"/>
        <v>0</v>
      </c>
      <c r="Q144" s="249">
        <f ca="1">Financeiros!E40</f>
        <v>0</v>
      </c>
    </row>
    <row r="145" spans="1:21" ht="15.75">
      <c r="A145" t="s">
        <v>771</v>
      </c>
      <c r="B145" t="s">
        <v>1378</v>
      </c>
      <c r="C145" t="str">
        <f>Financeiros!C42</f>
        <v>Reversão Postergação Covid TE em 2021</v>
      </c>
      <c r="D145">
        <v>2</v>
      </c>
      <c r="E145">
        <v>2</v>
      </c>
      <c r="F145">
        <f>Financeiros!F42</f>
        <v>22</v>
      </c>
      <c r="G145">
        <f>Financeiros!G42</f>
        <v>60</v>
      </c>
      <c r="H145">
        <f>Financeiros!H42</f>
        <v>196</v>
      </c>
      <c r="I145">
        <f>Financeiros!I42</f>
        <v>99</v>
      </c>
      <c r="J145">
        <f>Financeiros!J42</f>
        <v>999</v>
      </c>
      <c r="K145">
        <f>Financeiros!K42</f>
        <v>2</v>
      </c>
      <c r="L145">
        <v>99</v>
      </c>
      <c r="M145">
        <v>9</v>
      </c>
      <c r="N145">
        <v>4</v>
      </c>
      <c r="O145">
        <v>99999</v>
      </c>
      <c r="P145" s="234">
        <f t="shared" ca="1" si="8"/>
        <v>-1.4388099175114953E-3</v>
      </c>
      <c r="Q145" s="249">
        <f ca="1">Financeiros!E41</f>
        <v>-1.4388099175114953E-3</v>
      </c>
    </row>
    <row r="146" spans="1:21" ht="15.75">
      <c r="A146" t="s">
        <v>771</v>
      </c>
      <c r="B146" t="s">
        <v>72</v>
      </c>
      <c r="C146" t="s">
        <v>1608</v>
      </c>
      <c r="D146">
        <v>1</v>
      </c>
      <c r="E146">
        <v>1</v>
      </c>
      <c r="F146">
        <v>11</v>
      </c>
      <c r="G146">
        <v>20</v>
      </c>
      <c r="H146">
        <v>999</v>
      </c>
      <c r="I146">
        <v>3</v>
      </c>
      <c r="J146">
        <v>19</v>
      </c>
      <c r="K146">
        <v>9</v>
      </c>
      <c r="L146">
        <v>99</v>
      </c>
      <c r="M146">
        <v>9</v>
      </c>
      <c r="N146">
        <v>4</v>
      </c>
      <c r="O146">
        <v>99999</v>
      </c>
      <c r="P146" s="234">
        <f t="shared" si="5"/>
        <v>1E-14</v>
      </c>
      <c r="Q146" s="234">
        <f>Encargos!O6</f>
        <v>1E-14</v>
      </c>
    </row>
    <row r="147" spans="1:21" ht="15.75">
      <c r="A147" t="s">
        <v>1609</v>
      </c>
      <c r="B147" t="s">
        <v>1610</v>
      </c>
      <c r="C147" t="s">
        <v>1611</v>
      </c>
      <c r="D147">
        <v>1</v>
      </c>
      <c r="E147">
        <v>99</v>
      </c>
      <c r="F147">
        <v>999</v>
      </c>
      <c r="G147">
        <v>999999</v>
      </c>
      <c r="H147">
        <v>30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9</v>
      </c>
      <c r="O147">
        <v>99999</v>
      </c>
      <c r="P147" s="234">
        <f t="shared" si="5"/>
        <v>0</v>
      </c>
      <c r="Q147" s="234">
        <f>IF(CAPA!K9="Atrasado",1,0)</f>
        <v>0</v>
      </c>
    </row>
    <row r="148" spans="1:21" ht="15.75">
      <c r="A148" t="s">
        <v>1609</v>
      </c>
      <c r="B148" t="s">
        <v>1610</v>
      </c>
      <c r="C148" t="s">
        <v>1612</v>
      </c>
      <c r="D148">
        <v>1</v>
      </c>
      <c r="E148">
        <v>99</v>
      </c>
      <c r="F148">
        <v>999</v>
      </c>
      <c r="G148">
        <v>999999</v>
      </c>
      <c r="H148">
        <v>31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9</v>
      </c>
      <c r="O148">
        <v>99999</v>
      </c>
      <c r="P148" s="234">
        <f t="shared" ca="1" si="5"/>
        <v>0</v>
      </c>
      <c r="Q148" s="234">
        <f ca="1">IF(CAPA!C110="Revisão",1,0)</f>
        <v>0</v>
      </c>
    </row>
    <row r="149" spans="1:21" ht="15.75">
      <c r="A149" t="s">
        <v>1609</v>
      </c>
      <c r="B149" t="s">
        <v>1610</v>
      </c>
      <c r="C149" t="s">
        <v>1613</v>
      </c>
      <c r="D149">
        <v>1</v>
      </c>
      <c r="E149">
        <v>99</v>
      </c>
      <c r="F149">
        <v>999</v>
      </c>
      <c r="G149">
        <v>999999</v>
      </c>
      <c r="H149">
        <v>32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9</v>
      </c>
      <c r="O149">
        <v>99999</v>
      </c>
      <c r="P149" s="234">
        <f t="shared" si="5"/>
        <v>1</v>
      </c>
      <c r="Q149" s="234">
        <v>1</v>
      </c>
    </row>
    <row r="150" spans="1:21" ht="15.75">
      <c r="A150" t="s">
        <v>771</v>
      </c>
      <c r="B150" t="s">
        <v>974</v>
      </c>
      <c r="C150" t="s">
        <v>1614</v>
      </c>
      <c r="D150">
        <v>1</v>
      </c>
      <c r="E150">
        <v>3</v>
      </c>
      <c r="F150">
        <v>50</v>
      </c>
      <c r="G150">
        <v>1</v>
      </c>
      <c r="H150">
        <v>999</v>
      </c>
      <c r="I150">
        <v>99</v>
      </c>
      <c r="J150">
        <v>999</v>
      </c>
      <c r="K150">
        <v>9</v>
      </c>
      <c r="L150">
        <v>99</v>
      </c>
      <c r="M150">
        <v>9</v>
      </c>
      <c r="N150">
        <v>4</v>
      </c>
      <c r="O150">
        <v>99999</v>
      </c>
      <c r="P150" s="234">
        <f t="shared" si="5"/>
        <v>0</v>
      </c>
      <c r="Q150" s="254">
        <f>IF(CAPA!P1="VERDADEIRO",0,Calc_Mercado!J15)</f>
        <v>0</v>
      </c>
    </row>
    <row r="151" spans="1:21" ht="15.75">
      <c r="A151" s="16" t="s">
        <v>771</v>
      </c>
      <c r="B151" s="16" t="s">
        <v>120</v>
      </c>
      <c r="C151" s="16" t="s">
        <v>821</v>
      </c>
      <c r="D151" s="16">
        <v>4</v>
      </c>
      <c r="E151" s="16">
        <v>1</v>
      </c>
      <c r="F151" s="16">
        <v>51</v>
      </c>
      <c r="G151" s="16">
        <v>55</v>
      </c>
      <c r="H151" s="16">
        <v>999</v>
      </c>
      <c r="I151" s="16">
        <v>99</v>
      </c>
      <c r="J151" s="16">
        <v>999</v>
      </c>
      <c r="K151" s="16">
        <v>9</v>
      </c>
      <c r="L151" s="16">
        <v>99</v>
      </c>
      <c r="M151" s="16">
        <v>9</v>
      </c>
      <c r="N151" s="16">
        <v>2</v>
      </c>
      <c r="O151" s="16">
        <v>99999</v>
      </c>
      <c r="P151" s="234">
        <f t="shared" ca="1" si="5"/>
        <v>10944.528595109821</v>
      </c>
      <c r="Q151" s="234">
        <f ca="1">Energia!C5</f>
        <v>10944.528595109821</v>
      </c>
    </row>
    <row r="152" spans="1:21" ht="15.75">
      <c r="A152" s="16" t="s">
        <v>771</v>
      </c>
      <c r="B152" s="16" t="s">
        <v>120</v>
      </c>
      <c r="C152" s="16" t="s">
        <v>821</v>
      </c>
      <c r="D152" s="16">
        <v>4</v>
      </c>
      <c r="E152" s="16">
        <v>1</v>
      </c>
      <c r="F152" s="16">
        <v>51</v>
      </c>
      <c r="G152" s="16">
        <v>55</v>
      </c>
      <c r="H152" s="16">
        <v>999</v>
      </c>
      <c r="I152" s="16">
        <v>99</v>
      </c>
      <c r="J152" s="16">
        <v>999</v>
      </c>
      <c r="K152" s="16">
        <v>9</v>
      </c>
      <c r="L152" s="16">
        <v>99</v>
      </c>
      <c r="M152" s="16">
        <v>9</v>
      </c>
      <c r="N152" s="16">
        <v>3</v>
      </c>
      <c r="O152" s="16">
        <v>99999</v>
      </c>
      <c r="P152" s="234">
        <f t="shared" ca="1" si="5"/>
        <v>3329455.1935485285</v>
      </c>
      <c r="Q152" s="234">
        <f ca="1">Energia!C14</f>
        <v>3329455.1935485285</v>
      </c>
    </row>
    <row r="153" spans="1:21" ht="15.75">
      <c r="A153" s="16" t="s">
        <v>771</v>
      </c>
      <c r="B153" s="16" t="s">
        <v>1615</v>
      </c>
      <c r="C153" s="16" t="s">
        <v>1616</v>
      </c>
      <c r="D153" s="16">
        <v>4</v>
      </c>
      <c r="E153" s="16">
        <v>1</v>
      </c>
      <c r="F153" s="16">
        <v>51</v>
      </c>
      <c r="G153" s="16">
        <v>100</v>
      </c>
      <c r="H153" s="16">
        <v>999</v>
      </c>
      <c r="I153" s="16">
        <v>99</v>
      </c>
      <c r="J153" s="16">
        <v>999</v>
      </c>
      <c r="K153" s="16">
        <v>9</v>
      </c>
      <c r="L153" s="16">
        <v>99</v>
      </c>
      <c r="M153" s="16">
        <v>9</v>
      </c>
      <c r="N153" s="16">
        <v>3</v>
      </c>
      <c r="O153" s="16">
        <v>99999</v>
      </c>
      <c r="P153" s="234">
        <f t="shared" ca="1" si="5"/>
        <v>14086718.503595024</v>
      </c>
      <c r="Q153" s="234">
        <f ca="1">Resultado!D34</f>
        <v>14086718.503595024</v>
      </c>
    </row>
    <row r="154" spans="1:21" ht="15.75">
      <c r="A154" s="16" t="s">
        <v>771</v>
      </c>
      <c r="B154" s="16" t="s">
        <v>109</v>
      </c>
      <c r="C154" s="16" t="s">
        <v>836</v>
      </c>
      <c r="D154" s="16">
        <v>4</v>
      </c>
      <c r="E154" s="16">
        <v>1</v>
      </c>
      <c r="F154" s="16">
        <v>51</v>
      </c>
      <c r="G154" s="16">
        <v>101</v>
      </c>
      <c r="H154" s="16">
        <v>999</v>
      </c>
      <c r="I154" s="16">
        <v>99</v>
      </c>
      <c r="J154" s="16">
        <v>999</v>
      </c>
      <c r="K154" s="16">
        <v>9</v>
      </c>
      <c r="L154" s="16">
        <v>99</v>
      </c>
      <c r="M154" s="16">
        <v>9</v>
      </c>
      <c r="N154" s="16">
        <v>3</v>
      </c>
      <c r="O154" s="16">
        <v>99999</v>
      </c>
      <c r="P154" s="234">
        <f t="shared" si="5"/>
        <v>10580562.18</v>
      </c>
      <c r="Q154" s="234">
        <f>Resultado!D39</f>
        <v>10580562.18</v>
      </c>
    </row>
    <row r="155" spans="1:21" ht="15.75">
      <c r="A155" s="16" t="s">
        <v>771</v>
      </c>
      <c r="B155" s="16" t="s">
        <v>72</v>
      </c>
      <c r="C155" s="16" t="s">
        <v>836</v>
      </c>
      <c r="D155" s="16">
        <v>4</v>
      </c>
      <c r="E155" s="16">
        <v>1</v>
      </c>
      <c r="F155" s="16">
        <v>51</v>
      </c>
      <c r="G155" s="16">
        <v>104</v>
      </c>
      <c r="H155" s="16">
        <v>999</v>
      </c>
      <c r="I155" s="16">
        <v>3</v>
      </c>
      <c r="J155" s="16">
        <v>999</v>
      </c>
      <c r="K155" s="16">
        <v>9</v>
      </c>
      <c r="L155" s="16">
        <v>99</v>
      </c>
      <c r="M155" s="16">
        <v>9</v>
      </c>
      <c r="N155" s="16">
        <v>3</v>
      </c>
      <c r="O155" s="16">
        <v>99999</v>
      </c>
      <c r="P155" s="234">
        <f t="shared" ca="1" si="5"/>
        <v>4729123.6706041945</v>
      </c>
      <c r="Q155" s="234">
        <f ca="1">Resultado!D14</f>
        <v>4729123.6706041945</v>
      </c>
    </row>
    <row r="156" spans="1:21" ht="15.75">
      <c r="A156" s="16" t="s">
        <v>771</v>
      </c>
      <c r="B156" s="16" t="s">
        <v>793</v>
      </c>
      <c r="C156" s="16" t="s">
        <v>836</v>
      </c>
      <c r="D156" s="16">
        <v>4</v>
      </c>
      <c r="E156" s="16">
        <v>1</v>
      </c>
      <c r="F156" s="16">
        <v>51</v>
      </c>
      <c r="G156" s="16">
        <v>105</v>
      </c>
      <c r="H156" s="16">
        <v>999</v>
      </c>
      <c r="I156" s="16">
        <v>1</v>
      </c>
      <c r="J156" s="16">
        <v>999</v>
      </c>
      <c r="K156" s="16">
        <v>9</v>
      </c>
      <c r="L156" s="16">
        <v>99</v>
      </c>
      <c r="M156" s="16">
        <v>9</v>
      </c>
      <c r="N156" s="16">
        <v>3</v>
      </c>
      <c r="O156" s="16">
        <v>99999</v>
      </c>
      <c r="P156" s="234">
        <f t="shared" si="5"/>
        <v>6028139.6394422995</v>
      </c>
      <c r="Q156" s="234">
        <f>Resultado!D24</f>
        <v>6028139.6394422995</v>
      </c>
    </row>
    <row r="157" spans="1:21" ht="15.75">
      <c r="A157" s="16" t="s">
        <v>771</v>
      </c>
      <c r="B157" s="16" t="s">
        <v>1615</v>
      </c>
      <c r="C157" s="16" t="s">
        <v>1617</v>
      </c>
      <c r="D157" s="16">
        <v>4</v>
      </c>
      <c r="E157" s="16">
        <v>1</v>
      </c>
      <c r="F157" s="16">
        <v>51</v>
      </c>
      <c r="G157" s="16">
        <v>106</v>
      </c>
      <c r="H157" s="16">
        <v>999</v>
      </c>
      <c r="I157" s="16">
        <v>99</v>
      </c>
      <c r="J157" s="16">
        <v>999</v>
      </c>
      <c r="K157" s="16">
        <v>9</v>
      </c>
      <c r="L157" s="16">
        <v>99</v>
      </c>
      <c r="M157" s="16">
        <v>9</v>
      </c>
      <c r="N157" s="16">
        <v>3</v>
      </c>
      <c r="O157" s="16">
        <v>99999</v>
      </c>
      <c r="P157" s="234">
        <f t="shared" ca="1" si="5"/>
        <v>24667280.683595024</v>
      </c>
      <c r="Q157" s="234">
        <f ca="1">Resultado!C5</f>
        <v>24667280.683595024</v>
      </c>
    </row>
    <row r="158" spans="1:21" ht="15.75">
      <c r="A158" s="16" t="s">
        <v>771</v>
      </c>
      <c r="B158" s="16" t="s">
        <v>120</v>
      </c>
      <c r="C158" s="16" t="s">
        <v>1618</v>
      </c>
      <c r="D158" s="16">
        <v>4</v>
      </c>
      <c r="E158" s="16">
        <v>1</v>
      </c>
      <c r="F158" s="16">
        <v>51</v>
      </c>
      <c r="G158" s="16">
        <v>108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4</v>
      </c>
      <c r="O158" s="16">
        <v>99999</v>
      </c>
      <c r="P158" s="234">
        <f t="shared" ca="1" si="5"/>
        <v>0</v>
      </c>
      <c r="Q158" s="234">
        <f ca="1">Energia!M15</f>
        <v>0</v>
      </c>
    </row>
    <row r="159" spans="1:21" ht="15.75">
      <c r="A159" s="16" t="s">
        <v>771</v>
      </c>
      <c r="B159" s="16" t="s">
        <v>120</v>
      </c>
      <c r="C159" s="16" t="s">
        <v>1619</v>
      </c>
      <c r="D159" s="16">
        <v>4</v>
      </c>
      <c r="E159" s="16">
        <v>1</v>
      </c>
      <c r="F159" s="16">
        <v>51</v>
      </c>
      <c r="G159" s="16">
        <v>108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2</v>
      </c>
      <c r="O159" s="16">
        <v>99999</v>
      </c>
      <c r="P159" s="234">
        <f t="shared" ca="1" si="5"/>
        <v>0</v>
      </c>
      <c r="Q159" s="234">
        <f ca="1">Energia!M18+Energia!M19</f>
        <v>0</v>
      </c>
    </row>
    <row r="160" spans="1:21" ht="15.75">
      <c r="A160" s="16" t="s">
        <v>770</v>
      </c>
      <c r="B160" s="16" t="s">
        <v>120</v>
      </c>
      <c r="C160" s="16" t="s">
        <v>836</v>
      </c>
      <c r="D160" s="16">
        <v>4</v>
      </c>
      <c r="E160" s="16">
        <v>1</v>
      </c>
      <c r="F160" s="16">
        <v>52</v>
      </c>
      <c r="G160" s="16">
        <v>55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5"/>
        <v>2966844.5089071067</v>
      </c>
      <c r="Q160" s="234">
        <f ca="1">Resultado!C33</f>
        <v>2966844.5089071067</v>
      </c>
      <c r="R160" s="255"/>
      <c r="S160" s="255"/>
      <c r="T160" s="255"/>
      <c r="U160" s="255"/>
    </row>
    <row r="161" spans="1:17" ht="15.75">
      <c r="A161" s="16" t="s">
        <v>770</v>
      </c>
      <c r="B161" s="16" t="s">
        <v>1615</v>
      </c>
      <c r="C161" s="16" t="s">
        <v>1620</v>
      </c>
      <c r="D161" s="16">
        <v>4</v>
      </c>
      <c r="E161" s="16">
        <v>1</v>
      </c>
      <c r="F161" s="16">
        <v>52</v>
      </c>
      <c r="G161" s="16">
        <v>106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ca="1" si="5"/>
        <v>19723496.496920004</v>
      </c>
      <c r="Q161" s="234">
        <f ca="1">Mercado_RA0_Reais</f>
        <v>19723496.496920004</v>
      </c>
    </row>
    <row r="162" spans="1:17" ht="15.75">
      <c r="A162" s="16" t="s">
        <v>771</v>
      </c>
      <c r="B162" s="16" t="s">
        <v>1378</v>
      </c>
      <c r="C162" s="16" t="s">
        <v>836</v>
      </c>
      <c r="D162" s="16">
        <v>4</v>
      </c>
      <c r="E162" s="16">
        <v>2</v>
      </c>
      <c r="F162" s="16">
        <v>51</v>
      </c>
      <c r="G162" s="16">
        <v>102</v>
      </c>
      <c r="H162" s="16">
        <v>999</v>
      </c>
      <c r="I162" s="16">
        <v>99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5"/>
        <v>-1100126.3068703734</v>
      </c>
      <c r="Q162" s="234">
        <f ca="1">Financeiros!D7</f>
        <v>-1100126.3068703734</v>
      </c>
    </row>
    <row r="163" spans="1:17" ht="15.75">
      <c r="A163" s="16" t="s">
        <v>771</v>
      </c>
      <c r="B163" s="16" t="s">
        <v>1378</v>
      </c>
      <c r="C163" s="16" t="s">
        <v>836</v>
      </c>
      <c r="D163" s="16">
        <v>4</v>
      </c>
      <c r="E163" s="16">
        <v>2</v>
      </c>
      <c r="F163" s="16">
        <v>51</v>
      </c>
      <c r="G163" s="16">
        <v>102</v>
      </c>
      <c r="H163" s="16">
        <v>999</v>
      </c>
      <c r="I163" s="16">
        <v>99</v>
      </c>
      <c r="J163" s="16">
        <v>999</v>
      </c>
      <c r="K163" s="16">
        <v>9</v>
      </c>
      <c r="L163" s="16">
        <v>99</v>
      </c>
      <c r="M163" s="16">
        <v>9</v>
      </c>
      <c r="N163" s="16">
        <v>4</v>
      </c>
      <c r="O163" s="16">
        <v>99999</v>
      </c>
      <c r="P163" s="234">
        <f t="shared" ca="1" si="5"/>
        <v>-5.5777448336412745E-2</v>
      </c>
      <c r="Q163" s="234">
        <f ca="1">Financeiros!E7</f>
        <v>-5.5777448336412745E-2</v>
      </c>
    </row>
    <row r="164" spans="1:17" ht="15.75">
      <c r="A164" s="16" t="s">
        <v>771</v>
      </c>
      <c r="B164" s="16" t="s">
        <v>1621</v>
      </c>
      <c r="C164" s="16" t="s">
        <v>1622</v>
      </c>
      <c r="D164" s="16">
        <v>4</v>
      </c>
      <c r="E164" s="16">
        <v>99</v>
      </c>
      <c r="F164" s="16">
        <v>51</v>
      </c>
      <c r="G164" s="16">
        <v>109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5"/>
        <v>23567154.376724649</v>
      </c>
      <c r="Q164" s="234">
        <f ca="1">Resultado!C5+Financeiros!D7/(1+IF(Q150&gt;0,Q150,0))</f>
        <v>23567154.376724649</v>
      </c>
    </row>
    <row r="165" spans="1:17" ht="15.75">
      <c r="A165" t="s">
        <v>771</v>
      </c>
      <c r="B165" t="s">
        <v>72</v>
      </c>
      <c r="C165" t="s">
        <v>1608</v>
      </c>
      <c r="D165">
        <v>1</v>
      </c>
      <c r="E165">
        <v>1</v>
      </c>
      <c r="F165">
        <v>11</v>
      </c>
      <c r="G165">
        <v>20</v>
      </c>
      <c r="H165">
        <v>999</v>
      </c>
      <c r="I165">
        <v>3</v>
      </c>
      <c r="J165">
        <v>19</v>
      </c>
      <c r="K165">
        <v>9</v>
      </c>
      <c r="L165">
        <v>99</v>
      </c>
      <c r="M165">
        <v>9</v>
      </c>
      <c r="N165">
        <v>4</v>
      </c>
      <c r="O165">
        <v>99999</v>
      </c>
      <c r="P165" s="234">
        <f t="shared" si="5"/>
        <v>1E-14</v>
      </c>
      <c r="Q165" s="234">
        <f>Encargos!O6</f>
        <v>1E-14</v>
      </c>
    </row>
    <row r="166" spans="1:17" ht="15.75">
      <c r="A166" s="1061" t="s">
        <v>1623</v>
      </c>
      <c r="B166" s="1061" t="s">
        <v>1623</v>
      </c>
      <c r="C166" s="1061" t="s">
        <v>1623</v>
      </c>
      <c r="D166" s="1061">
        <v>99</v>
      </c>
      <c r="E166" s="1061">
        <v>99</v>
      </c>
      <c r="F166" s="1061">
        <v>999</v>
      </c>
      <c r="G166" s="1061">
        <v>999999</v>
      </c>
      <c r="H166" s="1061">
        <v>999</v>
      </c>
      <c r="I166" s="1061">
        <v>99</v>
      </c>
      <c r="J166" s="1061">
        <v>999</v>
      </c>
      <c r="K166" s="1061">
        <v>9</v>
      </c>
      <c r="L166" s="1061">
        <v>99</v>
      </c>
      <c r="M166" s="1061">
        <v>9</v>
      </c>
      <c r="N166" s="1061">
        <v>99</v>
      </c>
      <c r="O166" s="1061">
        <v>99999</v>
      </c>
      <c r="P166" s="401">
        <f t="shared" si="5"/>
        <v>0</v>
      </c>
      <c r="Q166" s="401">
        <v>0</v>
      </c>
    </row>
    <row r="167" spans="1:17" ht="15.75">
      <c r="A167" s="1061" t="s">
        <v>1623</v>
      </c>
      <c r="B167" s="1061" t="s">
        <v>1623</v>
      </c>
      <c r="C167" s="1061" t="s">
        <v>1623</v>
      </c>
      <c r="D167" s="1061">
        <v>99</v>
      </c>
      <c r="E167" s="1061">
        <v>99</v>
      </c>
      <c r="F167" s="1061">
        <v>999</v>
      </c>
      <c r="G167" s="1061">
        <v>999999</v>
      </c>
      <c r="H167" s="1061">
        <v>999</v>
      </c>
      <c r="I167" s="1061">
        <v>99</v>
      </c>
      <c r="J167" s="1061">
        <v>999</v>
      </c>
      <c r="K167" s="1061">
        <v>9</v>
      </c>
      <c r="L167" s="1061">
        <v>99</v>
      </c>
      <c r="M167" s="1061">
        <v>9</v>
      </c>
      <c r="N167" s="1061">
        <v>99</v>
      </c>
      <c r="O167" s="1061">
        <v>99999</v>
      </c>
      <c r="P167" s="401">
        <f t="shared" si="5"/>
        <v>0</v>
      </c>
      <c r="Q167" s="401">
        <v>0</v>
      </c>
    </row>
    <row r="168" spans="1:17" ht="15.75">
      <c r="A168" s="1061" t="s">
        <v>1623</v>
      </c>
      <c r="B168" s="1061" t="s">
        <v>1623</v>
      </c>
      <c r="C168" s="1061" t="s">
        <v>1623</v>
      </c>
      <c r="D168" s="1061">
        <v>99</v>
      </c>
      <c r="E168" s="1061">
        <v>99</v>
      </c>
      <c r="F168" s="1061">
        <v>999</v>
      </c>
      <c r="G168" s="1061">
        <v>999999</v>
      </c>
      <c r="H168" s="1061">
        <v>999</v>
      </c>
      <c r="I168" s="1061">
        <v>99</v>
      </c>
      <c r="J168" s="1061">
        <v>999</v>
      </c>
      <c r="K168" s="1061">
        <v>9</v>
      </c>
      <c r="L168" s="1061">
        <v>99</v>
      </c>
      <c r="M168" s="1061">
        <v>9</v>
      </c>
      <c r="N168" s="1061">
        <v>99</v>
      </c>
      <c r="O168" s="1061">
        <v>99999</v>
      </c>
      <c r="P168" s="401">
        <f t="shared" si="5"/>
        <v>0</v>
      </c>
      <c r="Q168" s="401">
        <v>0</v>
      </c>
    </row>
    <row r="169" spans="1:17" ht="15.75">
      <c r="A169" t="s">
        <v>771</v>
      </c>
      <c r="B169" t="s">
        <v>974</v>
      </c>
      <c r="C169" t="s">
        <v>1614</v>
      </c>
      <c r="D169">
        <v>1</v>
      </c>
      <c r="E169">
        <v>3</v>
      </c>
      <c r="F169">
        <v>50</v>
      </c>
      <c r="G169">
        <v>1</v>
      </c>
      <c r="H169">
        <v>999</v>
      </c>
      <c r="I169">
        <v>99</v>
      </c>
      <c r="J169">
        <v>999</v>
      </c>
      <c r="K169">
        <v>9</v>
      </c>
      <c r="L169">
        <v>99</v>
      </c>
      <c r="M169">
        <v>9</v>
      </c>
      <c r="N169">
        <v>4</v>
      </c>
      <c r="O169">
        <v>99999</v>
      </c>
      <c r="P169" s="234">
        <f t="shared" si="5"/>
        <v>0</v>
      </c>
      <c r="Q169" s="254">
        <f>IF(CAPA!P1="VERDADEIRO",0,Calc_Mercado!J15)</f>
        <v>0</v>
      </c>
    </row>
    <row r="170" spans="1:17" ht="15.75">
      <c r="A170" s="16" t="s">
        <v>771</v>
      </c>
      <c r="B170" s="16" t="s">
        <v>120</v>
      </c>
      <c r="C170" s="16" t="s">
        <v>821</v>
      </c>
      <c r="D170" s="16">
        <v>4</v>
      </c>
      <c r="E170" s="16">
        <v>1</v>
      </c>
      <c r="F170" s="16">
        <v>51</v>
      </c>
      <c r="G170" s="16">
        <v>55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2</v>
      </c>
      <c r="O170" s="16">
        <v>99999</v>
      </c>
      <c r="P170" s="234">
        <f t="shared" ca="1" si="5"/>
        <v>10944.528595109821</v>
      </c>
      <c r="Q170" s="234">
        <f ca="1">Energia!C5</f>
        <v>10944.528595109821</v>
      </c>
    </row>
    <row r="171" spans="1:17" ht="15.75">
      <c r="A171" s="16" t="s">
        <v>771</v>
      </c>
      <c r="B171" s="16" t="s">
        <v>120</v>
      </c>
      <c r="C171" s="16" t="s">
        <v>821</v>
      </c>
      <c r="D171" s="16">
        <v>4</v>
      </c>
      <c r="E171" s="16">
        <v>1</v>
      </c>
      <c r="F171" s="16">
        <v>51</v>
      </c>
      <c r="G171" s="16">
        <v>55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5"/>
        <v>3329455.1935485285</v>
      </c>
      <c r="Q171" s="234">
        <f ca="1">Energia!C14</f>
        <v>3329455.1935485285</v>
      </c>
    </row>
    <row r="172" spans="1:17" ht="15.75">
      <c r="A172" s="16" t="s">
        <v>771</v>
      </c>
      <c r="B172" s="16" t="s">
        <v>120</v>
      </c>
      <c r="C172" s="16" t="s">
        <v>1624</v>
      </c>
      <c r="D172" s="16">
        <v>4</v>
      </c>
      <c r="E172" s="16">
        <v>1</v>
      </c>
      <c r="F172" s="16">
        <v>51</v>
      </c>
      <c r="G172" s="16">
        <v>107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2</v>
      </c>
      <c r="O172" s="16">
        <v>99999</v>
      </c>
      <c r="P172" s="234">
        <f t="shared" ca="1" si="5"/>
        <v>380.86959510982177</v>
      </c>
      <c r="Q172" s="234">
        <f ca="1">SUM(LnkTXTPerdas)</f>
        <v>380.86959510982177</v>
      </c>
    </row>
    <row r="173" spans="1:17" ht="15.75">
      <c r="A173" s="16" t="s">
        <v>771</v>
      </c>
      <c r="B173" s="16" t="s">
        <v>1621</v>
      </c>
      <c r="C173" s="16" t="s">
        <v>1625</v>
      </c>
      <c r="D173" s="16">
        <v>4</v>
      </c>
      <c r="E173" s="16">
        <v>3</v>
      </c>
      <c r="F173" s="16">
        <v>50</v>
      </c>
      <c r="G173" s="16">
        <v>114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1</v>
      </c>
      <c r="O173" s="16">
        <v>99999</v>
      </c>
      <c r="P173" s="234">
        <f t="shared" ref="P173:P207" ca="1" si="9">IF(ISNUMBER(Q173),Q173,0)</f>
        <v>128864</v>
      </c>
      <c r="Q173" s="234">
        <f ca="1">SUM(INDIRECT("dados_MercadoBase[D]"))</f>
        <v>128864</v>
      </c>
    </row>
    <row r="174" spans="1:17" ht="15.75">
      <c r="A174" s="16" t="s">
        <v>771</v>
      </c>
      <c r="B174" s="16" t="s">
        <v>1621</v>
      </c>
      <c r="C174" s="16" t="s">
        <v>1626</v>
      </c>
      <c r="D174" s="16">
        <v>4</v>
      </c>
      <c r="E174" s="16">
        <v>3</v>
      </c>
      <c r="F174" s="16">
        <v>50</v>
      </c>
      <c r="G174" s="16">
        <v>116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2</v>
      </c>
      <c r="O174" s="16">
        <v>99999</v>
      </c>
      <c r="P174" s="234">
        <f t="shared" ca="1" si="9"/>
        <v>51100.706999999995</v>
      </c>
      <c r="Q174" s="234">
        <f ca="1">SUM(INDIRECT("dados_MercadoBase[TUSD_E]"))</f>
        <v>51100.706999999995</v>
      </c>
    </row>
    <row r="175" spans="1:17" ht="15.75">
      <c r="A175" t="s">
        <v>770</v>
      </c>
      <c r="B175" t="s">
        <v>793</v>
      </c>
      <c r="C175" t="s">
        <v>1627</v>
      </c>
      <c r="D175">
        <v>2</v>
      </c>
      <c r="E175">
        <v>1</v>
      </c>
      <c r="F175">
        <v>52</v>
      </c>
      <c r="G175">
        <v>999999</v>
      </c>
      <c r="H175">
        <v>999</v>
      </c>
      <c r="I175">
        <v>1</v>
      </c>
      <c r="J175">
        <v>1</v>
      </c>
      <c r="K175">
        <v>1</v>
      </c>
      <c r="L175">
        <v>99</v>
      </c>
      <c r="M175">
        <v>9</v>
      </c>
      <c r="N175">
        <v>3</v>
      </c>
      <c r="O175">
        <v>99999</v>
      </c>
      <c r="P175" s="234">
        <f t="shared" ca="1" si="9"/>
        <v>0</v>
      </c>
      <c r="Q175" s="234">
        <f ca="1">Resultado!C25</f>
        <v>0</v>
      </c>
    </row>
    <row r="176" spans="1:17" ht="15.75">
      <c r="A176" t="s">
        <v>770</v>
      </c>
      <c r="B176" t="s">
        <v>793</v>
      </c>
      <c r="C176" t="s">
        <v>1265</v>
      </c>
      <c r="D176">
        <v>2</v>
      </c>
      <c r="E176">
        <v>1</v>
      </c>
      <c r="F176">
        <v>52</v>
      </c>
      <c r="G176">
        <v>999999</v>
      </c>
      <c r="H176">
        <v>999</v>
      </c>
      <c r="I176">
        <v>1</v>
      </c>
      <c r="J176">
        <v>2</v>
      </c>
      <c r="K176">
        <v>1</v>
      </c>
      <c r="L176">
        <v>99</v>
      </c>
      <c r="M176">
        <v>9</v>
      </c>
      <c r="N176">
        <v>3</v>
      </c>
      <c r="O176">
        <v>99999</v>
      </c>
      <c r="P176" s="234">
        <f t="shared" ca="1" si="9"/>
        <v>0</v>
      </c>
      <c r="Q176" s="234">
        <f ca="1">Resultado!C26</f>
        <v>0</v>
      </c>
    </row>
    <row r="177" spans="1:19" ht="15.75">
      <c r="A177" t="s">
        <v>770</v>
      </c>
      <c r="B177" t="s">
        <v>793</v>
      </c>
      <c r="C177" t="s">
        <v>1573</v>
      </c>
      <c r="D177">
        <v>2</v>
      </c>
      <c r="E177">
        <v>1</v>
      </c>
      <c r="F177">
        <v>52</v>
      </c>
      <c r="G177">
        <v>999999</v>
      </c>
      <c r="H177">
        <v>999</v>
      </c>
      <c r="I177">
        <v>1</v>
      </c>
      <c r="J177">
        <v>3</v>
      </c>
      <c r="K177">
        <v>1</v>
      </c>
      <c r="L177">
        <v>99</v>
      </c>
      <c r="M177">
        <v>9</v>
      </c>
      <c r="N177">
        <v>3</v>
      </c>
      <c r="O177">
        <v>99999</v>
      </c>
      <c r="P177" s="234">
        <f t="shared" si="9"/>
        <v>0</v>
      </c>
      <c r="Q177" s="234">
        <f>Resultado!D31</f>
        <v>0</v>
      </c>
    </row>
    <row r="178" spans="1:19" ht="15.75">
      <c r="A178" t="s">
        <v>770</v>
      </c>
      <c r="B178" t="s">
        <v>793</v>
      </c>
      <c r="C178" t="s">
        <v>1574</v>
      </c>
      <c r="D178">
        <v>2</v>
      </c>
      <c r="E178">
        <v>1</v>
      </c>
      <c r="F178">
        <v>52</v>
      </c>
      <c r="G178">
        <v>999999</v>
      </c>
      <c r="H178">
        <v>999</v>
      </c>
      <c r="I178">
        <v>1</v>
      </c>
      <c r="J178">
        <v>5</v>
      </c>
      <c r="K178">
        <v>1</v>
      </c>
      <c r="L178">
        <v>99</v>
      </c>
      <c r="M178">
        <v>9</v>
      </c>
      <c r="N178">
        <v>3</v>
      </c>
      <c r="O178">
        <v>99999</v>
      </c>
      <c r="P178" s="234">
        <f t="shared" ca="1" si="9"/>
        <v>0</v>
      </c>
      <c r="Q178" s="234">
        <f ca="1">Resultado!C31</f>
        <v>0</v>
      </c>
    </row>
    <row r="179" spans="1:19" ht="15.75">
      <c r="A179" t="s">
        <v>770</v>
      </c>
      <c r="B179" t="s">
        <v>793</v>
      </c>
      <c r="C179" t="s">
        <v>1575</v>
      </c>
      <c r="D179">
        <v>2</v>
      </c>
      <c r="E179">
        <v>1</v>
      </c>
      <c r="F179">
        <v>52</v>
      </c>
      <c r="G179">
        <v>999999</v>
      </c>
      <c r="H179">
        <v>999</v>
      </c>
      <c r="I179">
        <v>1</v>
      </c>
      <c r="J179">
        <v>6</v>
      </c>
      <c r="K179">
        <v>1</v>
      </c>
      <c r="L179">
        <v>99</v>
      </c>
      <c r="M179">
        <v>9</v>
      </c>
      <c r="N179">
        <v>3</v>
      </c>
      <c r="O179">
        <v>99999</v>
      </c>
      <c r="P179" s="234">
        <f t="shared" ca="1" si="9"/>
        <v>4872952.6758582592</v>
      </c>
      <c r="Q179" s="234">
        <f ca="1">Resultado!C32</f>
        <v>4872952.6758582592</v>
      </c>
    </row>
    <row r="180" spans="1:19" ht="15.75">
      <c r="A180" s="9" t="s">
        <v>771</v>
      </c>
      <c r="B180" t="s">
        <v>793</v>
      </c>
      <c r="C180" s="9" t="s">
        <v>1628</v>
      </c>
      <c r="D180">
        <v>1</v>
      </c>
      <c r="E180">
        <v>1</v>
      </c>
      <c r="F180">
        <v>51</v>
      </c>
      <c r="G180">
        <v>999999</v>
      </c>
      <c r="H180">
        <v>999</v>
      </c>
      <c r="I180">
        <v>1</v>
      </c>
      <c r="J180">
        <v>3</v>
      </c>
      <c r="K180">
        <v>9</v>
      </c>
      <c r="L180">
        <v>99</v>
      </c>
      <c r="M180">
        <v>9</v>
      </c>
      <c r="N180">
        <v>3</v>
      </c>
      <c r="O180">
        <v>99999</v>
      </c>
      <c r="P180" s="234">
        <f t="shared" si="9"/>
        <v>0</v>
      </c>
      <c r="Q180" s="254">
        <f>Resultado!D31</f>
        <v>0</v>
      </c>
    </row>
    <row r="181" spans="1:19" ht="15.75">
      <c r="A181" t="s">
        <v>771</v>
      </c>
      <c r="B181" t="s">
        <v>1621</v>
      </c>
      <c r="C181" s="9" t="s">
        <v>1629</v>
      </c>
      <c r="D181">
        <v>4</v>
      </c>
      <c r="E181">
        <v>3</v>
      </c>
      <c r="F181">
        <v>50</v>
      </c>
      <c r="G181">
        <v>117</v>
      </c>
      <c r="H181">
        <v>999</v>
      </c>
      <c r="I181">
        <v>99</v>
      </c>
      <c r="J181">
        <v>999</v>
      </c>
      <c r="K181">
        <v>9</v>
      </c>
      <c r="L181">
        <v>99</v>
      </c>
      <c r="M181">
        <v>9</v>
      </c>
      <c r="N181">
        <v>2</v>
      </c>
      <c r="O181">
        <v>99999</v>
      </c>
      <c r="P181" s="234">
        <f t="shared" ca="1" si="9"/>
        <v>10563.659</v>
      </c>
      <c r="Q181" s="234">
        <f ca="1">SUM(INDIRECT("dados_MercadoBase[TE_E]"))</f>
        <v>10563.659</v>
      </c>
    </row>
    <row r="182" spans="1:19" ht="15.75">
      <c r="A182" t="s">
        <v>771</v>
      </c>
      <c r="B182" t="s">
        <v>1630</v>
      </c>
      <c r="C182" s="9" t="s">
        <v>1631</v>
      </c>
      <c r="D182" s="418">
        <v>1</v>
      </c>
      <c r="E182" s="418">
        <v>1</v>
      </c>
      <c r="F182" s="418">
        <v>15</v>
      </c>
      <c r="G182" s="418">
        <v>175</v>
      </c>
      <c r="H182" s="418">
        <v>999</v>
      </c>
      <c r="I182" s="418">
        <v>4</v>
      </c>
      <c r="J182" s="418">
        <v>999</v>
      </c>
      <c r="K182" s="418">
        <v>9</v>
      </c>
      <c r="L182" s="418">
        <v>99</v>
      </c>
      <c r="M182" s="418">
        <v>9</v>
      </c>
      <c r="N182" s="418">
        <v>4</v>
      </c>
      <c r="O182" s="418">
        <v>99999</v>
      </c>
      <c r="P182" s="420">
        <f>IF(ISNUMBER(Q182),Q182,0)</f>
        <v>9.9699999999999997E-2</v>
      </c>
      <c r="Q182" s="420">
        <f>VLOOKUP(LnkTXTSigla,Informacoes[],8,FALSE)</f>
        <v>9.9699999999999997E-2</v>
      </c>
    </row>
    <row r="183" spans="1:19" ht="15.75">
      <c r="A183" t="s">
        <v>771</v>
      </c>
      <c r="B183" t="s">
        <v>1630</v>
      </c>
      <c r="C183" s="9" t="s">
        <v>1632</v>
      </c>
      <c r="D183" s="418">
        <v>1</v>
      </c>
      <c r="E183" s="418">
        <v>1</v>
      </c>
      <c r="F183" s="418">
        <v>15</v>
      </c>
      <c r="G183" s="418">
        <v>174</v>
      </c>
      <c r="H183" s="418">
        <v>999</v>
      </c>
      <c r="I183" s="418">
        <v>4</v>
      </c>
      <c r="J183" s="418">
        <v>999</v>
      </c>
      <c r="K183" s="418">
        <v>9</v>
      </c>
      <c r="L183" s="418">
        <v>99</v>
      </c>
      <c r="M183" s="418">
        <v>9</v>
      </c>
      <c r="N183" s="418">
        <v>4</v>
      </c>
      <c r="O183" s="422">
        <v>99999</v>
      </c>
      <c r="P183" s="420">
        <f>IF(ISNUMBER(Q183),Q183,0)</f>
        <v>0.04</v>
      </c>
      <c r="Q183" s="420">
        <v>0.04</v>
      </c>
    </row>
    <row r="184" spans="1:19" ht="15.75">
      <c r="A184" t="s">
        <v>771</v>
      </c>
      <c r="B184" t="s">
        <v>1630</v>
      </c>
      <c r="C184" s="9" t="s">
        <v>1633</v>
      </c>
      <c r="D184" s="418">
        <v>1</v>
      </c>
      <c r="E184" s="418">
        <v>1</v>
      </c>
      <c r="F184" s="418">
        <v>196</v>
      </c>
      <c r="G184" s="418">
        <v>250</v>
      </c>
      <c r="H184" s="418">
        <v>999</v>
      </c>
      <c r="I184" s="418">
        <v>4</v>
      </c>
      <c r="J184" s="418">
        <v>999</v>
      </c>
      <c r="K184" s="418">
        <v>9</v>
      </c>
      <c r="L184" s="418">
        <v>99</v>
      </c>
      <c r="M184" s="418">
        <v>9</v>
      </c>
      <c r="N184" s="418">
        <v>3</v>
      </c>
      <c r="O184" s="422">
        <v>99999</v>
      </c>
      <c r="P184" s="419">
        <f>IF(ISNUMBER(Q184),Q184,0)</f>
        <v>4280139.1320000002</v>
      </c>
      <c r="Q184" s="424">
        <f>CAPA!D32</f>
        <v>4280139.1320000002</v>
      </c>
      <c r="S184" s="9"/>
    </row>
    <row r="185" spans="1:19" ht="15.75">
      <c r="A185" t="s">
        <v>771</v>
      </c>
      <c r="B185" t="s">
        <v>1630</v>
      </c>
      <c r="C185" s="9" t="s">
        <v>1634</v>
      </c>
      <c r="D185" s="418">
        <v>1</v>
      </c>
      <c r="E185" s="418">
        <v>1</v>
      </c>
      <c r="F185" s="418">
        <v>14</v>
      </c>
      <c r="G185" s="418">
        <v>31</v>
      </c>
      <c r="H185" s="418">
        <v>999</v>
      </c>
      <c r="I185" s="418">
        <v>4</v>
      </c>
      <c r="J185" s="418">
        <v>999</v>
      </c>
      <c r="K185" s="418">
        <v>9</v>
      </c>
      <c r="L185" s="418">
        <v>99</v>
      </c>
      <c r="M185" s="418">
        <v>9</v>
      </c>
      <c r="N185" s="418">
        <v>4</v>
      </c>
      <c r="O185" s="418">
        <v>99999</v>
      </c>
      <c r="P185" s="254">
        <v>0</v>
      </c>
      <c r="Q185" s="254">
        <v>0</v>
      </c>
    </row>
    <row r="186" spans="1:19" ht="15.75">
      <c r="A186" t="s">
        <v>771</v>
      </c>
      <c r="B186" t="s">
        <v>1630</v>
      </c>
      <c r="C186" s="9" t="s">
        <v>1635</v>
      </c>
      <c r="D186" s="418">
        <v>1</v>
      </c>
      <c r="E186" s="418">
        <v>1</v>
      </c>
      <c r="F186" s="418">
        <v>15</v>
      </c>
      <c r="G186" s="418">
        <v>176</v>
      </c>
      <c r="H186" s="418">
        <v>999</v>
      </c>
      <c r="I186" s="418">
        <v>4</v>
      </c>
      <c r="J186" s="418">
        <v>999</v>
      </c>
      <c r="K186" s="418">
        <v>9</v>
      </c>
      <c r="L186" s="418">
        <v>99</v>
      </c>
      <c r="M186" s="418">
        <v>9</v>
      </c>
      <c r="N186" s="418">
        <v>3</v>
      </c>
      <c r="O186" s="418">
        <v>99999</v>
      </c>
      <c r="P186" s="254">
        <f t="shared" si="9"/>
        <v>6300423.0479999995</v>
      </c>
      <c r="Q186" s="254">
        <f>CAPA!D33</f>
        <v>6300423.0479999995</v>
      </c>
    </row>
    <row r="187" spans="1:19" ht="15.75">
      <c r="A187" t="s">
        <v>771</v>
      </c>
      <c r="B187" t="s">
        <v>1630</v>
      </c>
      <c r="C187" s="9" t="s">
        <v>1636</v>
      </c>
      <c r="D187" s="418">
        <v>1</v>
      </c>
      <c r="E187" s="418">
        <v>1</v>
      </c>
      <c r="F187" s="418">
        <v>203</v>
      </c>
      <c r="G187" s="418">
        <v>247</v>
      </c>
      <c r="H187" s="418">
        <v>999</v>
      </c>
      <c r="I187" s="418">
        <v>4</v>
      </c>
      <c r="J187" s="418">
        <v>999</v>
      </c>
      <c r="K187" s="418">
        <v>9</v>
      </c>
      <c r="L187" s="418">
        <v>99</v>
      </c>
      <c r="M187" s="418">
        <v>9</v>
      </c>
      <c r="N187" s="418">
        <v>3</v>
      </c>
      <c r="O187" s="418">
        <v>99999</v>
      </c>
      <c r="P187" s="234">
        <f t="shared" si="9"/>
        <v>10580562.18</v>
      </c>
      <c r="Q187" s="234">
        <f>Resultado!D39</f>
        <v>10580562.18</v>
      </c>
    </row>
    <row r="188" spans="1:19" ht="15.75">
      <c r="A188" t="s">
        <v>771</v>
      </c>
      <c r="B188" t="s">
        <v>1630</v>
      </c>
      <c r="C188" t="s">
        <v>253</v>
      </c>
      <c r="D188" s="418">
        <v>1</v>
      </c>
      <c r="E188" s="418">
        <v>1</v>
      </c>
      <c r="F188" s="418">
        <v>15</v>
      </c>
      <c r="G188" s="418">
        <v>194</v>
      </c>
      <c r="H188" s="418">
        <v>999</v>
      </c>
      <c r="I188" s="418">
        <v>4</v>
      </c>
      <c r="J188" s="418">
        <v>999</v>
      </c>
      <c r="K188" s="418">
        <v>9</v>
      </c>
      <c r="L188" s="418">
        <v>99</v>
      </c>
      <c r="M188" s="418">
        <v>9</v>
      </c>
      <c r="N188" s="418">
        <v>4</v>
      </c>
      <c r="O188" s="418">
        <v>99999</v>
      </c>
      <c r="P188" s="234">
        <f t="shared" si="9"/>
        <v>0.36620000000000003</v>
      </c>
      <c r="Q188" s="249">
        <f>VLOOKUP(LnkTXTSigla,Informacoes[],16,FALSE)</f>
        <v>0.36620000000000003</v>
      </c>
    </row>
    <row r="189" spans="1:19" ht="15.75">
      <c r="A189" t="s">
        <v>1621</v>
      </c>
      <c r="B189" t="s">
        <v>1637</v>
      </c>
      <c r="C189" t="s">
        <v>1638</v>
      </c>
      <c r="D189">
        <v>3</v>
      </c>
      <c r="E189">
        <v>99</v>
      </c>
      <c r="F189">
        <v>24</v>
      </c>
      <c r="G189">
        <v>63</v>
      </c>
      <c r="H189">
        <v>110</v>
      </c>
      <c r="I189">
        <v>99</v>
      </c>
      <c r="J189">
        <v>999</v>
      </c>
      <c r="K189">
        <v>9</v>
      </c>
      <c r="L189">
        <v>99</v>
      </c>
      <c r="M189">
        <v>9</v>
      </c>
      <c r="N189">
        <v>3</v>
      </c>
      <c r="O189">
        <v>99999</v>
      </c>
      <c r="P189" s="234">
        <f t="shared" si="9"/>
        <v>-58984.392755160887</v>
      </c>
      <c r="Q189" s="234">
        <f>'Tabelas e Gráficos'!BP262</f>
        <v>-58984.392755160887</v>
      </c>
    </row>
    <row r="190" spans="1:19" ht="15.75">
      <c r="A190" t="s">
        <v>1621</v>
      </c>
      <c r="B190" t="s">
        <v>1637</v>
      </c>
      <c r="C190" t="s">
        <v>1639</v>
      </c>
      <c r="D190">
        <v>3</v>
      </c>
      <c r="E190">
        <v>99</v>
      </c>
      <c r="F190">
        <v>24</v>
      </c>
      <c r="G190">
        <v>63</v>
      </c>
      <c r="H190">
        <v>111</v>
      </c>
      <c r="I190">
        <v>99</v>
      </c>
      <c r="J190">
        <v>999</v>
      </c>
      <c r="K190">
        <v>9</v>
      </c>
      <c r="L190">
        <v>99</v>
      </c>
      <c r="M190">
        <v>9</v>
      </c>
      <c r="N190">
        <v>3</v>
      </c>
      <c r="O190">
        <v>99999</v>
      </c>
      <c r="P190" s="234">
        <f t="shared" si="9"/>
        <v>0</v>
      </c>
      <c r="Q190" s="234">
        <f>'Tabelas e Gráficos'!BP263</f>
        <v>0</v>
      </c>
    </row>
    <row r="191" spans="1:19" ht="15.75">
      <c r="A191" t="s">
        <v>1621</v>
      </c>
      <c r="B191" t="s">
        <v>1637</v>
      </c>
      <c r="C191" t="s">
        <v>1640</v>
      </c>
      <c r="D191">
        <v>3</v>
      </c>
      <c r="E191">
        <v>99</v>
      </c>
      <c r="F191">
        <v>24</v>
      </c>
      <c r="G191">
        <v>63</v>
      </c>
      <c r="H191">
        <v>182</v>
      </c>
      <c r="I191">
        <v>99</v>
      </c>
      <c r="J191">
        <v>999</v>
      </c>
      <c r="K191">
        <v>9</v>
      </c>
      <c r="L191">
        <v>99</v>
      </c>
      <c r="M191">
        <v>9</v>
      </c>
      <c r="N191">
        <v>3</v>
      </c>
      <c r="O191">
        <v>99999</v>
      </c>
      <c r="P191" s="234">
        <f t="shared" si="9"/>
        <v>0</v>
      </c>
      <c r="Q191" s="234">
        <f>'Tabelas e Gráficos'!BP264</f>
        <v>0</v>
      </c>
    </row>
    <row r="192" spans="1:19" ht="15.75">
      <c r="A192" t="s">
        <v>1621</v>
      </c>
      <c r="B192" t="s">
        <v>1637</v>
      </c>
      <c r="C192" t="s">
        <v>1641</v>
      </c>
      <c r="D192">
        <v>3</v>
      </c>
      <c r="E192">
        <v>99</v>
      </c>
      <c r="F192">
        <v>24</v>
      </c>
      <c r="G192">
        <v>63</v>
      </c>
      <c r="H192">
        <v>183</v>
      </c>
      <c r="I192">
        <v>99</v>
      </c>
      <c r="J192">
        <v>999</v>
      </c>
      <c r="K192">
        <v>9</v>
      </c>
      <c r="L192">
        <v>99</v>
      </c>
      <c r="M192">
        <v>9</v>
      </c>
      <c r="N192">
        <v>3</v>
      </c>
      <c r="O192">
        <v>99999</v>
      </c>
      <c r="P192" s="234">
        <f t="shared" si="9"/>
        <v>553.38908645883168</v>
      </c>
      <c r="Q192" s="234">
        <f>'Tabelas e Gráficos'!BP265</f>
        <v>553.38908645883168</v>
      </c>
    </row>
    <row r="193" spans="1:17" ht="15.75">
      <c r="A193" t="s">
        <v>1621</v>
      </c>
      <c r="B193" t="s">
        <v>1637</v>
      </c>
      <c r="C193" t="s">
        <v>1642</v>
      </c>
      <c r="D193">
        <v>3</v>
      </c>
      <c r="E193">
        <v>99</v>
      </c>
      <c r="F193">
        <v>24</v>
      </c>
      <c r="G193">
        <v>63</v>
      </c>
      <c r="H193">
        <v>184</v>
      </c>
      <c r="I193">
        <v>99</v>
      </c>
      <c r="J193">
        <v>999</v>
      </c>
      <c r="K193">
        <v>9</v>
      </c>
      <c r="L193">
        <v>99</v>
      </c>
      <c r="M193">
        <v>9</v>
      </c>
      <c r="N193">
        <v>3</v>
      </c>
      <c r="O193">
        <v>99999</v>
      </c>
      <c r="P193" s="234">
        <f t="shared" si="9"/>
        <v>519.17122713363403</v>
      </c>
      <c r="Q193" s="234">
        <f>'Tabelas e Gráficos'!BP266</f>
        <v>519.17122713363403</v>
      </c>
    </row>
    <row r="194" spans="1:17" ht="15.75">
      <c r="A194" t="s">
        <v>1621</v>
      </c>
      <c r="B194" t="s">
        <v>1637</v>
      </c>
      <c r="C194" t="s">
        <v>1643</v>
      </c>
      <c r="D194">
        <v>3</v>
      </c>
      <c r="E194">
        <v>99</v>
      </c>
      <c r="F194">
        <v>24</v>
      </c>
      <c r="G194">
        <v>63</v>
      </c>
      <c r="H194">
        <v>112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3</v>
      </c>
      <c r="O194">
        <v>99999</v>
      </c>
      <c r="P194" s="234">
        <f t="shared" si="9"/>
        <v>657.88851179619212</v>
      </c>
      <c r="Q194" s="234">
        <f>'Tabelas e Gráficos'!BP267</f>
        <v>657.88851179619212</v>
      </c>
    </row>
    <row r="195" spans="1:17" ht="15.75">
      <c r="A195" t="s">
        <v>1621</v>
      </c>
      <c r="B195" t="s">
        <v>1637</v>
      </c>
      <c r="C195" t="s">
        <v>1644</v>
      </c>
      <c r="D195">
        <v>3</v>
      </c>
      <c r="E195">
        <v>99</v>
      </c>
      <c r="F195">
        <v>24</v>
      </c>
      <c r="G195">
        <v>61</v>
      </c>
      <c r="H195">
        <v>110</v>
      </c>
      <c r="I195">
        <v>99</v>
      </c>
      <c r="J195">
        <v>999</v>
      </c>
      <c r="K195">
        <v>9</v>
      </c>
      <c r="L195">
        <v>99</v>
      </c>
      <c r="M195">
        <v>9</v>
      </c>
      <c r="N195">
        <v>3</v>
      </c>
      <c r="O195">
        <v>99999</v>
      </c>
      <c r="P195" s="234">
        <f t="shared" si="9"/>
        <v>496919.08139447984</v>
      </c>
      <c r="Q195" s="234">
        <f>'Tabelas e Gráficos'!BQ262</f>
        <v>496919.08139447984</v>
      </c>
    </row>
    <row r="196" spans="1:17" ht="15.75">
      <c r="A196" t="s">
        <v>1621</v>
      </c>
      <c r="B196" t="s">
        <v>1637</v>
      </c>
      <c r="C196" t="s">
        <v>1645</v>
      </c>
      <c r="D196">
        <v>3</v>
      </c>
      <c r="E196">
        <v>99</v>
      </c>
      <c r="F196">
        <v>24</v>
      </c>
      <c r="G196">
        <v>61</v>
      </c>
      <c r="H196">
        <v>111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9"/>
        <v>0</v>
      </c>
      <c r="Q196" s="234">
        <f>'Tabelas e Gráficos'!BQ263</f>
        <v>0</v>
      </c>
    </row>
    <row r="197" spans="1:17" ht="15.75">
      <c r="A197" t="s">
        <v>1621</v>
      </c>
      <c r="B197" t="s">
        <v>1637</v>
      </c>
      <c r="C197" t="s">
        <v>1646</v>
      </c>
      <c r="D197">
        <v>3</v>
      </c>
      <c r="E197">
        <v>99</v>
      </c>
      <c r="F197">
        <v>24</v>
      </c>
      <c r="G197">
        <v>61</v>
      </c>
      <c r="H197">
        <v>182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9"/>
        <v>0</v>
      </c>
      <c r="Q197" s="234">
        <f>'Tabelas e Gráficos'!BQ264</f>
        <v>0</v>
      </c>
    </row>
    <row r="198" spans="1:17" ht="15.75">
      <c r="A198" t="s">
        <v>1621</v>
      </c>
      <c r="B198" t="s">
        <v>1637</v>
      </c>
      <c r="C198" t="s">
        <v>1647</v>
      </c>
      <c r="D198">
        <v>3</v>
      </c>
      <c r="E198">
        <v>99</v>
      </c>
      <c r="F198">
        <v>24</v>
      </c>
      <c r="G198">
        <v>61</v>
      </c>
      <c r="H198">
        <v>183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9"/>
        <v>1609.7814360271384</v>
      </c>
      <c r="Q198" s="234">
        <f>'Tabelas e Gráficos'!BQ265</f>
        <v>1609.7814360271384</v>
      </c>
    </row>
    <row r="199" spans="1:17" ht="15.75">
      <c r="A199" t="s">
        <v>1621</v>
      </c>
      <c r="B199" t="s">
        <v>1637</v>
      </c>
      <c r="C199" t="s">
        <v>1648</v>
      </c>
      <c r="D199">
        <v>3</v>
      </c>
      <c r="E199">
        <v>99</v>
      </c>
      <c r="F199">
        <v>24</v>
      </c>
      <c r="G199">
        <v>61</v>
      </c>
      <c r="H199">
        <v>184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9"/>
        <v>23321.285061089744</v>
      </c>
      <c r="Q199" s="234">
        <f>'Tabelas e Gráficos'!BQ266</f>
        <v>23321.285061089744</v>
      </c>
    </row>
    <row r="200" spans="1:17" ht="15.75">
      <c r="A200" t="s">
        <v>1621</v>
      </c>
      <c r="B200" t="s">
        <v>1637</v>
      </c>
      <c r="C200" t="s">
        <v>1649</v>
      </c>
      <c r="D200">
        <v>3</v>
      </c>
      <c r="E200">
        <v>99</v>
      </c>
      <c r="F200">
        <v>24</v>
      </c>
      <c r="G200">
        <v>61</v>
      </c>
      <c r="H200">
        <v>112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9"/>
        <v>9925.5886684305151</v>
      </c>
      <c r="Q200" s="234">
        <f>'Tabelas e Gráficos'!BQ267</f>
        <v>9925.5886684305151</v>
      </c>
    </row>
    <row r="201" spans="1:17" ht="15.75">
      <c r="A201" t="s">
        <v>1621</v>
      </c>
      <c r="B201" t="s">
        <v>1637</v>
      </c>
      <c r="C201" t="s">
        <v>1650</v>
      </c>
      <c r="D201">
        <v>3</v>
      </c>
      <c r="E201">
        <v>99</v>
      </c>
      <c r="F201">
        <v>24</v>
      </c>
      <c r="G201">
        <v>79</v>
      </c>
      <c r="H201">
        <v>110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9"/>
        <v>437934.68863931898</v>
      </c>
      <c r="Q201" s="234">
        <f>'Tabelas e Gráficos'!BR262</f>
        <v>437934.68863931898</v>
      </c>
    </row>
    <row r="202" spans="1:17" ht="15.75">
      <c r="A202" t="s">
        <v>1621</v>
      </c>
      <c r="B202" t="s">
        <v>1637</v>
      </c>
      <c r="C202" t="s">
        <v>1651</v>
      </c>
      <c r="D202">
        <v>3</v>
      </c>
      <c r="E202">
        <v>99</v>
      </c>
      <c r="F202">
        <v>24</v>
      </c>
      <c r="G202">
        <v>79</v>
      </c>
      <c r="H202">
        <v>111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9"/>
        <v>0</v>
      </c>
      <c r="Q202" s="234">
        <f>'Tabelas e Gráficos'!BR263</f>
        <v>0</v>
      </c>
    </row>
    <row r="203" spans="1:17" ht="15.75">
      <c r="A203" t="s">
        <v>1621</v>
      </c>
      <c r="B203" t="s">
        <v>1637</v>
      </c>
      <c r="C203" t="s">
        <v>1652</v>
      </c>
      <c r="D203">
        <v>3</v>
      </c>
      <c r="E203">
        <v>99</v>
      </c>
      <c r="F203">
        <v>24</v>
      </c>
      <c r="G203">
        <v>79</v>
      </c>
      <c r="H203">
        <v>182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9"/>
        <v>0</v>
      </c>
      <c r="Q203" s="234">
        <f>'Tabelas e Gráficos'!BR264</f>
        <v>0</v>
      </c>
    </row>
    <row r="204" spans="1:17" ht="15.75">
      <c r="A204" t="s">
        <v>1621</v>
      </c>
      <c r="B204" t="s">
        <v>1637</v>
      </c>
      <c r="C204" t="s">
        <v>1653</v>
      </c>
      <c r="D204">
        <v>3</v>
      </c>
      <c r="E204">
        <v>99</v>
      </c>
      <c r="F204">
        <v>24</v>
      </c>
      <c r="G204">
        <v>79</v>
      </c>
      <c r="H204">
        <v>183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9"/>
        <v>2163.1705224859702</v>
      </c>
      <c r="Q204" s="234">
        <f>'Tabelas e Gráficos'!BR265</f>
        <v>2163.1705224859702</v>
      </c>
    </row>
    <row r="205" spans="1:17" ht="15.75">
      <c r="A205" t="s">
        <v>1621</v>
      </c>
      <c r="B205" t="s">
        <v>1637</v>
      </c>
      <c r="C205" t="s">
        <v>1654</v>
      </c>
      <c r="D205">
        <v>3</v>
      </c>
      <c r="E205">
        <v>99</v>
      </c>
      <c r="F205">
        <v>24</v>
      </c>
      <c r="G205">
        <v>79</v>
      </c>
      <c r="H205">
        <v>184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9"/>
        <v>23840.456288223377</v>
      </c>
      <c r="Q205" s="234">
        <f>'Tabelas e Gráficos'!BR266</f>
        <v>23840.456288223377</v>
      </c>
    </row>
    <row r="206" spans="1:17" ht="15.75">
      <c r="A206" t="s">
        <v>1621</v>
      </c>
      <c r="B206" t="s">
        <v>1637</v>
      </c>
      <c r="C206" t="s">
        <v>1655</v>
      </c>
      <c r="D206">
        <v>3</v>
      </c>
      <c r="E206">
        <v>99</v>
      </c>
      <c r="F206">
        <v>24</v>
      </c>
      <c r="G206">
        <v>79</v>
      </c>
      <c r="H206">
        <v>112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9"/>
        <v>10583.477180226708</v>
      </c>
      <c r="Q206" s="234">
        <f>'Tabelas e Gráficos'!BR267</f>
        <v>10583.477180226708</v>
      </c>
    </row>
    <row r="207" spans="1:17" ht="15.75">
      <c r="A207" s="924" t="s">
        <v>771</v>
      </c>
      <c r="B207" s="924" t="s">
        <v>72</v>
      </c>
      <c r="C207" s="924" t="s">
        <v>1656</v>
      </c>
      <c r="D207" s="924">
        <v>2</v>
      </c>
      <c r="E207" s="924">
        <v>1</v>
      </c>
      <c r="F207" s="924">
        <v>51</v>
      </c>
      <c r="G207" s="924">
        <v>73</v>
      </c>
      <c r="H207" s="924">
        <v>999</v>
      </c>
      <c r="I207" s="924">
        <v>3</v>
      </c>
      <c r="J207" s="924">
        <v>15</v>
      </c>
      <c r="K207" s="924">
        <v>1</v>
      </c>
      <c r="L207" s="924">
        <v>99</v>
      </c>
      <c r="M207" s="924">
        <v>9</v>
      </c>
      <c r="N207" s="924">
        <v>3</v>
      </c>
      <c r="O207" s="924">
        <v>99999</v>
      </c>
      <c r="P207" s="234">
        <f t="shared" si="9"/>
        <v>0</v>
      </c>
      <c r="Q207" s="234">
        <f>Encargos!I20</f>
        <v>0</v>
      </c>
    </row>
    <row r="208" spans="1:17" ht="15.75">
      <c r="A208" s="924" t="s">
        <v>771</v>
      </c>
      <c r="B208" s="924" t="s">
        <v>1378</v>
      </c>
      <c r="C208" s="924" t="str">
        <f>Financeiros!C43</f>
        <v>CVA ccc</v>
      </c>
      <c r="D208" s="924">
        <v>2</v>
      </c>
      <c r="E208" s="924">
        <v>2</v>
      </c>
      <c r="F208" s="924">
        <f>Financeiros!F43</f>
        <v>19</v>
      </c>
      <c r="G208" s="924">
        <f>Financeiros!G43</f>
        <v>60</v>
      </c>
      <c r="H208" s="924">
        <f>Financeiros!H43</f>
        <v>999</v>
      </c>
      <c r="I208" s="924">
        <f>Financeiros!I43</f>
        <v>3</v>
      </c>
      <c r="J208" s="924">
        <f>Financeiros!J43</f>
        <v>13</v>
      </c>
      <c r="K208" s="924">
        <f>Financeiros!K43</f>
        <v>9</v>
      </c>
      <c r="L208" s="924">
        <v>99</v>
      </c>
      <c r="M208" s="924">
        <v>9</v>
      </c>
      <c r="N208" s="924">
        <v>3</v>
      </c>
      <c r="O208" s="924">
        <v>99999</v>
      </c>
      <c r="P208" s="1026">
        <f t="shared" ref="P208" si="10">IF(ISNUMBER(Q208),Q208,0)</f>
        <v>0</v>
      </c>
      <c r="Q208" s="234">
        <f>Financeiros!D43</f>
        <v>0</v>
      </c>
    </row>
    <row r="209" spans="1:17" ht="15.75">
      <c r="A209" s="924" t="s">
        <v>771</v>
      </c>
      <c r="B209" s="924" t="s">
        <v>1378</v>
      </c>
      <c r="C209" s="924" t="str">
        <f>Financeiros!C44</f>
        <v>CVA cde</v>
      </c>
      <c r="D209" s="924">
        <v>2</v>
      </c>
      <c r="E209" s="924">
        <v>2</v>
      </c>
      <c r="F209" s="924">
        <f>Financeiros!F44</f>
        <v>19</v>
      </c>
      <c r="G209" s="924">
        <f>Financeiros!G44</f>
        <v>60</v>
      </c>
      <c r="H209" s="924">
        <f>Financeiros!H44</f>
        <v>999</v>
      </c>
      <c r="I209" s="924">
        <f>Financeiros!I44</f>
        <v>3</v>
      </c>
      <c r="J209" s="924">
        <f>Financeiros!J44</f>
        <v>15</v>
      </c>
      <c r="K209" s="924">
        <f>Financeiros!K44</f>
        <v>9</v>
      </c>
      <c r="L209" s="924">
        <v>99</v>
      </c>
      <c r="M209" s="924">
        <v>9</v>
      </c>
      <c r="N209" s="924">
        <v>3</v>
      </c>
      <c r="O209" s="924">
        <v>99999</v>
      </c>
      <c r="P209" s="1026">
        <f t="shared" ref="P209:P266" si="11">IF(ISNUMBER(Q209),Q209,0)</f>
        <v>0</v>
      </c>
      <c r="Q209" s="234">
        <f>Financeiros!D44</f>
        <v>0</v>
      </c>
    </row>
    <row r="210" spans="1:17" ht="15.75">
      <c r="A210" s="924" t="s">
        <v>771</v>
      </c>
      <c r="B210" s="924" t="s">
        <v>1378</v>
      </c>
      <c r="C210" s="924" t="str">
        <f>Financeiros!C45</f>
        <v>CVA cde energia</v>
      </c>
      <c r="D210" s="924">
        <v>2</v>
      </c>
      <c r="E210" s="924">
        <v>2</v>
      </c>
      <c r="F210" s="924">
        <f>Financeiros!F45</f>
        <v>19</v>
      </c>
      <c r="G210" s="924">
        <f>Financeiros!G45</f>
        <v>60</v>
      </c>
      <c r="H210" s="924">
        <f>Financeiros!H45</f>
        <v>999</v>
      </c>
      <c r="I210" s="924">
        <f>Financeiros!I45</f>
        <v>3</v>
      </c>
      <c r="J210" s="924">
        <f>Financeiros!J45</f>
        <v>25</v>
      </c>
      <c r="K210" s="924">
        <f>Financeiros!K45</f>
        <v>9</v>
      </c>
      <c r="L210" s="924">
        <v>99</v>
      </c>
      <c r="M210" s="924">
        <v>9</v>
      </c>
      <c r="N210" s="924">
        <v>3</v>
      </c>
      <c r="O210" s="924">
        <v>99999</v>
      </c>
      <c r="P210" s="1026">
        <f t="shared" si="11"/>
        <v>0</v>
      </c>
      <c r="Q210" s="234">
        <f>Financeiros!D45</f>
        <v>0</v>
      </c>
    </row>
    <row r="211" spans="1:17" ht="15.75">
      <c r="A211" s="924" t="s">
        <v>771</v>
      </c>
      <c r="B211" s="924" t="s">
        <v>1378</v>
      </c>
      <c r="C211" s="924" t="str">
        <f>Financeiros!C46</f>
        <v>CVA RB - Nodal</v>
      </c>
      <c r="D211" s="924">
        <v>2</v>
      </c>
      <c r="E211" s="924">
        <v>2</v>
      </c>
      <c r="F211" s="924">
        <f>Financeiros!F46</f>
        <v>19</v>
      </c>
      <c r="G211" s="924">
        <f>Financeiros!G46</f>
        <v>60</v>
      </c>
      <c r="H211" s="924">
        <f>Financeiros!H46</f>
        <v>999</v>
      </c>
      <c r="I211" s="924">
        <f>Financeiros!I46</f>
        <v>1</v>
      </c>
      <c r="J211" s="924">
        <f>Financeiros!J46</f>
        <v>1</v>
      </c>
      <c r="K211" s="924">
        <f>Financeiros!K46</f>
        <v>9</v>
      </c>
      <c r="L211" s="924">
        <v>99</v>
      </c>
      <c r="M211" s="924">
        <v>9</v>
      </c>
      <c r="N211" s="924">
        <v>3</v>
      </c>
      <c r="O211" s="924">
        <v>99999</v>
      </c>
      <c r="P211" s="1026">
        <f t="shared" si="11"/>
        <v>0</v>
      </c>
      <c r="Q211" s="234">
        <f>Financeiros!D46</f>
        <v>0</v>
      </c>
    </row>
    <row r="212" spans="1:17" ht="15.75">
      <c r="A212" s="924" t="s">
        <v>771</v>
      </c>
      <c r="B212" s="924" t="s">
        <v>1378</v>
      </c>
      <c r="C212" s="924" t="str">
        <f>Financeiros!C47</f>
        <v>CVA RB - Fronteira</v>
      </c>
      <c r="D212" s="924">
        <v>2</v>
      </c>
      <c r="E212" s="924">
        <v>2</v>
      </c>
      <c r="F212" s="924">
        <f>Financeiros!F47</f>
        <v>19</v>
      </c>
      <c r="G212" s="924">
        <f>Financeiros!G47</f>
        <v>60</v>
      </c>
      <c r="H212" s="924">
        <f>Financeiros!H47</f>
        <v>999</v>
      </c>
      <c r="I212" s="924">
        <f>Financeiros!I47</f>
        <v>1</v>
      </c>
      <c r="J212" s="924">
        <f>Financeiros!J47</f>
        <v>1</v>
      </c>
      <c r="K212" s="924">
        <f>Financeiros!K47</f>
        <v>9</v>
      </c>
      <c r="L212" s="924">
        <v>99</v>
      </c>
      <c r="M212" s="924">
        <v>9</v>
      </c>
      <c r="N212" s="924">
        <v>3</v>
      </c>
      <c r="O212" s="924">
        <v>99999</v>
      </c>
      <c r="P212" s="1026">
        <f t="shared" si="11"/>
        <v>0</v>
      </c>
      <c r="Q212" s="234">
        <f>Financeiros!D47</f>
        <v>0</v>
      </c>
    </row>
    <row r="213" spans="1:17" ht="15.75">
      <c r="A213" s="924" t="s">
        <v>771</v>
      </c>
      <c r="B213" s="924" t="s">
        <v>1378</v>
      </c>
      <c r="C213" s="924" t="str">
        <f>Financeiros!C48</f>
        <v>CVA RB - TUSDg EXP</v>
      </c>
      <c r="D213" s="924">
        <v>2</v>
      </c>
      <c r="E213" s="924">
        <v>2</v>
      </c>
      <c r="F213" s="924">
        <f>Financeiros!F48</f>
        <v>19</v>
      </c>
      <c r="G213" s="924">
        <f>Financeiros!G48</f>
        <v>60</v>
      </c>
      <c r="H213" s="924">
        <f>Financeiros!H48</f>
        <v>999</v>
      </c>
      <c r="I213" s="924">
        <f>Financeiros!I48</f>
        <v>1</v>
      </c>
      <c r="J213" s="924">
        <f>Financeiros!J48</f>
        <v>1</v>
      </c>
      <c r="K213" s="924">
        <f>Financeiros!K48</f>
        <v>9</v>
      </c>
      <c r="L213" s="924">
        <v>99</v>
      </c>
      <c r="M213" s="924">
        <v>9</v>
      </c>
      <c r="N213" s="924">
        <v>3</v>
      </c>
      <c r="O213" s="924">
        <v>99999</v>
      </c>
      <c r="P213" s="1026">
        <f t="shared" si="11"/>
        <v>0</v>
      </c>
      <c r="Q213" s="234">
        <f>Financeiros!D48</f>
        <v>0</v>
      </c>
    </row>
    <row r="214" spans="1:17" ht="15.75">
      <c r="A214" s="924" t="s">
        <v>771</v>
      </c>
      <c r="B214" s="924" t="s">
        <v>1378</v>
      </c>
      <c r="C214" s="924" t="str">
        <f>Financeiros!C49</f>
        <v>CVA RB - TUSDg ONS</v>
      </c>
      <c r="D214" s="924">
        <v>2</v>
      </c>
      <c r="E214" s="924">
        <v>2</v>
      </c>
      <c r="F214" s="924">
        <f>Financeiros!F49</f>
        <v>19</v>
      </c>
      <c r="G214" s="924">
        <f>Financeiros!G49</f>
        <v>60</v>
      </c>
      <c r="H214" s="924">
        <f>Financeiros!H49</f>
        <v>999</v>
      </c>
      <c r="I214" s="924">
        <f>Financeiros!I49</f>
        <v>1</v>
      </c>
      <c r="J214" s="924">
        <f>Financeiros!J49</f>
        <v>1</v>
      </c>
      <c r="K214" s="924">
        <f>Financeiros!K49</f>
        <v>9</v>
      </c>
      <c r="L214" s="924">
        <v>99</v>
      </c>
      <c r="M214" s="924">
        <v>9</v>
      </c>
      <c r="N214" s="924">
        <v>3</v>
      </c>
      <c r="O214" s="924">
        <v>99999</v>
      </c>
      <c r="P214" s="1026">
        <f t="shared" si="11"/>
        <v>0</v>
      </c>
      <c r="Q214" s="234">
        <f>Financeiros!D49</f>
        <v>0</v>
      </c>
    </row>
    <row r="215" spans="1:17" ht="15.75">
      <c r="A215" s="924" t="s">
        <v>771</v>
      </c>
      <c r="B215" s="924" t="s">
        <v>1378</v>
      </c>
      <c r="C215" s="924" t="str">
        <f>Financeiros!C50</f>
        <v>CVA RB - EUST Itaipu</v>
      </c>
      <c r="D215" s="924">
        <v>2</v>
      </c>
      <c r="E215" s="924">
        <v>2</v>
      </c>
      <c r="F215" s="924">
        <f>Financeiros!F50</f>
        <v>19</v>
      </c>
      <c r="G215" s="924">
        <f>Financeiros!G50</f>
        <v>60</v>
      </c>
      <c r="H215" s="924">
        <f>Financeiros!H50</f>
        <v>999</v>
      </c>
      <c r="I215" s="924">
        <f>Financeiros!I50</f>
        <v>1</v>
      </c>
      <c r="J215" s="924">
        <f>Financeiros!J50</f>
        <v>1</v>
      </c>
      <c r="K215" s="924">
        <f>Financeiros!K50</f>
        <v>9</v>
      </c>
      <c r="L215" s="924">
        <v>99</v>
      </c>
      <c r="M215" s="924">
        <v>9</v>
      </c>
      <c r="N215" s="924">
        <v>3</v>
      </c>
      <c r="O215" s="924">
        <v>99999</v>
      </c>
      <c r="P215" s="1026">
        <f t="shared" si="11"/>
        <v>0</v>
      </c>
      <c r="Q215" s="234">
        <f>Financeiros!D50</f>
        <v>0</v>
      </c>
    </row>
    <row r="216" spans="1:17" ht="15.75">
      <c r="A216" s="924" t="s">
        <v>771</v>
      </c>
      <c r="B216" s="924" t="s">
        <v>1378</v>
      </c>
      <c r="C216" s="924" t="str">
        <f>Financeiros!C51</f>
        <v>CVA - Transporte Itaipu</v>
      </c>
      <c r="D216" s="924">
        <v>2</v>
      </c>
      <c r="E216" s="924">
        <v>2</v>
      </c>
      <c r="F216" s="924">
        <f>Financeiros!F51</f>
        <v>19</v>
      </c>
      <c r="G216" s="924">
        <f>Financeiros!G51</f>
        <v>60</v>
      </c>
      <c r="H216" s="924">
        <f>Financeiros!H51</f>
        <v>999</v>
      </c>
      <c r="I216" s="924">
        <f>Financeiros!I51</f>
        <v>1</v>
      </c>
      <c r="J216" s="924">
        <f>Financeiros!J51</f>
        <v>21</v>
      </c>
      <c r="K216" s="924">
        <f>Financeiros!K51</f>
        <v>9</v>
      </c>
      <c r="L216" s="924">
        <v>99</v>
      </c>
      <c r="M216" s="924">
        <v>9</v>
      </c>
      <c r="N216" s="924">
        <v>3</v>
      </c>
      <c r="O216" s="924">
        <v>99999</v>
      </c>
      <c r="P216" s="1026">
        <f t="shared" si="11"/>
        <v>0</v>
      </c>
      <c r="Q216" s="234">
        <f>Financeiros!D51</f>
        <v>0</v>
      </c>
    </row>
    <row r="217" spans="1:17" ht="15.75">
      <c r="A217" s="924" t="s">
        <v>771</v>
      </c>
      <c r="B217" s="924" t="s">
        <v>1378</v>
      </c>
      <c r="C217" s="924" t="str">
        <f>Financeiros!C52</f>
        <v>CVA - Energia - Energia de Revenda</v>
      </c>
      <c r="D217" s="924">
        <v>2</v>
      </c>
      <c r="E217" s="924">
        <v>2</v>
      </c>
      <c r="F217" s="924">
        <f>Financeiros!F52</f>
        <v>19</v>
      </c>
      <c r="G217" s="924">
        <f>Financeiros!G52</f>
        <v>60</v>
      </c>
      <c r="H217" s="924">
        <f>Financeiros!H52</f>
        <v>999</v>
      </c>
      <c r="I217" s="924">
        <f>Financeiros!I52</f>
        <v>2</v>
      </c>
      <c r="J217" s="924">
        <f>Financeiros!J52</f>
        <v>11</v>
      </c>
      <c r="K217" s="924">
        <f>Financeiros!K52</f>
        <v>9</v>
      </c>
      <c r="L217" s="924">
        <v>99</v>
      </c>
      <c r="M217" s="924">
        <v>9</v>
      </c>
      <c r="N217" s="924">
        <v>3</v>
      </c>
      <c r="O217" s="924">
        <v>99999</v>
      </c>
      <c r="P217" s="1026">
        <f t="shared" ca="1" si="11"/>
        <v>0</v>
      </c>
      <c r="Q217" s="234">
        <f ca="1">Financeiros!D52</f>
        <v>0</v>
      </c>
    </row>
    <row r="218" spans="1:17" ht="15.75">
      <c r="A218" s="924" t="s">
        <v>771</v>
      </c>
      <c r="B218" s="924" t="s">
        <v>1378</v>
      </c>
      <c r="C218" s="924" t="str">
        <f>Financeiros!C53</f>
        <v>CVA - Energia - Perda Não Técnica</v>
      </c>
      <c r="D218" s="924">
        <v>2</v>
      </c>
      <c r="E218" s="924">
        <v>2</v>
      </c>
      <c r="F218" s="924">
        <f>Financeiros!F53</f>
        <v>19</v>
      </c>
      <c r="G218" s="924">
        <f>Financeiros!G53</f>
        <v>60</v>
      </c>
      <c r="H218" s="924">
        <f>Financeiros!H53</f>
        <v>999</v>
      </c>
      <c r="I218" s="924">
        <f>Financeiros!I53</f>
        <v>2</v>
      </c>
      <c r="J218" s="924">
        <f>Financeiros!J53</f>
        <v>9</v>
      </c>
      <c r="K218" s="924">
        <f>Financeiros!K53</f>
        <v>9</v>
      </c>
      <c r="L218" s="924">
        <v>99</v>
      </c>
      <c r="M218" s="924">
        <v>9</v>
      </c>
      <c r="N218" s="924">
        <v>3</v>
      </c>
      <c r="O218" s="924">
        <v>99999</v>
      </c>
      <c r="P218" s="1026">
        <f t="shared" ca="1" si="11"/>
        <v>0</v>
      </c>
      <c r="Q218" s="234">
        <f ca="1">Financeiros!D53</f>
        <v>0</v>
      </c>
    </row>
    <row r="219" spans="1:17" ht="15.75">
      <c r="A219" s="924" t="s">
        <v>771</v>
      </c>
      <c r="B219" s="924" t="s">
        <v>1378</v>
      </c>
      <c r="C219" s="924" t="str">
        <f>Financeiros!C54</f>
        <v>CVA - Energia - Perda Técnica</v>
      </c>
      <c r="D219" s="924">
        <v>2</v>
      </c>
      <c r="E219" s="924">
        <v>2</v>
      </c>
      <c r="F219" s="924">
        <f>Financeiros!F54</f>
        <v>19</v>
      </c>
      <c r="G219" s="924">
        <f>Financeiros!G54</f>
        <v>60</v>
      </c>
      <c r="H219" s="924">
        <f>Financeiros!H54</f>
        <v>999</v>
      </c>
      <c r="I219" s="924">
        <f>Financeiros!I54</f>
        <v>2</v>
      </c>
      <c r="J219" s="924">
        <f>Financeiros!J54</f>
        <v>8</v>
      </c>
      <c r="K219" s="924">
        <f>Financeiros!K54</f>
        <v>9</v>
      </c>
      <c r="L219" s="924">
        <v>99</v>
      </c>
      <c r="M219" s="924">
        <v>9</v>
      </c>
      <c r="N219" s="924">
        <v>3</v>
      </c>
      <c r="O219" s="924">
        <v>99999</v>
      </c>
      <c r="P219" s="1026">
        <f t="shared" ca="1" si="11"/>
        <v>0</v>
      </c>
      <c r="Q219" s="234">
        <f ca="1">Financeiros!D54</f>
        <v>0</v>
      </c>
    </row>
    <row r="220" spans="1:17" ht="15.75">
      <c r="A220" s="924" t="s">
        <v>771</v>
      </c>
      <c r="B220" s="924" t="s">
        <v>1378</v>
      </c>
      <c r="C220" s="924" t="str">
        <f>Financeiros!C55</f>
        <v>CVA - Energia -  Perda de RB sobre a distribuição</v>
      </c>
      <c r="D220" s="924">
        <v>2</v>
      </c>
      <c r="E220" s="924">
        <v>2</v>
      </c>
      <c r="F220" s="924">
        <f>Financeiros!F55</f>
        <v>19</v>
      </c>
      <c r="G220" s="924">
        <f>Financeiros!G55</f>
        <v>60</v>
      </c>
      <c r="H220" s="924">
        <f>Financeiros!H55</f>
        <v>999</v>
      </c>
      <c r="I220" s="924">
        <f>Financeiros!I55</f>
        <v>2</v>
      </c>
      <c r="J220" s="924">
        <f>Financeiros!J55</f>
        <v>10</v>
      </c>
      <c r="K220" s="924">
        <f>Financeiros!K55</f>
        <v>9</v>
      </c>
      <c r="L220" s="924">
        <v>99</v>
      </c>
      <c r="M220" s="924">
        <v>9</v>
      </c>
      <c r="N220" s="924">
        <v>3</v>
      </c>
      <c r="O220" s="924">
        <v>99999</v>
      </c>
      <c r="P220" s="1026">
        <f t="shared" ca="1" si="11"/>
        <v>0</v>
      </c>
      <c r="Q220" s="234">
        <f ca="1">Financeiros!D55</f>
        <v>0</v>
      </c>
    </row>
    <row r="221" spans="1:17" ht="15.75">
      <c r="A221" s="924" t="s">
        <v>771</v>
      </c>
      <c r="B221" s="924" t="s">
        <v>1378</v>
      </c>
      <c r="C221" s="924" t="str">
        <f>Financeiros!C56</f>
        <v>CVA - Energia -  Perda de RB sobre o mercado cativo</v>
      </c>
      <c r="D221" s="924">
        <v>2</v>
      </c>
      <c r="E221" s="924">
        <v>2</v>
      </c>
      <c r="F221" s="924">
        <f>Financeiros!F56</f>
        <v>19</v>
      </c>
      <c r="G221" s="924">
        <f>Financeiros!G56</f>
        <v>60</v>
      </c>
      <c r="H221" s="924">
        <f>Financeiros!H56</f>
        <v>999</v>
      </c>
      <c r="I221" s="924">
        <f>Financeiros!I56</f>
        <v>2</v>
      </c>
      <c r="J221" s="924">
        <f>Financeiros!J56</f>
        <v>24</v>
      </c>
      <c r="K221" s="924">
        <f>Financeiros!K56</f>
        <v>9</v>
      </c>
      <c r="L221" s="924">
        <v>99</v>
      </c>
      <c r="M221" s="924">
        <v>9</v>
      </c>
      <c r="N221" s="924">
        <v>3</v>
      </c>
      <c r="O221" s="924">
        <v>99999</v>
      </c>
      <c r="P221" s="1026">
        <f t="shared" ca="1" si="11"/>
        <v>0</v>
      </c>
      <c r="Q221" s="234">
        <f ca="1">Financeiros!D56</f>
        <v>0</v>
      </c>
    </row>
    <row r="222" spans="1:17" ht="15.75">
      <c r="A222" s="924" t="s">
        <v>771</v>
      </c>
      <c r="B222" s="924" t="s">
        <v>1378</v>
      </c>
      <c r="C222" s="924" t="str">
        <f>Financeiros!C57</f>
        <v>CVA - Encargos - PROINFA</v>
      </c>
      <c r="D222" s="924">
        <v>2</v>
      </c>
      <c r="E222" s="924">
        <v>2</v>
      </c>
      <c r="F222" s="924">
        <f>Financeiros!F57</f>
        <v>19</v>
      </c>
      <c r="G222" s="924">
        <f>Financeiros!G57</f>
        <v>60</v>
      </c>
      <c r="H222" s="924">
        <f>Financeiros!H57</f>
        <v>999</v>
      </c>
      <c r="I222" s="924">
        <f>Financeiros!I57</f>
        <v>3</v>
      </c>
      <c r="J222" s="924">
        <f>Financeiros!J57</f>
        <v>18</v>
      </c>
      <c r="K222" s="924">
        <f>Financeiros!K57</f>
        <v>9</v>
      </c>
      <c r="L222" s="924">
        <v>99</v>
      </c>
      <c r="M222" s="924">
        <v>9</v>
      </c>
      <c r="N222" s="924">
        <v>3</v>
      </c>
      <c r="O222" s="924">
        <v>99999</v>
      </c>
      <c r="P222" s="1026">
        <f t="shared" ca="1" si="11"/>
        <v>0</v>
      </c>
      <c r="Q222" s="234">
        <f ca="1">Financeiros!D57</f>
        <v>0</v>
      </c>
    </row>
    <row r="223" spans="1:17" ht="15.75">
      <c r="A223" s="924" t="s">
        <v>771</v>
      </c>
      <c r="B223" s="924" t="s">
        <v>1378</v>
      </c>
      <c r="C223" s="924" t="str">
        <f>Financeiros!C58</f>
        <v>CVA - Encargos - CFURH</v>
      </c>
      <c r="D223" s="924">
        <v>2</v>
      </c>
      <c r="E223" s="924">
        <v>2</v>
      </c>
      <c r="F223" s="924">
        <f>Financeiros!F58</f>
        <v>19</v>
      </c>
      <c r="G223" s="924">
        <f>Financeiros!G58</f>
        <v>60</v>
      </c>
      <c r="H223" s="924">
        <f>Financeiros!H58</f>
        <v>999</v>
      </c>
      <c r="I223" s="924">
        <f>Financeiros!I58</f>
        <v>3</v>
      </c>
      <c r="J223" s="924">
        <f>Financeiros!J58</f>
        <v>16</v>
      </c>
      <c r="K223" s="924">
        <f>Financeiros!K58</f>
        <v>9</v>
      </c>
      <c r="L223" s="924">
        <v>99</v>
      </c>
      <c r="M223" s="924">
        <v>9</v>
      </c>
      <c r="N223" s="924">
        <v>3</v>
      </c>
      <c r="O223" s="924">
        <v>99999</v>
      </c>
      <c r="P223" s="1026">
        <f t="shared" si="11"/>
        <v>0</v>
      </c>
      <c r="Q223" s="234">
        <f>Financeiros!D58</f>
        <v>0</v>
      </c>
    </row>
    <row r="224" spans="1:17" ht="15.75">
      <c r="A224" s="924" t="s">
        <v>771</v>
      </c>
      <c r="B224" s="924" t="s">
        <v>1378</v>
      </c>
      <c r="C224" s="924" t="str">
        <f>Financeiros!C59</f>
        <v>CVA - Encargos - ESS/EER</v>
      </c>
      <c r="D224" s="924">
        <v>2</v>
      </c>
      <c r="E224" s="924">
        <v>2</v>
      </c>
      <c r="F224" s="924">
        <f>Financeiros!F59</f>
        <v>19</v>
      </c>
      <c r="G224" s="924">
        <f>Financeiros!G59</f>
        <v>60</v>
      </c>
      <c r="H224" s="924">
        <f>Financeiros!H59</f>
        <v>999</v>
      </c>
      <c r="I224" s="924">
        <f>Financeiros!I59</f>
        <v>3</v>
      </c>
      <c r="J224" s="924">
        <f>Financeiros!J59</f>
        <v>17</v>
      </c>
      <c r="K224" s="924">
        <f>Financeiros!K59</f>
        <v>9</v>
      </c>
      <c r="L224" s="924">
        <v>99</v>
      </c>
      <c r="M224" s="924">
        <v>9</v>
      </c>
      <c r="N224" s="924">
        <v>3</v>
      </c>
      <c r="O224" s="924">
        <v>99999</v>
      </c>
      <c r="P224" s="1026">
        <f t="shared" si="11"/>
        <v>0</v>
      </c>
      <c r="Q224" s="234">
        <f>Financeiros!D59</f>
        <v>0</v>
      </c>
    </row>
    <row r="225" spans="1:17" ht="15.75">
      <c r="A225" s="924" t="s">
        <v>771</v>
      </c>
      <c r="B225" s="924" t="s">
        <v>1378</v>
      </c>
      <c r="C225" s="924" t="str">
        <f>Financeiros!C60</f>
        <v>Saldo a Compensar CVAccc</v>
      </c>
      <c r="D225" s="924">
        <v>2</v>
      </c>
      <c r="E225" s="924">
        <v>2</v>
      </c>
      <c r="F225" s="924">
        <f>Financeiros!F60</f>
        <v>19</v>
      </c>
      <c r="G225" s="924">
        <f>Financeiros!G60</f>
        <v>64</v>
      </c>
      <c r="H225" s="924">
        <f>Financeiros!H60</f>
        <v>999</v>
      </c>
      <c r="I225" s="924">
        <f>Financeiros!I60</f>
        <v>3</v>
      </c>
      <c r="J225" s="924">
        <f>Financeiros!J60</f>
        <v>13</v>
      </c>
      <c r="K225" s="924">
        <f>Financeiros!K60</f>
        <v>9</v>
      </c>
      <c r="L225" s="924">
        <v>99</v>
      </c>
      <c r="M225" s="924">
        <v>9</v>
      </c>
      <c r="N225" s="924">
        <v>3</v>
      </c>
      <c r="O225" s="924">
        <v>99999</v>
      </c>
      <c r="P225" s="1026">
        <f t="shared" si="11"/>
        <v>0</v>
      </c>
      <c r="Q225" s="234">
        <f>Financeiros!D60</f>
        <v>0</v>
      </c>
    </row>
    <row r="226" spans="1:17" ht="15.75">
      <c r="A226" s="924" t="s">
        <v>771</v>
      </c>
      <c r="B226" s="924" t="s">
        <v>1378</v>
      </c>
      <c r="C226" s="924" t="str">
        <f>Financeiros!C61</f>
        <v>Saldo a Compensar CVAcde</v>
      </c>
      <c r="D226" s="924">
        <v>2</v>
      </c>
      <c r="E226" s="924">
        <v>2</v>
      </c>
      <c r="F226" s="924">
        <f>Financeiros!F61</f>
        <v>19</v>
      </c>
      <c r="G226" s="924">
        <f>Financeiros!G61</f>
        <v>64</v>
      </c>
      <c r="H226" s="924">
        <f>Financeiros!H61</f>
        <v>999</v>
      </c>
      <c r="I226" s="924">
        <f>Financeiros!I61</f>
        <v>3</v>
      </c>
      <c r="J226" s="924">
        <f>Financeiros!J61</f>
        <v>15</v>
      </c>
      <c r="K226" s="924">
        <f>Financeiros!K61</f>
        <v>9</v>
      </c>
      <c r="L226" s="924">
        <v>99</v>
      </c>
      <c r="M226" s="924">
        <v>9</v>
      </c>
      <c r="N226" s="924">
        <v>3</v>
      </c>
      <c r="O226" s="924">
        <v>99999</v>
      </c>
      <c r="P226" s="1026">
        <f t="shared" ca="1" si="11"/>
        <v>0</v>
      </c>
      <c r="Q226" s="234">
        <f ca="1">Financeiros!D61</f>
        <v>0</v>
      </c>
    </row>
    <row r="227" spans="1:17" ht="15.75">
      <c r="A227" s="924" t="s">
        <v>771</v>
      </c>
      <c r="B227" s="924" t="s">
        <v>1378</v>
      </c>
      <c r="C227" s="924" t="str">
        <f>Financeiros!C62</f>
        <v>Saldo a Compensar CVA cde energia</v>
      </c>
      <c r="D227" s="924">
        <v>2</v>
      </c>
      <c r="E227" s="924">
        <v>2</v>
      </c>
      <c r="F227" s="924">
        <f>Financeiros!F62</f>
        <v>19</v>
      </c>
      <c r="G227" s="924">
        <f>Financeiros!G62</f>
        <v>64</v>
      </c>
      <c r="H227" s="924">
        <f>Financeiros!H62</f>
        <v>999</v>
      </c>
      <c r="I227" s="924">
        <f>Financeiros!I62</f>
        <v>3</v>
      </c>
      <c r="J227" s="924">
        <f>Financeiros!J62</f>
        <v>25</v>
      </c>
      <c r="K227" s="924">
        <f>Financeiros!K62</f>
        <v>9</v>
      </c>
      <c r="L227" s="924">
        <v>99</v>
      </c>
      <c r="M227" s="924">
        <v>9</v>
      </c>
      <c r="N227" s="924">
        <v>3</v>
      </c>
      <c r="O227" s="924">
        <v>99999</v>
      </c>
      <c r="P227" s="1026">
        <f t="shared" ca="1" si="11"/>
        <v>0</v>
      </c>
      <c r="Q227" s="234">
        <f ca="1">Financeiros!D62</f>
        <v>0</v>
      </c>
    </row>
    <row r="228" spans="1:17" ht="15.75">
      <c r="A228" s="924" t="s">
        <v>771</v>
      </c>
      <c r="B228" s="924" t="s">
        <v>1378</v>
      </c>
      <c r="C228" s="924" t="str">
        <f>Financeiros!C63</f>
        <v>Saldo a Compensar CVA RB - Nodal</v>
      </c>
      <c r="D228" s="924">
        <v>2</v>
      </c>
      <c r="E228" s="924">
        <v>2</v>
      </c>
      <c r="F228" s="924">
        <f>Financeiros!F63</f>
        <v>19</v>
      </c>
      <c r="G228" s="924">
        <f>Financeiros!G63</f>
        <v>64</v>
      </c>
      <c r="H228" s="924">
        <f>Financeiros!H63</f>
        <v>999</v>
      </c>
      <c r="I228" s="924">
        <f>Financeiros!I63</f>
        <v>1</v>
      </c>
      <c r="J228" s="924">
        <f>Financeiros!J63</f>
        <v>1</v>
      </c>
      <c r="K228" s="924">
        <f>Financeiros!K63</f>
        <v>9</v>
      </c>
      <c r="L228" s="924">
        <v>99</v>
      </c>
      <c r="M228" s="924">
        <v>9</v>
      </c>
      <c r="N228" s="924">
        <v>3</v>
      </c>
      <c r="O228" s="924">
        <v>99999</v>
      </c>
      <c r="P228" s="1026">
        <f t="shared" ca="1" si="11"/>
        <v>0</v>
      </c>
      <c r="Q228" s="234">
        <f ca="1">Financeiros!D63</f>
        <v>0</v>
      </c>
    </row>
    <row r="229" spans="1:17" ht="15.75">
      <c r="A229" s="924" t="s">
        <v>771</v>
      </c>
      <c r="B229" s="924" t="s">
        <v>1378</v>
      </c>
      <c r="C229" s="924" t="str">
        <f>Financeiros!C64</f>
        <v>Saldo a Compensar CVA RB - Fronteira</v>
      </c>
      <c r="D229" s="924">
        <v>2</v>
      </c>
      <c r="E229" s="924">
        <v>2</v>
      </c>
      <c r="F229" s="924">
        <f>Financeiros!F64</f>
        <v>19</v>
      </c>
      <c r="G229" s="924">
        <f>Financeiros!G64</f>
        <v>64</v>
      </c>
      <c r="H229" s="924">
        <f>Financeiros!H64</f>
        <v>999</v>
      </c>
      <c r="I229" s="924">
        <f>Financeiros!I64</f>
        <v>1</v>
      </c>
      <c r="J229" s="924">
        <f>Financeiros!J64</f>
        <v>1</v>
      </c>
      <c r="K229" s="924">
        <f>Financeiros!K64</f>
        <v>9</v>
      </c>
      <c r="L229" s="924">
        <v>99</v>
      </c>
      <c r="M229" s="924">
        <v>9</v>
      </c>
      <c r="N229" s="924">
        <v>3</v>
      </c>
      <c r="O229" s="924">
        <v>99999</v>
      </c>
      <c r="P229" s="1026">
        <f t="shared" ca="1" si="11"/>
        <v>0</v>
      </c>
      <c r="Q229" s="234">
        <f ca="1">Financeiros!D64</f>
        <v>0</v>
      </c>
    </row>
    <row r="230" spans="1:17" ht="15.75">
      <c r="A230" s="924" t="s">
        <v>771</v>
      </c>
      <c r="B230" s="924" t="s">
        <v>1378</v>
      </c>
      <c r="C230" s="924" t="str">
        <f>Financeiros!C65</f>
        <v>Saldo a Compensar CVA RB - TUSDg EXP</v>
      </c>
      <c r="D230" s="924">
        <v>2</v>
      </c>
      <c r="E230" s="924">
        <v>2</v>
      </c>
      <c r="F230" s="924">
        <f>Financeiros!F65</f>
        <v>19</v>
      </c>
      <c r="G230" s="924">
        <f>Financeiros!G65</f>
        <v>64</v>
      </c>
      <c r="H230" s="924">
        <f>Financeiros!H65</f>
        <v>999</v>
      </c>
      <c r="I230" s="924">
        <f>Financeiros!I65</f>
        <v>1</v>
      </c>
      <c r="J230" s="924">
        <f>Financeiros!J65</f>
        <v>1</v>
      </c>
      <c r="K230" s="924">
        <f>Financeiros!K65</f>
        <v>9</v>
      </c>
      <c r="L230" s="924">
        <v>99</v>
      </c>
      <c r="M230" s="924">
        <v>9</v>
      </c>
      <c r="N230" s="924">
        <v>3</v>
      </c>
      <c r="O230" s="924">
        <v>99999</v>
      </c>
      <c r="P230" s="1026">
        <f t="shared" ca="1" si="11"/>
        <v>0</v>
      </c>
      <c r="Q230" s="234">
        <f ca="1">Financeiros!D65</f>
        <v>0</v>
      </c>
    </row>
    <row r="231" spans="1:17" ht="15.75">
      <c r="A231" s="924" t="s">
        <v>771</v>
      </c>
      <c r="B231" s="924" t="s">
        <v>1378</v>
      </c>
      <c r="C231" s="924" t="str">
        <f>Financeiros!C66</f>
        <v>Saldo a Compensar CVA RB - TUSDg ONS</v>
      </c>
      <c r="D231" s="924">
        <v>2</v>
      </c>
      <c r="E231" s="924">
        <v>2</v>
      </c>
      <c r="F231" s="924">
        <f>Financeiros!F66</f>
        <v>19</v>
      </c>
      <c r="G231" s="924">
        <f>Financeiros!G66</f>
        <v>64</v>
      </c>
      <c r="H231" s="924">
        <f>Financeiros!H66</f>
        <v>999</v>
      </c>
      <c r="I231" s="924">
        <f>Financeiros!I66</f>
        <v>1</v>
      </c>
      <c r="J231" s="924">
        <f>Financeiros!J66</f>
        <v>1</v>
      </c>
      <c r="K231" s="924">
        <f>Financeiros!K66</f>
        <v>9</v>
      </c>
      <c r="L231" s="924">
        <v>99</v>
      </c>
      <c r="M231" s="924">
        <v>9</v>
      </c>
      <c r="N231" s="924">
        <v>3</v>
      </c>
      <c r="O231" s="924">
        <v>99999</v>
      </c>
      <c r="P231" s="1026">
        <f t="shared" ca="1" si="11"/>
        <v>0</v>
      </c>
      <c r="Q231" s="234">
        <f ca="1">Financeiros!D66</f>
        <v>0</v>
      </c>
    </row>
    <row r="232" spans="1:17" ht="15.75">
      <c r="A232" s="924" t="s">
        <v>771</v>
      </c>
      <c r="B232" s="924" t="s">
        <v>1378</v>
      </c>
      <c r="C232" s="924" t="str">
        <f>Financeiros!C67</f>
        <v>Saldo a Compensar CVA RB - EUST Itaipu</v>
      </c>
      <c r="D232" s="924">
        <v>2</v>
      </c>
      <c r="E232" s="924">
        <v>2</v>
      </c>
      <c r="F232" s="924">
        <f>Financeiros!F67</f>
        <v>19</v>
      </c>
      <c r="G232" s="924">
        <f>Financeiros!G67</f>
        <v>64</v>
      </c>
      <c r="H232" s="924">
        <f>Financeiros!H67</f>
        <v>999</v>
      </c>
      <c r="I232" s="924">
        <f>Financeiros!I67</f>
        <v>1</v>
      </c>
      <c r="J232" s="924">
        <f>Financeiros!J67</f>
        <v>23</v>
      </c>
      <c r="K232" s="924">
        <f>Financeiros!K67</f>
        <v>9</v>
      </c>
      <c r="L232" s="924">
        <v>99</v>
      </c>
      <c r="M232" s="924">
        <v>9</v>
      </c>
      <c r="N232" s="924">
        <v>3</v>
      </c>
      <c r="O232" s="924">
        <v>99999</v>
      </c>
      <c r="P232" s="1026">
        <f t="shared" ca="1" si="11"/>
        <v>0</v>
      </c>
      <c r="Q232" s="234">
        <f ca="1">Financeiros!D67</f>
        <v>0</v>
      </c>
    </row>
    <row r="233" spans="1:17" ht="15.75">
      <c r="A233" s="924" t="s">
        <v>771</v>
      </c>
      <c r="B233" s="924" t="s">
        <v>1378</v>
      </c>
      <c r="C233" s="924" t="str">
        <f>Financeiros!C68</f>
        <v>Saldo a Compensar CVA - Transporte Itaipu</v>
      </c>
      <c r="D233" s="924">
        <v>2</v>
      </c>
      <c r="E233" s="924">
        <v>2</v>
      </c>
      <c r="F233" s="924">
        <f>Financeiros!F68</f>
        <v>19</v>
      </c>
      <c r="G233" s="924">
        <f>Financeiros!G68</f>
        <v>64</v>
      </c>
      <c r="H233" s="924">
        <f>Financeiros!H68</f>
        <v>999</v>
      </c>
      <c r="I233" s="924">
        <f>Financeiros!I68</f>
        <v>1</v>
      </c>
      <c r="J233" s="924">
        <f>Financeiros!J68</f>
        <v>21</v>
      </c>
      <c r="K233" s="924">
        <f>Financeiros!K68</f>
        <v>9</v>
      </c>
      <c r="L233" s="924">
        <v>99</v>
      </c>
      <c r="M233" s="924">
        <v>9</v>
      </c>
      <c r="N233" s="924">
        <v>3</v>
      </c>
      <c r="O233" s="924">
        <v>99999</v>
      </c>
      <c r="P233" s="1026">
        <f t="shared" ca="1" si="11"/>
        <v>0</v>
      </c>
      <c r="Q233" s="234">
        <f ca="1">Financeiros!D68</f>
        <v>0</v>
      </c>
    </row>
    <row r="234" spans="1:17" ht="15.75">
      <c r="A234" s="924" t="s">
        <v>771</v>
      </c>
      <c r="B234" s="924" t="s">
        <v>1378</v>
      </c>
      <c r="C234" s="924" t="str">
        <f>Financeiros!C69</f>
        <v>Saldo a Compensar CVA - Energia - Energia de Revenda</v>
      </c>
      <c r="D234" s="924">
        <v>2</v>
      </c>
      <c r="E234" s="924">
        <v>2</v>
      </c>
      <c r="F234" s="924">
        <f>Financeiros!F69</f>
        <v>19</v>
      </c>
      <c r="G234" s="924">
        <f>Financeiros!G69</f>
        <v>64</v>
      </c>
      <c r="H234" s="924">
        <f>Financeiros!H69</f>
        <v>999</v>
      </c>
      <c r="I234" s="924">
        <f>Financeiros!I69</f>
        <v>2</v>
      </c>
      <c r="J234" s="924">
        <f>Financeiros!J69</f>
        <v>11</v>
      </c>
      <c r="K234" s="924">
        <f>Financeiros!K69</f>
        <v>9</v>
      </c>
      <c r="L234" s="924">
        <v>99</v>
      </c>
      <c r="M234" s="924">
        <v>9</v>
      </c>
      <c r="N234" s="924">
        <v>3</v>
      </c>
      <c r="O234" s="924">
        <v>99999</v>
      </c>
      <c r="P234" s="1026">
        <f t="shared" ca="1" si="11"/>
        <v>0</v>
      </c>
      <c r="Q234" s="234">
        <f ca="1">Financeiros!D69</f>
        <v>0</v>
      </c>
    </row>
    <row r="235" spans="1:17" ht="15.75">
      <c r="A235" s="924" t="s">
        <v>771</v>
      </c>
      <c r="B235" s="924" t="s">
        <v>1378</v>
      </c>
      <c r="C235" s="924" t="str">
        <f>Financeiros!C70</f>
        <v>Saldo a Compensar CVA - Energia - Perda Não Técnica</v>
      </c>
      <c r="D235" s="924">
        <v>2</v>
      </c>
      <c r="E235" s="924">
        <v>2</v>
      </c>
      <c r="F235" s="924">
        <f>Financeiros!F70</f>
        <v>19</v>
      </c>
      <c r="G235" s="924">
        <f>Financeiros!G70</f>
        <v>64</v>
      </c>
      <c r="H235" s="924">
        <f>Financeiros!H70</f>
        <v>999</v>
      </c>
      <c r="I235" s="924">
        <f>Financeiros!I70</f>
        <v>2</v>
      </c>
      <c r="J235" s="924">
        <f>Financeiros!J70</f>
        <v>9</v>
      </c>
      <c r="K235" s="924">
        <f>Financeiros!K70</f>
        <v>9</v>
      </c>
      <c r="L235" s="924">
        <v>99</v>
      </c>
      <c r="M235" s="924">
        <v>9</v>
      </c>
      <c r="N235" s="924">
        <v>3</v>
      </c>
      <c r="O235" s="924">
        <v>99999</v>
      </c>
      <c r="P235" s="1026">
        <f t="shared" ca="1" si="11"/>
        <v>0</v>
      </c>
      <c r="Q235" s="234">
        <f ca="1">Financeiros!D70</f>
        <v>0</v>
      </c>
    </row>
    <row r="236" spans="1:17" ht="15.75">
      <c r="A236" s="924" t="s">
        <v>771</v>
      </c>
      <c r="B236" s="924" t="s">
        <v>1378</v>
      </c>
      <c r="C236" s="924" t="str">
        <f>Financeiros!C71</f>
        <v>Saldo a Compensar CVA - Energia - Perda Técnica</v>
      </c>
      <c r="D236" s="924">
        <v>2</v>
      </c>
      <c r="E236" s="924">
        <v>2</v>
      </c>
      <c r="F236" s="924">
        <f>Financeiros!F71</f>
        <v>19</v>
      </c>
      <c r="G236" s="924">
        <f>Financeiros!G71</f>
        <v>64</v>
      </c>
      <c r="H236" s="924">
        <f>Financeiros!H71</f>
        <v>999</v>
      </c>
      <c r="I236" s="924">
        <f>Financeiros!I71</f>
        <v>2</v>
      </c>
      <c r="J236" s="924">
        <f>Financeiros!J71</f>
        <v>8</v>
      </c>
      <c r="K236" s="924">
        <f>Financeiros!K71</f>
        <v>9</v>
      </c>
      <c r="L236" s="924">
        <v>99</v>
      </c>
      <c r="M236" s="924">
        <v>9</v>
      </c>
      <c r="N236" s="924">
        <v>3</v>
      </c>
      <c r="O236" s="924">
        <v>99999</v>
      </c>
      <c r="P236" s="1026">
        <f t="shared" ca="1" si="11"/>
        <v>0</v>
      </c>
      <c r="Q236" s="234">
        <f ca="1">Financeiros!D71</f>
        <v>0</v>
      </c>
    </row>
    <row r="237" spans="1:17" ht="15.75">
      <c r="A237" s="924" t="s">
        <v>771</v>
      </c>
      <c r="B237" s="924" t="s">
        <v>1378</v>
      </c>
      <c r="C237" s="924" t="str">
        <f>Financeiros!C72</f>
        <v>Saldo a Compensar CVA - Energia -  Perda de RB sobre a distribuição</v>
      </c>
      <c r="D237" s="924">
        <v>2</v>
      </c>
      <c r="E237" s="924">
        <v>2</v>
      </c>
      <c r="F237" s="924">
        <f>Financeiros!F72</f>
        <v>19</v>
      </c>
      <c r="G237" s="924">
        <f>Financeiros!G72</f>
        <v>64</v>
      </c>
      <c r="H237" s="924">
        <f>Financeiros!H72</f>
        <v>999</v>
      </c>
      <c r="I237" s="924">
        <f>Financeiros!I72</f>
        <v>2</v>
      </c>
      <c r="J237" s="924">
        <f>Financeiros!J72</f>
        <v>10</v>
      </c>
      <c r="K237" s="924">
        <f>Financeiros!K72</f>
        <v>9</v>
      </c>
      <c r="L237" s="924">
        <v>99</v>
      </c>
      <c r="M237" s="924">
        <v>9</v>
      </c>
      <c r="N237" s="924">
        <v>3</v>
      </c>
      <c r="O237" s="924">
        <v>99999</v>
      </c>
      <c r="P237" s="1026">
        <f t="shared" ca="1" si="11"/>
        <v>0</v>
      </c>
      <c r="Q237" s="234">
        <f ca="1">Financeiros!D72</f>
        <v>0</v>
      </c>
    </row>
    <row r="238" spans="1:17" ht="15.75">
      <c r="A238" s="924" t="s">
        <v>771</v>
      </c>
      <c r="B238" s="924" t="s">
        <v>1378</v>
      </c>
      <c r="C238" s="924" t="str">
        <f>Financeiros!C73</f>
        <v>Saldo a Compensar CVA - Energia -  Perda de RB sobre o mercado cativo</v>
      </c>
      <c r="D238" s="924">
        <v>2</v>
      </c>
      <c r="E238" s="924">
        <v>2</v>
      </c>
      <c r="F238" s="924">
        <f>Financeiros!F73</f>
        <v>19</v>
      </c>
      <c r="G238" s="924">
        <f>Financeiros!G73</f>
        <v>64</v>
      </c>
      <c r="H238" s="924">
        <f>Financeiros!H73</f>
        <v>999</v>
      </c>
      <c r="I238" s="924">
        <f>Financeiros!I73</f>
        <v>2</v>
      </c>
      <c r="J238" s="924">
        <f>Financeiros!J73</f>
        <v>24</v>
      </c>
      <c r="K238" s="924">
        <f>Financeiros!K73</f>
        <v>9</v>
      </c>
      <c r="L238" s="924">
        <v>99</v>
      </c>
      <c r="M238" s="924">
        <v>9</v>
      </c>
      <c r="N238" s="924">
        <v>3</v>
      </c>
      <c r="O238" s="924">
        <v>99999</v>
      </c>
      <c r="P238" s="1026">
        <f t="shared" ca="1" si="11"/>
        <v>0</v>
      </c>
      <c r="Q238" s="234">
        <f ca="1">Financeiros!D73</f>
        <v>0</v>
      </c>
    </row>
    <row r="239" spans="1:17" ht="15.75">
      <c r="A239" s="924" t="s">
        <v>771</v>
      </c>
      <c r="B239" s="924" t="s">
        <v>1378</v>
      </c>
      <c r="C239" s="924" t="str">
        <f>Financeiros!C74</f>
        <v>Saldo a Compensar CVA - Encargos - PROINFA</v>
      </c>
      <c r="D239" s="924">
        <v>2</v>
      </c>
      <c r="E239" s="924">
        <v>2</v>
      </c>
      <c r="F239" s="924">
        <f>Financeiros!F74</f>
        <v>19</v>
      </c>
      <c r="G239" s="924">
        <f>Financeiros!G74</f>
        <v>64</v>
      </c>
      <c r="H239" s="924">
        <f>Financeiros!H74</f>
        <v>999</v>
      </c>
      <c r="I239" s="924">
        <f>Financeiros!I74</f>
        <v>3</v>
      </c>
      <c r="J239" s="924">
        <f>Financeiros!J74</f>
        <v>18</v>
      </c>
      <c r="K239" s="924">
        <f>Financeiros!K74</f>
        <v>9</v>
      </c>
      <c r="L239" s="924">
        <v>99</v>
      </c>
      <c r="M239" s="924">
        <v>9</v>
      </c>
      <c r="N239" s="924">
        <v>3</v>
      </c>
      <c r="O239" s="924">
        <v>99999</v>
      </c>
      <c r="P239" s="1026">
        <f t="shared" ca="1" si="11"/>
        <v>0</v>
      </c>
      <c r="Q239" s="234">
        <f ca="1">Financeiros!D74</f>
        <v>0</v>
      </c>
    </row>
    <row r="240" spans="1:17" ht="15.75">
      <c r="A240" s="924" t="s">
        <v>771</v>
      </c>
      <c r="B240" s="924" t="s">
        <v>1378</v>
      </c>
      <c r="C240" s="924" t="str">
        <f>Financeiros!C75</f>
        <v>Saldo a Compensar CVA - Encargos - CFURH</v>
      </c>
      <c r="D240" s="924">
        <v>2</v>
      </c>
      <c r="E240" s="924">
        <v>2</v>
      </c>
      <c r="F240" s="924">
        <f>Financeiros!F75</f>
        <v>19</v>
      </c>
      <c r="G240" s="924">
        <f>Financeiros!G75</f>
        <v>64</v>
      </c>
      <c r="H240" s="924">
        <f>Financeiros!H75</f>
        <v>999</v>
      </c>
      <c r="I240" s="924">
        <f>Financeiros!I75</f>
        <v>3</v>
      </c>
      <c r="J240" s="924">
        <f>Financeiros!J75</f>
        <v>16</v>
      </c>
      <c r="K240" s="924">
        <f>Financeiros!K75</f>
        <v>9</v>
      </c>
      <c r="L240" s="924">
        <v>99</v>
      </c>
      <c r="M240" s="924">
        <v>9</v>
      </c>
      <c r="N240" s="924">
        <v>3</v>
      </c>
      <c r="O240" s="924">
        <v>99999</v>
      </c>
      <c r="P240" s="1026">
        <f t="shared" ca="1" si="11"/>
        <v>0</v>
      </c>
      <c r="Q240" s="234">
        <f ca="1">Financeiros!D75</f>
        <v>0</v>
      </c>
    </row>
    <row r="241" spans="1:17" ht="15.75">
      <c r="A241" s="924" t="s">
        <v>771</v>
      </c>
      <c r="B241" s="924" t="s">
        <v>1378</v>
      </c>
      <c r="C241" s="924" t="str">
        <f>Financeiros!C76</f>
        <v>Saldo a Compensar CVA - Encargos - ESS/EER</v>
      </c>
      <c r="D241" s="924">
        <v>2</v>
      </c>
      <c r="E241" s="924">
        <v>2</v>
      </c>
      <c r="F241" s="924">
        <f>Financeiros!F76</f>
        <v>19</v>
      </c>
      <c r="G241" s="924">
        <f>Financeiros!G76</f>
        <v>64</v>
      </c>
      <c r="H241" s="924">
        <f>Financeiros!H76</f>
        <v>999</v>
      </c>
      <c r="I241" s="924">
        <f>Financeiros!I76</f>
        <v>3</v>
      </c>
      <c r="J241" s="924">
        <f>Financeiros!J76</f>
        <v>17</v>
      </c>
      <c r="K241" s="924">
        <f>Financeiros!K76</f>
        <v>9</v>
      </c>
      <c r="L241" s="924">
        <v>99</v>
      </c>
      <c r="M241" s="924">
        <v>9</v>
      </c>
      <c r="N241" s="924">
        <v>3</v>
      </c>
      <c r="O241" s="924">
        <v>99999</v>
      </c>
      <c r="P241" s="1026">
        <f t="shared" ca="1" si="11"/>
        <v>0</v>
      </c>
      <c r="Q241" s="234">
        <f ca="1">Financeiros!D76</f>
        <v>0</v>
      </c>
    </row>
    <row r="242" spans="1:17" ht="15.75">
      <c r="A242" s="924" t="s">
        <v>771</v>
      </c>
      <c r="B242" s="924" t="s">
        <v>1378</v>
      </c>
      <c r="C242" s="924" t="str">
        <f>Financeiros!C77</f>
        <v>Reversão de Risco Hidrológico</v>
      </c>
      <c r="D242" s="924">
        <v>2</v>
      </c>
      <c r="E242" s="924">
        <v>2</v>
      </c>
      <c r="F242" s="924">
        <f>Financeiros!F77</f>
        <v>22</v>
      </c>
      <c r="G242" s="924">
        <f>Financeiros!G77</f>
        <v>62</v>
      </c>
      <c r="H242" s="924">
        <f>Financeiros!H77</f>
        <v>220</v>
      </c>
      <c r="I242" s="924">
        <f>Financeiros!I77</f>
        <v>2</v>
      </c>
      <c r="J242" s="924">
        <f>Financeiros!J77</f>
        <v>30</v>
      </c>
      <c r="K242" s="924">
        <v>9</v>
      </c>
      <c r="L242" s="924">
        <v>99</v>
      </c>
      <c r="M242" s="924">
        <v>9</v>
      </c>
      <c r="N242" s="924">
        <v>3</v>
      </c>
      <c r="O242" s="924">
        <v>99999</v>
      </c>
      <c r="P242" s="1026">
        <f t="shared" ref="P242" ca="1" si="12">IF(ISNUMBER(Q242),Q242,0)</f>
        <v>0</v>
      </c>
      <c r="Q242" s="234">
        <f ca="1">Financeiros!D77</f>
        <v>0</v>
      </c>
    </row>
    <row r="243" spans="1:17" ht="15.75">
      <c r="A243" s="924" t="s">
        <v>771</v>
      </c>
      <c r="B243" s="924" t="s">
        <v>1378</v>
      </c>
      <c r="C243" s="924" t="s">
        <v>1657</v>
      </c>
      <c r="D243" s="924">
        <v>5</v>
      </c>
      <c r="E243" s="924">
        <v>2</v>
      </c>
      <c r="F243" s="924">
        <v>19</v>
      </c>
      <c r="G243" s="924">
        <v>65</v>
      </c>
      <c r="H243" s="924">
        <v>172</v>
      </c>
      <c r="I243" s="924">
        <v>1</v>
      </c>
      <c r="J243" s="924">
        <v>1</v>
      </c>
      <c r="K243" s="924">
        <v>9</v>
      </c>
      <c r="L243" s="924">
        <v>99</v>
      </c>
      <c r="M243" s="924">
        <v>9</v>
      </c>
      <c r="N243" s="924">
        <v>3</v>
      </c>
      <c r="O243" s="924">
        <v>99999</v>
      </c>
      <c r="P243" s="1026">
        <f t="shared" si="11"/>
        <v>0</v>
      </c>
      <c r="Q243" s="234">
        <f>CVA!$D$12</f>
        <v>0</v>
      </c>
    </row>
    <row r="244" spans="1:17" ht="15.75">
      <c r="A244" s="924" t="s">
        <v>771</v>
      </c>
      <c r="B244" s="924" t="s">
        <v>1378</v>
      </c>
      <c r="C244" s="924" t="s">
        <v>1658</v>
      </c>
      <c r="D244" s="924">
        <v>5</v>
      </c>
      <c r="E244" s="924">
        <v>2</v>
      </c>
      <c r="F244" s="924">
        <v>19</v>
      </c>
      <c r="G244" s="924">
        <v>65</v>
      </c>
      <c r="H244" s="924">
        <v>172</v>
      </c>
      <c r="I244" s="924">
        <v>1</v>
      </c>
      <c r="J244" s="924">
        <v>21</v>
      </c>
      <c r="K244" s="924">
        <v>9</v>
      </c>
      <c r="L244" s="924">
        <v>99</v>
      </c>
      <c r="M244" s="924">
        <v>9</v>
      </c>
      <c r="N244" s="924">
        <v>3</v>
      </c>
      <c r="O244" s="924">
        <v>99999</v>
      </c>
      <c r="P244" s="1026">
        <f t="shared" si="11"/>
        <v>0</v>
      </c>
      <c r="Q244" s="234">
        <f>CVA!$D$15</f>
        <v>0</v>
      </c>
    </row>
    <row r="245" spans="1:17" ht="15.75">
      <c r="A245" s="924" t="s">
        <v>771</v>
      </c>
      <c r="B245" s="924" t="s">
        <v>1378</v>
      </c>
      <c r="C245" s="924" t="s">
        <v>1659</v>
      </c>
      <c r="D245" s="924">
        <v>5</v>
      </c>
      <c r="E245" s="924">
        <v>2</v>
      </c>
      <c r="F245" s="924">
        <v>19</v>
      </c>
      <c r="G245" s="924">
        <v>65</v>
      </c>
      <c r="H245" s="924">
        <v>172</v>
      </c>
      <c r="I245" s="924">
        <v>2</v>
      </c>
      <c r="J245" s="924">
        <v>999</v>
      </c>
      <c r="K245" s="924">
        <v>9</v>
      </c>
      <c r="L245" s="924">
        <v>99</v>
      </c>
      <c r="M245" s="924">
        <v>9</v>
      </c>
      <c r="N245" s="924">
        <v>3</v>
      </c>
      <c r="O245" s="924">
        <v>99999</v>
      </c>
      <c r="P245" s="1026">
        <f t="shared" si="11"/>
        <v>0</v>
      </c>
      <c r="Q245" s="234">
        <f>CVA!$D$13</f>
        <v>0</v>
      </c>
    </row>
    <row r="246" spans="1:17" ht="15.75">
      <c r="A246" s="924" t="s">
        <v>771</v>
      </c>
      <c r="B246" s="924" t="s">
        <v>1378</v>
      </c>
      <c r="C246" s="924" t="s">
        <v>1660</v>
      </c>
      <c r="D246" s="924">
        <v>5</v>
      </c>
      <c r="E246" s="924">
        <v>2</v>
      </c>
      <c r="F246" s="924">
        <v>19</v>
      </c>
      <c r="G246" s="924">
        <v>65</v>
      </c>
      <c r="H246" s="924">
        <v>172</v>
      </c>
      <c r="I246" s="924">
        <v>3</v>
      </c>
      <c r="J246" s="924">
        <v>13</v>
      </c>
      <c r="K246" s="924">
        <v>9</v>
      </c>
      <c r="L246" s="924">
        <v>99</v>
      </c>
      <c r="M246" s="924">
        <v>9</v>
      </c>
      <c r="N246" s="924">
        <v>3</v>
      </c>
      <c r="O246" s="924">
        <v>99999</v>
      </c>
      <c r="P246" s="1026">
        <f t="shared" si="11"/>
        <v>0</v>
      </c>
      <c r="Q246" s="234">
        <f>CVA!$D$9</f>
        <v>0</v>
      </c>
    </row>
    <row r="247" spans="1:17" ht="15.75">
      <c r="A247" s="924" t="s">
        <v>771</v>
      </c>
      <c r="B247" s="924" t="s">
        <v>1378</v>
      </c>
      <c r="C247" s="924" t="s">
        <v>1661</v>
      </c>
      <c r="D247" s="924">
        <v>5</v>
      </c>
      <c r="E247" s="924">
        <v>2</v>
      </c>
      <c r="F247" s="924">
        <v>19</v>
      </c>
      <c r="G247" s="924">
        <v>65</v>
      </c>
      <c r="H247" s="924">
        <v>172</v>
      </c>
      <c r="I247" s="924">
        <v>3</v>
      </c>
      <c r="J247" s="924">
        <v>15</v>
      </c>
      <c r="K247" s="924">
        <v>9</v>
      </c>
      <c r="L247" s="924">
        <v>99</v>
      </c>
      <c r="M247" s="924">
        <v>9</v>
      </c>
      <c r="N247" s="924">
        <v>3</v>
      </c>
      <c r="O247" s="924">
        <v>99999</v>
      </c>
      <c r="P247" s="1026">
        <f t="shared" si="11"/>
        <v>0</v>
      </c>
      <c r="Q247" s="234">
        <f>CVA!$D$10</f>
        <v>0</v>
      </c>
    </row>
    <row r="248" spans="1:17" ht="15.75">
      <c r="A248" s="924" t="s">
        <v>771</v>
      </c>
      <c r="B248" s="924" t="s">
        <v>1378</v>
      </c>
      <c r="C248" s="924" t="s">
        <v>1662</v>
      </c>
      <c r="D248" s="924">
        <v>5</v>
      </c>
      <c r="E248" s="924">
        <v>2</v>
      </c>
      <c r="F248" s="924">
        <v>19</v>
      </c>
      <c r="G248" s="924">
        <v>65</v>
      </c>
      <c r="H248" s="924">
        <v>172</v>
      </c>
      <c r="I248" s="924">
        <v>3</v>
      </c>
      <c r="J248" s="924">
        <v>16</v>
      </c>
      <c r="K248" s="924">
        <v>9</v>
      </c>
      <c r="L248" s="924">
        <v>99</v>
      </c>
      <c r="M248" s="924">
        <v>9</v>
      </c>
      <c r="N248" s="924">
        <v>3</v>
      </c>
      <c r="O248" s="924">
        <v>99999</v>
      </c>
      <c r="P248" s="1026">
        <f t="shared" si="11"/>
        <v>0</v>
      </c>
      <c r="Q248" s="234">
        <f>CVA!$D$14</f>
        <v>0</v>
      </c>
    </row>
    <row r="249" spans="1:17" ht="15.75">
      <c r="A249" s="924" t="s">
        <v>771</v>
      </c>
      <c r="B249" s="924" t="s">
        <v>1378</v>
      </c>
      <c r="C249" s="924" t="s">
        <v>1663</v>
      </c>
      <c r="D249" s="924">
        <v>5</v>
      </c>
      <c r="E249" s="924">
        <v>2</v>
      </c>
      <c r="F249" s="924">
        <v>19</v>
      </c>
      <c r="G249" s="924">
        <v>65</v>
      </c>
      <c r="H249" s="924">
        <v>172</v>
      </c>
      <c r="I249" s="924">
        <v>3</v>
      </c>
      <c r="J249" s="924">
        <v>17</v>
      </c>
      <c r="K249" s="924">
        <v>9</v>
      </c>
      <c r="L249" s="924">
        <v>99</v>
      </c>
      <c r="M249" s="924">
        <v>9</v>
      </c>
      <c r="N249" s="924">
        <v>3</v>
      </c>
      <c r="O249" s="924">
        <v>99999</v>
      </c>
      <c r="P249" s="1026">
        <f t="shared" si="11"/>
        <v>0</v>
      </c>
      <c r="Q249" s="234">
        <f>CVA!$D$17</f>
        <v>0</v>
      </c>
    </row>
    <row r="250" spans="1:17" ht="15.75">
      <c r="A250" s="924" t="s">
        <v>771</v>
      </c>
      <c r="B250" s="924" t="s">
        <v>1378</v>
      </c>
      <c r="C250" s="924" t="s">
        <v>1664</v>
      </c>
      <c r="D250" s="924">
        <v>5</v>
      </c>
      <c r="E250" s="924">
        <v>2</v>
      </c>
      <c r="F250" s="924">
        <v>19</v>
      </c>
      <c r="G250" s="924">
        <v>65</v>
      </c>
      <c r="H250" s="924">
        <v>172</v>
      </c>
      <c r="I250" s="924">
        <v>3</v>
      </c>
      <c r="J250" s="924">
        <v>18</v>
      </c>
      <c r="K250" s="924">
        <v>9</v>
      </c>
      <c r="L250" s="924">
        <v>99</v>
      </c>
      <c r="M250" s="924">
        <v>9</v>
      </c>
      <c r="N250" s="924">
        <v>3</v>
      </c>
      <c r="O250" s="924">
        <v>99999</v>
      </c>
      <c r="P250" s="1026">
        <f t="shared" si="11"/>
        <v>0</v>
      </c>
      <c r="Q250" s="234">
        <f>CVA!$D$16</f>
        <v>0</v>
      </c>
    </row>
    <row r="251" spans="1:17" ht="15.75">
      <c r="A251" s="924" t="s">
        <v>771</v>
      </c>
      <c r="B251" s="924" t="s">
        <v>1378</v>
      </c>
      <c r="C251" s="924" t="s">
        <v>1400</v>
      </c>
      <c r="D251" s="924">
        <v>5</v>
      </c>
      <c r="E251" s="924">
        <v>2</v>
      </c>
      <c r="F251" s="924">
        <v>19</v>
      </c>
      <c r="G251" s="924">
        <v>65</v>
      </c>
      <c r="H251" s="924">
        <v>172</v>
      </c>
      <c r="I251" s="924">
        <v>2</v>
      </c>
      <c r="J251" s="924">
        <v>25</v>
      </c>
      <c r="K251" s="924">
        <v>9</v>
      </c>
      <c r="L251" s="924">
        <v>99</v>
      </c>
      <c r="M251" s="924">
        <v>9</v>
      </c>
      <c r="N251" s="924">
        <v>3</v>
      </c>
      <c r="O251" s="924">
        <v>99999</v>
      </c>
      <c r="P251" s="1026">
        <f t="shared" si="11"/>
        <v>0</v>
      </c>
      <c r="Q251" s="234">
        <f>CVA!$D$11</f>
        <v>0</v>
      </c>
    </row>
    <row r="252" spans="1:17" ht="15.75">
      <c r="A252" s="924" t="s">
        <v>1665</v>
      </c>
      <c r="B252" s="924" t="s">
        <v>36</v>
      </c>
      <c r="C252" s="924" t="s">
        <v>1666</v>
      </c>
      <c r="D252" s="924">
        <v>4</v>
      </c>
      <c r="E252" s="924">
        <v>2</v>
      </c>
      <c r="F252" s="924">
        <v>19</v>
      </c>
      <c r="G252" s="924">
        <v>64</v>
      </c>
      <c r="H252" s="924">
        <v>95</v>
      </c>
      <c r="I252" s="924">
        <v>3</v>
      </c>
      <c r="J252" s="924">
        <v>13</v>
      </c>
      <c r="K252" s="924">
        <v>9</v>
      </c>
      <c r="L252" s="924">
        <v>99</v>
      </c>
      <c r="M252" s="924">
        <v>9</v>
      </c>
      <c r="N252" s="924">
        <v>3</v>
      </c>
      <c r="O252" s="924">
        <v>99999</v>
      </c>
      <c r="P252" s="1026">
        <f t="shared" si="11"/>
        <v>0</v>
      </c>
      <c r="Q252" s="234">
        <f>CVA!$D$24</f>
        <v>0</v>
      </c>
    </row>
    <row r="253" spans="1:17" ht="15.75">
      <c r="A253" s="924" t="s">
        <v>1665</v>
      </c>
      <c r="B253" s="924" t="s">
        <v>36</v>
      </c>
      <c r="C253" s="924" t="s">
        <v>1667</v>
      </c>
      <c r="D253" s="924">
        <v>4</v>
      </c>
      <c r="E253" s="924">
        <v>2</v>
      </c>
      <c r="F253" s="924">
        <v>19</v>
      </c>
      <c r="G253" s="924">
        <v>64</v>
      </c>
      <c r="H253" s="924">
        <v>95</v>
      </c>
      <c r="I253" s="924">
        <v>3</v>
      </c>
      <c r="J253" s="924">
        <v>15</v>
      </c>
      <c r="K253" s="924">
        <v>9</v>
      </c>
      <c r="L253" s="924">
        <v>99</v>
      </c>
      <c r="M253" s="924">
        <v>9</v>
      </c>
      <c r="N253" s="924">
        <v>3</v>
      </c>
      <c r="O253" s="924">
        <v>99999</v>
      </c>
      <c r="P253" s="1026">
        <f t="shared" si="11"/>
        <v>0</v>
      </c>
      <c r="Q253" s="234">
        <f>CVA!$D$25</f>
        <v>0</v>
      </c>
    </row>
    <row r="254" spans="1:17" ht="15.75">
      <c r="A254" s="924" t="s">
        <v>1665</v>
      </c>
      <c r="B254" s="924" t="s">
        <v>36</v>
      </c>
      <c r="C254" s="924" t="s">
        <v>1668</v>
      </c>
      <c r="D254" s="924">
        <v>4</v>
      </c>
      <c r="E254" s="924">
        <v>2</v>
      </c>
      <c r="F254" s="924">
        <v>19</v>
      </c>
      <c r="G254" s="924">
        <v>64</v>
      </c>
      <c r="H254" s="924">
        <v>95</v>
      </c>
      <c r="I254" s="924">
        <v>2</v>
      </c>
      <c r="J254" s="924">
        <v>25</v>
      </c>
      <c r="K254" s="924">
        <v>9</v>
      </c>
      <c r="L254" s="924">
        <v>99</v>
      </c>
      <c r="M254" s="924">
        <v>9</v>
      </c>
      <c r="N254" s="924">
        <v>3</v>
      </c>
      <c r="O254" s="924">
        <v>99999</v>
      </c>
      <c r="P254" s="1026">
        <f t="shared" si="11"/>
        <v>0</v>
      </c>
      <c r="Q254" s="234">
        <f>CVA!$D$26</f>
        <v>0</v>
      </c>
    </row>
    <row r="255" spans="1:17" ht="15.75">
      <c r="A255" s="924" t="s">
        <v>1665</v>
      </c>
      <c r="B255" s="924" t="s">
        <v>36</v>
      </c>
      <c r="C255" s="924" t="s">
        <v>1669</v>
      </c>
      <c r="D255" s="924">
        <v>4</v>
      </c>
      <c r="E255" s="924">
        <v>2</v>
      </c>
      <c r="F255" s="924">
        <v>19</v>
      </c>
      <c r="G255" s="924">
        <v>64</v>
      </c>
      <c r="H255" s="924">
        <v>95</v>
      </c>
      <c r="I255" s="924">
        <v>1</v>
      </c>
      <c r="J255" s="924">
        <v>1</v>
      </c>
      <c r="K255" s="924">
        <v>9</v>
      </c>
      <c r="L255" s="924">
        <v>99</v>
      </c>
      <c r="M255" s="924">
        <v>9</v>
      </c>
      <c r="N255" s="924">
        <v>3</v>
      </c>
      <c r="O255" s="924">
        <v>99999</v>
      </c>
      <c r="P255" s="1026">
        <f t="shared" si="11"/>
        <v>0</v>
      </c>
      <c r="Q255" s="234">
        <f>CVA!$D$27</f>
        <v>0</v>
      </c>
    </row>
    <row r="256" spans="1:17" ht="15.75">
      <c r="A256" s="924" t="s">
        <v>1665</v>
      </c>
      <c r="B256" s="924" t="s">
        <v>36</v>
      </c>
      <c r="C256" s="924" t="s">
        <v>1670</v>
      </c>
      <c r="D256" s="924">
        <v>4</v>
      </c>
      <c r="E256" s="924">
        <v>2</v>
      </c>
      <c r="F256" s="924">
        <v>19</v>
      </c>
      <c r="G256" s="924">
        <v>64</v>
      </c>
      <c r="H256" s="924">
        <v>95</v>
      </c>
      <c r="I256" s="924">
        <v>2</v>
      </c>
      <c r="J256" s="924">
        <v>999</v>
      </c>
      <c r="K256" s="924">
        <v>9</v>
      </c>
      <c r="L256" s="924">
        <v>99</v>
      </c>
      <c r="M256" s="924">
        <v>9</v>
      </c>
      <c r="N256" s="924">
        <v>3</v>
      </c>
      <c r="O256" s="924">
        <v>99999</v>
      </c>
      <c r="P256" s="1026">
        <f t="shared" si="11"/>
        <v>0</v>
      </c>
      <c r="Q256" s="234">
        <f>CVA!$D$28</f>
        <v>0</v>
      </c>
    </row>
    <row r="257" spans="1:17" ht="15.75">
      <c r="A257" s="924" t="s">
        <v>1665</v>
      </c>
      <c r="B257" s="924" t="s">
        <v>36</v>
      </c>
      <c r="C257" s="924" t="s">
        <v>1671</v>
      </c>
      <c r="D257" s="924">
        <v>4</v>
      </c>
      <c r="E257" s="924">
        <v>2</v>
      </c>
      <c r="F257" s="924">
        <v>19</v>
      </c>
      <c r="G257" s="924">
        <v>64</v>
      </c>
      <c r="H257" s="924">
        <v>95</v>
      </c>
      <c r="I257" s="924">
        <v>3</v>
      </c>
      <c r="J257" s="924">
        <v>16</v>
      </c>
      <c r="K257" s="924">
        <v>9</v>
      </c>
      <c r="L257" s="924">
        <v>99</v>
      </c>
      <c r="M257" s="924">
        <v>9</v>
      </c>
      <c r="N257" s="924">
        <v>3</v>
      </c>
      <c r="O257" s="924">
        <v>99999</v>
      </c>
      <c r="P257" s="1026">
        <f t="shared" si="11"/>
        <v>0</v>
      </c>
      <c r="Q257" s="234">
        <f>CVA!$D$29</f>
        <v>0</v>
      </c>
    </row>
    <row r="258" spans="1:17" ht="15.75">
      <c r="A258" s="924" t="s">
        <v>1665</v>
      </c>
      <c r="B258" s="924" t="s">
        <v>36</v>
      </c>
      <c r="C258" s="924" t="s">
        <v>1672</v>
      </c>
      <c r="D258" s="924">
        <v>4</v>
      </c>
      <c r="E258" s="924">
        <v>2</v>
      </c>
      <c r="F258" s="924">
        <v>19</v>
      </c>
      <c r="G258" s="924">
        <v>64</v>
      </c>
      <c r="H258" s="924">
        <v>95</v>
      </c>
      <c r="I258" s="924">
        <v>1</v>
      </c>
      <c r="J258" s="924">
        <v>21</v>
      </c>
      <c r="K258" s="924">
        <v>9</v>
      </c>
      <c r="L258" s="924">
        <v>99</v>
      </c>
      <c r="M258" s="924">
        <v>9</v>
      </c>
      <c r="N258" s="924">
        <v>3</v>
      </c>
      <c r="O258" s="924">
        <v>99999</v>
      </c>
      <c r="P258" s="1026">
        <f t="shared" si="11"/>
        <v>0</v>
      </c>
      <c r="Q258" s="234">
        <f>CVA!$D$30</f>
        <v>0</v>
      </c>
    </row>
    <row r="259" spans="1:17" ht="15.75">
      <c r="A259" s="924" t="s">
        <v>1665</v>
      </c>
      <c r="B259" s="924" t="s">
        <v>36</v>
      </c>
      <c r="C259" s="924" t="s">
        <v>1673</v>
      </c>
      <c r="D259" s="924">
        <v>4</v>
      </c>
      <c r="E259" s="924">
        <v>2</v>
      </c>
      <c r="F259" s="924">
        <v>19</v>
      </c>
      <c r="G259" s="924">
        <v>64</v>
      </c>
      <c r="H259" s="924">
        <v>95</v>
      </c>
      <c r="I259" s="924">
        <v>3</v>
      </c>
      <c r="J259" s="924">
        <v>18</v>
      </c>
      <c r="K259" s="924">
        <v>9</v>
      </c>
      <c r="L259" s="924">
        <v>99</v>
      </c>
      <c r="M259" s="924">
        <v>9</v>
      </c>
      <c r="N259" s="924">
        <v>3</v>
      </c>
      <c r="O259" s="924">
        <v>99999</v>
      </c>
      <c r="P259" s="1026">
        <f t="shared" si="11"/>
        <v>0</v>
      </c>
      <c r="Q259" s="234">
        <f>CVA!$D$31</f>
        <v>0</v>
      </c>
    </row>
    <row r="260" spans="1:17" ht="15.75">
      <c r="A260" s="924" t="s">
        <v>1665</v>
      </c>
      <c r="B260" s="924" t="s">
        <v>36</v>
      </c>
      <c r="C260" s="924" t="s">
        <v>1674</v>
      </c>
      <c r="D260" s="924">
        <v>4</v>
      </c>
      <c r="E260" s="924">
        <v>2</v>
      </c>
      <c r="F260" s="924">
        <v>19</v>
      </c>
      <c r="G260" s="924">
        <v>64</v>
      </c>
      <c r="H260" s="924">
        <v>95</v>
      </c>
      <c r="I260" s="924">
        <v>3</v>
      </c>
      <c r="J260" s="924">
        <v>17</v>
      </c>
      <c r="K260" s="924">
        <v>9</v>
      </c>
      <c r="L260" s="924">
        <v>99</v>
      </c>
      <c r="M260" s="924">
        <v>9</v>
      </c>
      <c r="N260" s="924">
        <v>3</v>
      </c>
      <c r="O260" s="924">
        <v>99999</v>
      </c>
      <c r="P260" s="1026">
        <f t="shared" si="11"/>
        <v>0</v>
      </c>
      <c r="Q260" s="234">
        <f>CVA!$D$32</f>
        <v>0</v>
      </c>
    </row>
    <row r="261" spans="1:17" ht="15.75">
      <c r="A261" s="924" t="s">
        <v>771</v>
      </c>
      <c r="B261" s="924" t="s">
        <v>120</v>
      </c>
      <c r="C261" s="924" t="str">
        <f>Energia!$B$20</f>
        <v>Angra</v>
      </c>
      <c r="D261" s="924">
        <v>1</v>
      </c>
      <c r="E261" s="924">
        <v>1</v>
      </c>
      <c r="F261" s="924">
        <v>8</v>
      </c>
      <c r="G261" s="924">
        <v>999999</v>
      </c>
      <c r="H261" s="924">
        <v>999</v>
      </c>
      <c r="I261" s="924">
        <v>2</v>
      </c>
      <c r="J261" s="924">
        <v>999</v>
      </c>
      <c r="K261" s="924">
        <v>9</v>
      </c>
      <c r="L261" s="924">
        <v>99</v>
      </c>
      <c r="M261" s="924">
        <v>9</v>
      </c>
      <c r="N261" s="924">
        <v>2</v>
      </c>
      <c r="O261" s="924">
        <v>99999</v>
      </c>
      <c r="P261" s="1026">
        <f t="shared" ca="1" si="11"/>
        <v>0</v>
      </c>
      <c r="Q261" s="234">
        <f ca="1">Energia!$C$20</f>
        <v>0</v>
      </c>
    </row>
    <row r="262" spans="1:17" ht="15.75">
      <c r="A262" s="924" t="s">
        <v>771</v>
      </c>
      <c r="B262" s="924" t="s">
        <v>120</v>
      </c>
      <c r="C262" s="924" t="str">
        <f>Energia!B20</f>
        <v>Angra</v>
      </c>
      <c r="D262" s="924">
        <v>1</v>
      </c>
      <c r="E262" s="924">
        <v>1</v>
      </c>
      <c r="F262" s="924">
        <v>8</v>
      </c>
      <c r="G262" s="924">
        <v>999999</v>
      </c>
      <c r="H262" s="924">
        <v>999</v>
      </c>
      <c r="I262" s="924">
        <v>2</v>
      </c>
      <c r="J262" s="924">
        <v>999</v>
      </c>
      <c r="K262" s="924">
        <v>9</v>
      </c>
      <c r="L262" s="924">
        <v>99</v>
      </c>
      <c r="M262" s="924">
        <v>9</v>
      </c>
      <c r="N262" s="924">
        <v>3</v>
      </c>
      <c r="O262" s="924">
        <v>99999</v>
      </c>
      <c r="P262" s="1026">
        <f t="shared" ca="1" si="11"/>
        <v>0</v>
      </c>
      <c r="Q262" s="234">
        <f ca="1">Energia!$F$20</f>
        <v>0</v>
      </c>
    </row>
    <row r="263" spans="1:17" ht="15.75">
      <c r="A263" s="924" t="s">
        <v>771</v>
      </c>
      <c r="B263" s="924" t="s">
        <v>120</v>
      </c>
      <c r="C263" s="924" t="str">
        <f>Energia!$B$21</f>
        <v>CCGF</v>
      </c>
      <c r="D263" s="924">
        <v>1</v>
      </c>
      <c r="E263" s="924">
        <v>1</v>
      </c>
      <c r="F263" s="924">
        <v>17</v>
      </c>
      <c r="G263" s="924">
        <v>999999</v>
      </c>
      <c r="H263" s="924">
        <v>999</v>
      </c>
      <c r="I263" s="924">
        <v>2</v>
      </c>
      <c r="J263" s="924">
        <v>999</v>
      </c>
      <c r="K263" s="924">
        <v>9</v>
      </c>
      <c r="L263" s="924">
        <v>99</v>
      </c>
      <c r="M263" s="924">
        <v>9</v>
      </c>
      <c r="N263" s="924">
        <v>2</v>
      </c>
      <c r="O263" s="924">
        <v>0</v>
      </c>
      <c r="P263" s="1026">
        <f t="shared" ca="1" si="11"/>
        <v>0</v>
      </c>
      <c r="Q263" s="234">
        <f ca="1">Energia!$C$21</f>
        <v>0</v>
      </c>
    </row>
    <row r="264" spans="1:17" ht="15.75">
      <c r="A264" s="924" t="s">
        <v>771</v>
      </c>
      <c r="B264" s="924" t="s">
        <v>120</v>
      </c>
      <c r="C264" s="924" t="str">
        <f>Energia!$B$21</f>
        <v>CCGF</v>
      </c>
      <c r="D264" s="924">
        <v>1</v>
      </c>
      <c r="E264" s="924">
        <v>1</v>
      </c>
      <c r="F264" s="924">
        <v>17</v>
      </c>
      <c r="G264" s="924">
        <v>999999</v>
      </c>
      <c r="H264" s="924">
        <v>999</v>
      </c>
      <c r="I264" s="924">
        <v>2</v>
      </c>
      <c r="J264" s="924">
        <v>999</v>
      </c>
      <c r="K264" s="924">
        <v>9</v>
      </c>
      <c r="L264" s="924">
        <v>99</v>
      </c>
      <c r="M264" s="924">
        <v>9</v>
      </c>
      <c r="N264" s="924">
        <v>3</v>
      </c>
      <c r="O264" s="924">
        <v>0</v>
      </c>
      <c r="P264" s="1026">
        <f t="shared" ca="1" si="11"/>
        <v>0</v>
      </c>
      <c r="Q264" s="234">
        <f ca="1">Energia!$F$21</f>
        <v>0</v>
      </c>
    </row>
    <row r="265" spans="1:17" s="925" customFormat="1" ht="14.1" customHeight="1">
      <c r="A265" s="924" t="s">
        <v>1623</v>
      </c>
      <c r="B265" s="924" t="s">
        <v>1623</v>
      </c>
      <c r="C265" s="924" t="s">
        <v>1623</v>
      </c>
      <c r="D265" s="924">
        <v>99</v>
      </c>
      <c r="E265" s="924">
        <v>99</v>
      </c>
      <c r="F265" s="924">
        <v>999</v>
      </c>
      <c r="G265" s="924">
        <v>999999</v>
      </c>
      <c r="H265" s="924">
        <v>999</v>
      </c>
      <c r="I265" s="924">
        <v>99</v>
      </c>
      <c r="J265" s="924">
        <v>999</v>
      </c>
      <c r="K265" s="924">
        <v>9</v>
      </c>
      <c r="L265" s="924">
        <v>99</v>
      </c>
      <c r="M265" s="924">
        <v>9</v>
      </c>
      <c r="N265" s="924">
        <v>99</v>
      </c>
      <c r="O265">
        <v>99999</v>
      </c>
      <c r="P265" s="1013">
        <f t="shared" si="11"/>
        <v>0</v>
      </c>
      <c r="Q265" s="1013"/>
    </row>
    <row r="266" spans="1:17" s="925" customFormat="1" ht="14.1" customHeight="1">
      <c r="A266" s="924" t="s">
        <v>1623</v>
      </c>
      <c r="B266" s="924" t="s">
        <v>1623</v>
      </c>
      <c r="C266" s="924" t="s">
        <v>1623</v>
      </c>
      <c r="D266" s="924">
        <v>99</v>
      </c>
      <c r="E266" s="924">
        <v>99</v>
      </c>
      <c r="F266" s="924">
        <v>999</v>
      </c>
      <c r="G266" s="924">
        <v>999999</v>
      </c>
      <c r="H266" s="924">
        <v>999</v>
      </c>
      <c r="I266" s="924">
        <v>99</v>
      </c>
      <c r="J266" s="924">
        <v>999</v>
      </c>
      <c r="K266" s="924">
        <v>9</v>
      </c>
      <c r="L266" s="924">
        <v>99</v>
      </c>
      <c r="M266" s="924">
        <v>9</v>
      </c>
      <c r="N266" s="924">
        <v>99</v>
      </c>
      <c r="O266">
        <v>99999</v>
      </c>
      <c r="P266" s="1013">
        <f t="shared" si="11"/>
        <v>0</v>
      </c>
      <c r="Q266" s="1013"/>
    </row>
    <row r="267" spans="1:17" ht="15.75">
      <c r="A267" s="924"/>
      <c r="B267" s="924"/>
      <c r="C267" s="924"/>
      <c r="D267" s="924"/>
      <c r="E267" s="924"/>
      <c r="F267" s="924"/>
      <c r="G267" s="924"/>
      <c r="H267" s="924"/>
      <c r="I267" s="924"/>
      <c r="J267" s="924"/>
      <c r="K267" s="924"/>
      <c r="L267" s="924"/>
      <c r="M267" s="924"/>
      <c r="N267" s="924"/>
      <c r="O267"/>
      <c r="P267" s="1013"/>
      <c r="Q267" s="1013"/>
    </row>
    <row r="268" spans="1:17" ht="15.75">
      <c r="A268" s="924"/>
      <c r="B268" s="924"/>
      <c r="C268" s="924"/>
      <c r="D268" s="924"/>
      <c r="E268" s="924"/>
      <c r="F268" s="924"/>
      <c r="G268" s="924"/>
      <c r="H268" s="924"/>
      <c r="I268" s="924"/>
      <c r="J268" s="924"/>
      <c r="K268" s="924"/>
      <c r="L268" s="924"/>
      <c r="M268" s="924"/>
      <c r="N268" s="924"/>
      <c r="O268"/>
      <c r="P268" s="1013"/>
      <c r="Q268" s="1013"/>
    </row>
    <row r="269" spans="1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4">
        <f t="shared" ref="P269:P324" si="13">IF(ISNUMBER(Q269),Q269,0)</f>
        <v>0</v>
      </c>
      <c r="Q269" s="234"/>
    </row>
    <row r="270" spans="1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4">
        <f t="shared" si="13"/>
        <v>0</v>
      </c>
      <c r="Q270" s="234"/>
    </row>
    <row r="271" spans="1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4">
        <f t="shared" si="13"/>
        <v>0</v>
      </c>
      <c r="Q271" s="234"/>
    </row>
    <row r="272" spans="1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4">
        <f t="shared" si="13"/>
        <v>0</v>
      </c>
      <c r="Q272" s="234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4">
        <f t="shared" si="13"/>
        <v>0</v>
      </c>
      <c r="Q273" s="234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4">
        <f t="shared" si="13"/>
        <v>0</v>
      </c>
      <c r="Q274" s="234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4">
        <f t="shared" si="13"/>
        <v>0</v>
      </c>
      <c r="Q275" s="234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4">
        <f t="shared" si="13"/>
        <v>0</v>
      </c>
      <c r="Q276" s="234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4">
        <f t="shared" si="13"/>
        <v>0</v>
      </c>
      <c r="Q277" s="234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si="13"/>
        <v>0</v>
      </c>
      <c r="Q278" s="234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3"/>
        <v>0</v>
      </c>
      <c r="Q279" s="234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3"/>
        <v>0</v>
      </c>
      <c r="Q280" s="234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3"/>
        <v>0</v>
      </c>
      <c r="Q281" s="234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3"/>
        <v>0</v>
      </c>
      <c r="Q282" s="234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3"/>
        <v>0</v>
      </c>
      <c r="Q283" s="234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3"/>
        <v>0</v>
      </c>
      <c r="Q284" s="234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3"/>
        <v>0</v>
      </c>
      <c r="Q285" s="234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3"/>
        <v>0</v>
      </c>
      <c r="Q286" s="234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3"/>
        <v>0</v>
      </c>
      <c r="Q287" s="234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3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3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3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3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3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3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3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3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3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3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3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3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3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3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3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3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3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3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3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3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3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3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3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3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3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3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3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3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3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3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3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3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3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3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3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3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3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ref="P325:P388" si="14">IF(ISNUMBER(Q325),Q325,0)</f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4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4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4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4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4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4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4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4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4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4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4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4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4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4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4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4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4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4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4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4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4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4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4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4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4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4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4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4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4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4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4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4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4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4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4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4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4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4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4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4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4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4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4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4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4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4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4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4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4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4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4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4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4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4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4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4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4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4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4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4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4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4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4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ref="P389:P452" si="15">IF(ISNUMBER(Q389),Q389,0)</f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5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5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5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5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5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5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5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5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5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5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5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5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5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5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5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5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5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5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5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5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5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5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5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5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5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5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5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5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5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5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5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5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5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5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5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5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5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5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5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5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5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5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5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5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5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5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5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5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5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5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5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5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5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5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5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5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5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5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5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5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5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5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5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ref="P453:P516" si="16">IF(ISNUMBER(Q453),Q453,0)</f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6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6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6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6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6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6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6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6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6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6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6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6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6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6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6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6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6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6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6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6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6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6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6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6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6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6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6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6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6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6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6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6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6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6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6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6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6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6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6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6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6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6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6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6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6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6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6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6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6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6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6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6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6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6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6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6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6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6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6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6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6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6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6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ref="P517:P580" si="17">IF(ISNUMBER(Q517),Q517,0)</f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7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7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7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7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7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7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7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7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7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17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17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17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17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17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17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17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17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17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17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17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17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17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17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17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17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17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17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17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17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17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17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17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17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17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17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17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17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17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17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17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17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17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17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17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17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17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17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17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17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17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17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17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17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17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17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17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17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17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17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17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17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17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17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ref="P581:P644" si="18">IF(ISNUMBER(Q581),Q581,0)</f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18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18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18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18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18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18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18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18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18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18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18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18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18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18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18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18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18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18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18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18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18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18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18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18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18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18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18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18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18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18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18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18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18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18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18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18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18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18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18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18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18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18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18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18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18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18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18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18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18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18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18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18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18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18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18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18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18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18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18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18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18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18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18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ref="P645:P708" si="19">IF(ISNUMBER(Q645),Q645,0)</f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19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19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19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19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19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19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19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19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19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19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19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19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19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19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19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19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19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19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19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19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19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19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19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19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19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19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19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19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19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19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19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19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19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19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19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19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19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19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19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19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19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19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19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19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19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19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19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19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19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19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19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19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19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19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19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19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19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19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19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19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19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19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19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ref="P709:P772" si="20">IF(ISNUMBER(Q709),Q709,0)</f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0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0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0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0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0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0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0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0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0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0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0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0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0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0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0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0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0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0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0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0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0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0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0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0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0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0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0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0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0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0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0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0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0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0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0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0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0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0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0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0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0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0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0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0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0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0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0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0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0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0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0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0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0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0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0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0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0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0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0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0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0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0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0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ref="P773:P836" si="21">IF(ISNUMBER(Q773),Q773,0)</f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1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1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1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1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1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1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1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1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1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1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1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1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1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1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1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1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1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1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1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1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1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1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1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1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1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1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1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1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1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1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1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1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1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1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1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1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1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1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1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1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1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1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1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1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1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1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1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1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1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1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1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1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1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1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1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1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1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1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1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1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1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1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1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ref="P837:P900" si="22">IF(ISNUMBER(Q837),Q837,0)</f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2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2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2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2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2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2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2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2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2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2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2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2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2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2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2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2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2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2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2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2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2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2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2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2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2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2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2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2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2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2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2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2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2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2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2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2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2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2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2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2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2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2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2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2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2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2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2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2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2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2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2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2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2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2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2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2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2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2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2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2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2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2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2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ref="P901:P964" si="23">IF(ISNUMBER(Q901),Q901,0)</f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3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3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3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3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3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3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3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3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3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3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3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3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3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3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3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3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3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3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3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3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3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3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3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3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3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3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3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3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3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3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3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3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3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3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3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3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3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3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3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3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3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3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3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3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3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3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3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3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3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3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3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3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3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3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3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3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3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3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3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3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3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3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3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ref="P965:P1028" si="24">IF(ISNUMBER(Q965),Q965,0)</f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4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4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4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4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4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4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4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4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4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4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4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4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4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4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4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4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4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4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4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4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4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4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4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4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4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4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4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4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4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4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4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4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4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4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4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4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4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4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4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4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4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4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4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4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4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4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4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4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4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4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4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4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4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4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4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4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4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4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4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4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4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4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4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ref="P1029:P1092" si="25">IF(ISNUMBER(Q1029),Q1029,0)</f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5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5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5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5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5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5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5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5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5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5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5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5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5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5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5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5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5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5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5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5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5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5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5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5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5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5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5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5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5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5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5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5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5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5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5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5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5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5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5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5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5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5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5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5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5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5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5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5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5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5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5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5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5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5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5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5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5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5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5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5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5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5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5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ref="P1093:P1156" si="26">IF(ISNUMBER(Q1093),Q1093,0)</f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6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6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6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6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6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6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6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6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6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6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6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6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6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6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6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6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6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6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6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6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6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6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6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6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6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6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6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6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6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6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6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6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6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6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6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6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6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6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6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6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6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6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6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6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6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6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6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6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6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6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6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6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6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6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6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6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6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6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6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6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6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6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6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ref="P1157:P1220" si="27">IF(ISNUMBER(Q1157),Q1157,0)</f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7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7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7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7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7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7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7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7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7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27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27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27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27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27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27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27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27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27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27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27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27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27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27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27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27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27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27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27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27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27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27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27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27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27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27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27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27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27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27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27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27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27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27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27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27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27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27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27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27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27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27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27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27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27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27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27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27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27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27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27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27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27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27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ref="P1221:P1284" si="28">IF(ISNUMBER(Q1221),Q1221,0)</f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28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28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28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28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28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28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28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28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28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28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28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28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28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28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28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28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28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28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28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28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28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28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28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28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28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28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28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28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28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28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28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28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28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28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28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28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28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28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28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28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28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28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28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28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28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28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28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28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28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28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28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28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28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28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28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28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28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28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28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28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28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28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28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ref="P1285:P1348" si="29">IF(ISNUMBER(Q1285),Q1285,0)</f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29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29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29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29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29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29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29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29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29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29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29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29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29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29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29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29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29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29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29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29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29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29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29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29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29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29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29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29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29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29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29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29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29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29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29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29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29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29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29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29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29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29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29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29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29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29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29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29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29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29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29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29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29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29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29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29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29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29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29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29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29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29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29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ref="P1349:P1412" si="30">IF(ISNUMBER(Q1349),Q1349,0)</f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0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0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0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0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0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0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0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0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0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0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0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0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0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0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0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0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0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0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0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0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0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0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0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0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0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0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0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0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0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0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0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0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0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0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0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0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0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0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0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0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0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0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0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0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0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0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0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0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0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0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0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0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0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0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0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0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0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0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0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0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0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0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0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ref="P1413:P1476" si="31">IF(ISNUMBER(Q1413),Q1413,0)</f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1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1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1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1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1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1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1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1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1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1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1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1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1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1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1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1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1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1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1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1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1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1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1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1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1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1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1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1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1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1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1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1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1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1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1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1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1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1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1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1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1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1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1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1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1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1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1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1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1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1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1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1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1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1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1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1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1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1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1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1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1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1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1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ref="P1477:P1540" si="32">IF(ISNUMBER(Q1477),Q1477,0)</f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2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2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2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2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2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2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2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2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2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2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2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2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2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2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2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2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2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2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2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2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2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2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2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2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2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2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2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2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2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2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2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2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2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2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2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2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2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2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2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2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2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2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2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2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2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2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2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2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2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2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2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2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2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2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2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2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2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2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2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2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2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2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2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ref="P1541:P1604" si="33">IF(ISNUMBER(Q1541),Q1541,0)</f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3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3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3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3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3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3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3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3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3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3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3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3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3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3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3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3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3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3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3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3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3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3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3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3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3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3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3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3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3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3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3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3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3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3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3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3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3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3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3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3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3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3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3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3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3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3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3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3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3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3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3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3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3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3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3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3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3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3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3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3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3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3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3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ref="P1605:P1668" si="34">IF(ISNUMBER(Q1605),Q1605,0)</f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4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4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4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4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4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4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4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4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4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4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4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4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4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4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4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4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4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4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4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4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4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4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4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4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4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4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4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4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4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4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4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4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4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4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4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4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4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4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4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4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4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4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4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4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4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4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4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4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4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4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4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4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4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4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4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4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4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4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4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4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4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4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4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ref="P1669:P1723" si="35">IF(ISNUMBER(Q1669),Q1669,0)</f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5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5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5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5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5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5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5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5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5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5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5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5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5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5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5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5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5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5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5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5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5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5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5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5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5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5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5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5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5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5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5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5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5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5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5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5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5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5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5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5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5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5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5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5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5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5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5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5"/>
        <v>0</v>
      </c>
      <c r="Q1717" s="248"/>
    </row>
    <row r="1718" spans="1:17">
      <c r="A1718" s="9" t="s">
        <v>771</v>
      </c>
      <c r="B1718" t="s">
        <v>793</v>
      </c>
      <c r="C1718" s="9" t="s">
        <v>1675</v>
      </c>
      <c r="D1718">
        <v>1</v>
      </c>
      <c r="E1718">
        <v>1</v>
      </c>
      <c r="F1718">
        <v>35</v>
      </c>
      <c r="G1718">
        <v>999</v>
      </c>
      <c r="H1718">
        <v>999</v>
      </c>
      <c r="I1718">
        <v>1</v>
      </c>
      <c r="J1718">
        <v>1</v>
      </c>
      <c r="K1718">
        <v>9</v>
      </c>
      <c r="L1718">
        <v>99</v>
      </c>
      <c r="M1718">
        <v>1</v>
      </c>
      <c r="N1718">
        <v>3</v>
      </c>
      <c r="O1718" s="14">
        <v>99999</v>
      </c>
      <c r="P1718" s="234">
        <f t="shared" si="35"/>
        <v>0</v>
      </c>
      <c r="Q1718" s="234">
        <f>'Rede Básica + Ajuste'!D9</f>
        <v>0</v>
      </c>
    </row>
    <row r="1719" spans="1:17">
      <c r="A1719" s="9" t="s">
        <v>771</v>
      </c>
      <c r="B1719" t="s">
        <v>793</v>
      </c>
      <c r="C1719" s="9" t="s">
        <v>1676</v>
      </c>
      <c r="D1719">
        <v>1</v>
      </c>
      <c r="E1719">
        <v>1</v>
      </c>
      <c r="F1719">
        <v>35</v>
      </c>
      <c r="G1719">
        <v>999</v>
      </c>
      <c r="H1719">
        <v>999</v>
      </c>
      <c r="I1719">
        <v>1</v>
      </c>
      <c r="J1719">
        <v>1</v>
      </c>
      <c r="K1719">
        <v>9</v>
      </c>
      <c r="L1719">
        <v>99</v>
      </c>
      <c r="M1719">
        <v>3</v>
      </c>
      <c r="N1719">
        <v>3</v>
      </c>
      <c r="O1719" s="14">
        <v>99999</v>
      </c>
      <c r="P1719" s="234">
        <f t="shared" si="35"/>
        <v>0</v>
      </c>
      <c r="Q1719" s="234">
        <f>'Rede Básica + Ajuste'!D10</f>
        <v>0</v>
      </c>
    </row>
    <row r="1720" spans="1:17">
      <c r="A1720" s="9" t="s">
        <v>771</v>
      </c>
      <c r="B1720" t="s">
        <v>793</v>
      </c>
      <c r="C1720" s="9" t="s">
        <v>1677</v>
      </c>
      <c r="D1720">
        <v>1</v>
      </c>
      <c r="E1720">
        <v>1</v>
      </c>
      <c r="F1720">
        <v>35</v>
      </c>
      <c r="G1720">
        <v>999</v>
      </c>
      <c r="H1720">
        <v>999</v>
      </c>
      <c r="I1720">
        <v>1</v>
      </c>
      <c r="J1720">
        <v>2</v>
      </c>
      <c r="K1720">
        <v>9</v>
      </c>
      <c r="L1720">
        <v>99</v>
      </c>
      <c r="M1720">
        <v>1</v>
      </c>
      <c r="N1720">
        <v>3</v>
      </c>
      <c r="O1720" s="14">
        <v>99999</v>
      </c>
      <c r="P1720" s="234">
        <f t="shared" si="35"/>
        <v>0</v>
      </c>
      <c r="Q1720" s="234">
        <f>'Rede Básica + Ajuste'!E9</f>
        <v>0</v>
      </c>
    </row>
    <row r="1721" spans="1:17">
      <c r="A1721" s="9" t="s">
        <v>771</v>
      </c>
      <c r="B1721" t="s">
        <v>793</v>
      </c>
      <c r="C1721" s="9" t="s">
        <v>1678</v>
      </c>
      <c r="D1721">
        <v>1</v>
      </c>
      <c r="E1721">
        <v>1</v>
      </c>
      <c r="F1721">
        <v>35</v>
      </c>
      <c r="G1721">
        <v>999</v>
      </c>
      <c r="H1721">
        <v>999</v>
      </c>
      <c r="I1721">
        <v>1</v>
      </c>
      <c r="J1721">
        <v>2</v>
      </c>
      <c r="K1721">
        <v>9</v>
      </c>
      <c r="L1721">
        <v>99</v>
      </c>
      <c r="M1721">
        <v>3</v>
      </c>
      <c r="N1721">
        <v>3</v>
      </c>
      <c r="O1721" s="14">
        <v>99999</v>
      </c>
      <c r="P1721" s="234">
        <f t="shared" si="35"/>
        <v>0</v>
      </c>
      <c r="Q1721" s="234">
        <f>'Rede Básica + Ajuste'!E10</f>
        <v>0</v>
      </c>
    </row>
    <row r="1722" spans="1:17">
      <c r="A1722" s="9" t="s">
        <v>771</v>
      </c>
      <c r="B1722" t="s">
        <v>793</v>
      </c>
      <c r="C1722" s="9" t="s">
        <v>1679</v>
      </c>
      <c r="D1722">
        <v>1</v>
      </c>
      <c r="E1722">
        <v>1</v>
      </c>
      <c r="F1722">
        <v>35</v>
      </c>
      <c r="G1722">
        <v>999</v>
      </c>
      <c r="H1722">
        <v>999</v>
      </c>
      <c r="I1722">
        <v>1</v>
      </c>
      <c r="J1722">
        <v>1</v>
      </c>
      <c r="K1722">
        <v>9</v>
      </c>
      <c r="L1722">
        <v>99</v>
      </c>
      <c r="M1722">
        <v>1</v>
      </c>
      <c r="N1722">
        <v>1</v>
      </c>
      <c r="O1722" s="14">
        <v>99999</v>
      </c>
      <c r="P1722" s="234">
        <f t="shared" si="35"/>
        <v>0</v>
      </c>
      <c r="Q1722" s="234">
        <f>'Rede Básica + Ajuste'!C9</f>
        <v>0</v>
      </c>
    </row>
    <row r="1723" spans="1:17">
      <c r="A1723" s="9" t="s">
        <v>771</v>
      </c>
      <c r="B1723" t="s">
        <v>793</v>
      </c>
      <c r="C1723" s="9" t="s">
        <v>1680</v>
      </c>
      <c r="D1723">
        <v>1</v>
      </c>
      <c r="E1723">
        <v>1</v>
      </c>
      <c r="F1723">
        <v>35</v>
      </c>
      <c r="G1723">
        <v>999</v>
      </c>
      <c r="H1723">
        <v>999</v>
      </c>
      <c r="I1723">
        <v>1</v>
      </c>
      <c r="J1723">
        <v>1</v>
      </c>
      <c r="K1723">
        <v>9</v>
      </c>
      <c r="L1723">
        <v>99</v>
      </c>
      <c r="M1723">
        <v>3</v>
      </c>
      <c r="N1723">
        <v>1</v>
      </c>
      <c r="O1723" s="14">
        <v>99999</v>
      </c>
      <c r="P1723" s="234">
        <f t="shared" si="35"/>
        <v>0</v>
      </c>
      <c r="Q1723" s="234">
        <f>'Rede Básica + Ajuste'!C10</f>
        <v>0</v>
      </c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7" ht="15.75"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8" bestFit="1" customWidth="1"/>
    <col min="2" max="2" width="12.5703125" style="508" bestFit="1" customWidth="1"/>
    <col min="3" max="3" width="10.140625" style="508" customWidth="1"/>
    <col min="4" max="4" width="50.42578125" style="508" bestFit="1" customWidth="1"/>
    <col min="5" max="5" width="41.140625" style="508" bestFit="1" customWidth="1"/>
    <col min="6" max="6" width="43.28515625" style="508" bestFit="1" customWidth="1"/>
    <col min="7" max="7" width="34.7109375" style="508" bestFit="1" customWidth="1"/>
    <col min="8" max="8" width="42.7109375" style="508" bestFit="1" customWidth="1"/>
    <col min="9" max="9" width="33.42578125" style="508" bestFit="1" customWidth="1"/>
    <col min="10" max="10" width="25.42578125" style="508" bestFit="1" customWidth="1"/>
    <col min="11" max="11" width="30.85546875" style="508" bestFit="1" customWidth="1"/>
    <col min="12" max="14" width="13" style="508" customWidth="1"/>
    <col min="15" max="15" width="12.5703125" style="508" bestFit="1" customWidth="1"/>
    <col min="16" max="16" width="12.5703125" style="508" customWidth="1"/>
    <col min="17" max="19" width="13" style="508" customWidth="1"/>
    <col min="20" max="20" width="41.140625" style="508" customWidth="1"/>
    <col min="21" max="22" width="13" style="508" customWidth="1"/>
    <col min="23" max="33" width="13" style="508" bestFit="1" customWidth="1"/>
    <col min="34" max="36" width="12.5703125" style="508" bestFit="1" customWidth="1"/>
    <col min="37" max="37" width="49.42578125" style="508" bestFit="1" customWidth="1"/>
    <col min="38" max="38" width="17.5703125" style="508" bestFit="1" customWidth="1"/>
    <col min="39" max="39" width="18" style="508" bestFit="1" customWidth="1"/>
    <col min="40" max="40" width="17.5703125" style="508" bestFit="1" customWidth="1"/>
    <col min="41" max="41" width="18" style="508" bestFit="1" customWidth="1"/>
    <col min="42" max="42" width="17" style="508" bestFit="1" customWidth="1"/>
    <col min="43" max="43" width="17.5703125" style="508" bestFit="1" customWidth="1"/>
    <col min="44" max="44" width="18" style="508" bestFit="1" customWidth="1"/>
    <col min="45" max="47" width="17.5703125" style="508" bestFit="1" customWidth="1"/>
    <col min="48" max="48" width="17" style="508" bestFit="1" customWidth="1"/>
    <col min="49" max="51" width="17.5703125" style="508" bestFit="1" customWidth="1"/>
    <col min="52" max="52" width="17" style="508" bestFit="1" customWidth="1"/>
    <col min="53" max="53" width="17.5703125" style="508" bestFit="1" customWidth="1"/>
    <col min="54" max="54" width="40.85546875" style="508" bestFit="1" customWidth="1"/>
    <col min="55" max="70" width="10.140625" style="508" bestFit="1" customWidth="1"/>
    <col min="71" max="71" width="42.7109375" style="508" bestFit="1" customWidth="1"/>
    <col min="72" max="72" width="16.5703125" style="508" bestFit="1" customWidth="1"/>
    <col min="73" max="75" width="17.5703125" style="508" bestFit="1" customWidth="1"/>
    <col min="76" max="76" width="17" style="508" bestFit="1" customWidth="1"/>
    <col min="77" max="77" width="17.5703125" style="508" bestFit="1" customWidth="1"/>
    <col min="78" max="79" width="17" style="508" bestFit="1" customWidth="1"/>
    <col min="80" max="80" width="17.5703125" style="508" bestFit="1" customWidth="1"/>
    <col min="81" max="82" width="17" style="508" bestFit="1" customWidth="1"/>
    <col min="83" max="84" width="17.5703125" style="508" bestFit="1" customWidth="1"/>
    <col min="85" max="86" width="18" style="508" bestFit="1" customWidth="1"/>
    <col min="87" max="87" width="17" style="508" bestFit="1" customWidth="1"/>
    <col min="88" max="88" width="33.42578125" style="508" bestFit="1" customWidth="1"/>
    <col min="89" max="104" width="10.140625" style="508" bestFit="1" customWidth="1"/>
    <col min="105" max="105" width="25.42578125" style="508" bestFit="1" customWidth="1"/>
    <col min="106" max="119" width="10.140625" style="508" bestFit="1" customWidth="1"/>
    <col min="120" max="120" width="11.140625" style="508" bestFit="1" customWidth="1"/>
    <col min="121" max="121" width="10.140625" style="508" bestFit="1" customWidth="1"/>
    <col min="122" max="122" width="30.85546875" style="508" bestFit="1" customWidth="1"/>
    <col min="123" max="123" width="13.42578125" style="508" bestFit="1" customWidth="1"/>
    <col min="124" max="125" width="14" style="508" bestFit="1" customWidth="1"/>
    <col min="126" max="126" width="13.42578125" style="508" bestFit="1" customWidth="1"/>
    <col min="127" max="127" width="14.42578125" style="508" bestFit="1" customWidth="1"/>
    <col min="128" max="130" width="14" style="508" bestFit="1" customWidth="1"/>
    <col min="131" max="131" width="14.42578125" style="508" bestFit="1" customWidth="1"/>
    <col min="132" max="132" width="14" style="508" bestFit="1" customWidth="1"/>
    <col min="133" max="133" width="14.42578125" style="508" bestFit="1" customWidth="1"/>
    <col min="134" max="134" width="14" style="508" bestFit="1" customWidth="1"/>
    <col min="135" max="135" width="13.42578125" style="508" bestFit="1" customWidth="1"/>
    <col min="136" max="138" width="14.42578125" style="508" bestFit="1" customWidth="1"/>
    <col min="139" max="16384" width="9.140625" style="508"/>
  </cols>
  <sheetData>
    <row r="1" spans="1:138">
      <c r="A1" s="1577" t="s">
        <v>1681</v>
      </c>
      <c r="B1" s="508">
        <f>YEAR(SAS_RA0_DataInicio)*100+MONTH(SAS_RA0_DataInicio)</f>
        <v>202105</v>
      </c>
      <c r="D1" s="1577" t="s">
        <v>1682</v>
      </c>
      <c r="E1" s="1577" t="s">
        <v>1683</v>
      </c>
      <c r="F1" s="1577" t="s">
        <v>1684</v>
      </c>
    </row>
    <row r="2" spans="1:138" ht="15.75">
      <c r="A2" s="1577" t="s">
        <v>1685</v>
      </c>
      <c r="B2" s="508">
        <f>YEAR(SAS_RA0_DataFim)*100+MONTH(SAS_RA0_DataFim)</f>
        <v>202204</v>
      </c>
      <c r="D2" s="1578" t="str">
        <f>UPPER(VLOOKUP(LnkTXTSigla,Informacoes[],9,FALSE))</f>
        <v>CPFL PAULISTA</v>
      </c>
      <c r="E2" s="508">
        <f>IF(_xlfn.MAXIFS(C:C,A:A,D2)&gt;B2,B2,_xlfn.MAXIFS(C:C,A:A,D2))</f>
        <v>0</v>
      </c>
      <c r="F2" s="510">
        <f>YEAR(SAS_RA0_DataFim)*100+MONTH(SAS_RA0_DataFim)-E2+1</f>
        <v>202205</v>
      </c>
    </row>
    <row r="3" spans="1:138" ht="15.75">
      <c r="A3" s="1579" t="s">
        <v>229</v>
      </c>
      <c r="B3" s="510">
        <f>YEAR(SAS_RA0_DataFim)*100+MONTH(SAS_RA0_DataFim)-MAX(C:C)+1</f>
        <v>202205</v>
      </c>
      <c r="D3" s="1578" t="str">
        <f>UPPER(VLOOKUP(LnkTXTSigla,Informacoes[],11,FALSE))</f>
        <v/>
      </c>
      <c r="E3" s="508">
        <f>IF(_xlfn.MAXIFS(C:C,A:A,D3)&gt;B2,B2,_xlfn.MAXIFS(C:C,A:A,D3))</f>
        <v>0</v>
      </c>
      <c r="F3" s="510">
        <f>YEAR(SAS_RA0_DataFim)*100+MONTH(SAS_RA0_DataFim)-E3+1</f>
        <v>202205</v>
      </c>
    </row>
    <row r="4" spans="1:138" ht="15.75">
      <c r="A4" s="524" t="s">
        <v>1686</v>
      </c>
      <c r="B4" s="525" t="s">
        <v>1687</v>
      </c>
    </row>
    <row r="6" spans="1:138" ht="15.75">
      <c r="A6" s="804"/>
      <c r="B6" s="805"/>
      <c r="C6" s="805"/>
      <c r="D6" s="525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9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9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4" bestFit="1" customWidth="1"/>
    <col min="2" max="4" width="9.140625" style="484"/>
    <col min="5" max="5" width="35.7109375" style="484" customWidth="1"/>
    <col min="6" max="6" width="12.5703125" style="484" bestFit="1" customWidth="1"/>
    <col min="7" max="7" width="12.7109375" style="484" customWidth="1"/>
    <col min="8" max="8" width="10.5703125" style="484" bestFit="1" customWidth="1"/>
    <col min="9" max="9" width="10.85546875" style="484" bestFit="1" customWidth="1"/>
    <col min="10" max="10" width="10.140625" style="484" bestFit="1" customWidth="1"/>
    <col min="11" max="11" width="5" style="484" bestFit="1" customWidth="1"/>
    <col min="12" max="12" width="8.85546875" style="484" bestFit="1" customWidth="1"/>
    <col min="13" max="13" width="8.7109375" style="484" bestFit="1" customWidth="1"/>
    <col min="14" max="16384" width="9.140625" style="484"/>
  </cols>
  <sheetData>
    <row r="1" spans="1:2">
      <c r="A1" s="1580" t="s">
        <v>1688</v>
      </c>
      <c r="B1" s="1581">
        <v>0</v>
      </c>
    </row>
    <row r="2" spans="1:2">
      <c r="A2" s="1580" t="s">
        <v>1689</v>
      </c>
      <c r="B2" s="1581">
        <v>0</v>
      </c>
    </row>
    <row r="3" spans="1:2">
      <c r="A3" s="1580" t="s">
        <v>1690</v>
      </c>
      <c r="B3" s="1581">
        <v>0</v>
      </c>
    </row>
    <row r="4" spans="1:2">
      <c r="A4" s="1580" t="s">
        <v>1691</v>
      </c>
      <c r="B4" s="1581">
        <v>0</v>
      </c>
    </row>
    <row r="5" spans="1:2">
      <c r="A5" s="1580" t="s">
        <v>1692</v>
      </c>
      <c r="B5" s="1581">
        <v>0</v>
      </c>
    </row>
    <row r="6" spans="1:2">
      <c r="A6" s="1580" t="s">
        <v>1693</v>
      </c>
      <c r="B6" s="1581">
        <v>0</v>
      </c>
    </row>
    <row r="7" spans="1:2">
      <c r="A7" s="1580" t="s">
        <v>1694</v>
      </c>
      <c r="B7" s="1581">
        <v>0</v>
      </c>
    </row>
    <row r="8" spans="1:2">
      <c r="A8" s="1580" t="s">
        <v>1695</v>
      </c>
      <c r="B8" s="1581">
        <v>0</v>
      </c>
    </row>
    <row r="9" spans="1:2">
      <c r="A9" s="1580" t="s">
        <v>1696</v>
      </c>
      <c r="B9" s="1581">
        <v>0.45</v>
      </c>
    </row>
    <row r="10" spans="1:2">
      <c r="A10" s="1580" t="s">
        <v>1697</v>
      </c>
      <c r="B10" s="1581">
        <v>0.4</v>
      </c>
    </row>
    <row r="11" spans="1:2">
      <c r="A11" s="1580" t="s">
        <v>1698</v>
      </c>
      <c r="B11" s="1580">
        <v>0.65</v>
      </c>
    </row>
    <row r="12" spans="1:2">
      <c r="A12" s="1580" t="s">
        <v>1699</v>
      </c>
      <c r="B12" s="1580">
        <v>0.4</v>
      </c>
    </row>
    <row r="13" spans="1:2">
      <c r="A13" s="1580" t="s">
        <v>1700</v>
      </c>
      <c r="B13" s="1580">
        <v>0.1</v>
      </c>
    </row>
    <row r="14" spans="1:2">
      <c r="A14" s="1580" t="s">
        <v>1701</v>
      </c>
      <c r="B14" s="1580">
        <v>0</v>
      </c>
    </row>
    <row r="15" spans="1:2">
      <c r="A15" s="1580" t="s">
        <v>1702</v>
      </c>
      <c r="B15" s="1580">
        <v>0.3</v>
      </c>
    </row>
    <row r="16" spans="1:2">
      <c r="A16" s="1580" t="s">
        <v>1703</v>
      </c>
      <c r="B16" s="1580">
        <v>0.3</v>
      </c>
    </row>
    <row r="17" spans="1:13">
      <c r="A17" s="1580" t="s">
        <v>1704</v>
      </c>
      <c r="B17" s="1580">
        <v>0.4</v>
      </c>
    </row>
    <row r="20" spans="1:13" ht="15">
      <c r="D20" s="1582" t="s">
        <v>1525</v>
      </c>
      <c r="E20" s="1582" t="s">
        <v>1039</v>
      </c>
      <c r="F20" s="1582" t="s">
        <v>1705</v>
      </c>
      <c r="G20" s="1582" t="s">
        <v>1706</v>
      </c>
      <c r="H20" s="1582" t="s">
        <v>1707</v>
      </c>
      <c r="I20" s="1582" t="s">
        <v>1708</v>
      </c>
      <c r="J20" s="1582" t="s">
        <v>1709</v>
      </c>
      <c r="K20" s="1582" t="s">
        <v>1710</v>
      </c>
      <c r="L20" s="1582" t="s">
        <v>1711</v>
      </c>
      <c r="M20" s="1582" t="s">
        <v>1123</v>
      </c>
    </row>
    <row r="21" spans="1:13" ht="30" hidden="1">
      <c r="D21" s="1583">
        <v>26</v>
      </c>
      <c r="E21" s="1584" t="s">
        <v>1712</v>
      </c>
      <c r="F21" s="1584" t="s">
        <v>137</v>
      </c>
      <c r="G21" s="1585">
        <v>41243</v>
      </c>
      <c r="H21" s="1586">
        <v>41243</v>
      </c>
      <c r="I21" s="1584" t="s">
        <v>1042</v>
      </c>
      <c r="J21" s="1584" t="s">
        <v>138</v>
      </c>
      <c r="K21" s="1583">
        <v>1663</v>
      </c>
      <c r="L21" s="1584" t="s">
        <v>1713</v>
      </c>
      <c r="M21" s="1584" t="s">
        <v>1714</v>
      </c>
    </row>
    <row r="22" spans="1:13" ht="30" hidden="1">
      <c r="D22" s="1583">
        <v>28</v>
      </c>
      <c r="E22" s="1584" t="s">
        <v>1715</v>
      </c>
      <c r="F22" s="1584" t="s">
        <v>1716</v>
      </c>
      <c r="G22" s="1585">
        <v>41214</v>
      </c>
      <c r="H22" s="485"/>
      <c r="I22" s="1584" t="s">
        <v>1042</v>
      </c>
      <c r="J22" s="1584" t="s">
        <v>138</v>
      </c>
      <c r="K22" s="1583">
        <v>1665</v>
      </c>
      <c r="L22" s="1584" t="s">
        <v>138</v>
      </c>
      <c r="M22" s="1584" t="s">
        <v>1714</v>
      </c>
    </row>
    <row r="23" spans="1:13" ht="30" hidden="1">
      <c r="D23" s="1583">
        <v>31</v>
      </c>
      <c r="E23" s="1584" t="s">
        <v>1717</v>
      </c>
      <c r="F23" s="1584" t="s">
        <v>139</v>
      </c>
      <c r="G23" s="1585">
        <v>41243</v>
      </c>
      <c r="H23" s="485"/>
      <c r="I23" s="1584" t="s">
        <v>1042</v>
      </c>
      <c r="J23" s="1584" t="s">
        <v>138</v>
      </c>
      <c r="K23" s="1583">
        <v>1666</v>
      </c>
      <c r="L23" s="1584" t="s">
        <v>138</v>
      </c>
      <c r="M23" s="1584" t="s">
        <v>1714</v>
      </c>
    </row>
    <row r="24" spans="1:13" ht="30" hidden="1">
      <c r="D24" s="1583">
        <v>32</v>
      </c>
      <c r="E24" s="1584" t="s">
        <v>1718</v>
      </c>
      <c r="F24" s="1584" t="s">
        <v>140</v>
      </c>
      <c r="G24" s="1585">
        <v>41094</v>
      </c>
      <c r="H24" s="485"/>
      <c r="I24" s="1584" t="s">
        <v>1042</v>
      </c>
      <c r="J24" s="1584" t="s">
        <v>138</v>
      </c>
      <c r="K24" s="1583">
        <v>1668</v>
      </c>
      <c r="L24" s="1584" t="s">
        <v>1719</v>
      </c>
      <c r="M24" s="1584" t="s">
        <v>1714</v>
      </c>
    </row>
    <row r="25" spans="1:13" ht="30" hidden="1">
      <c r="D25" s="1583">
        <v>37</v>
      </c>
      <c r="E25" s="1584" t="s">
        <v>1720</v>
      </c>
      <c r="F25" s="1584" t="s">
        <v>141</v>
      </c>
      <c r="G25" s="1585">
        <v>41149</v>
      </c>
      <c r="H25" s="485"/>
      <c r="I25" s="1584" t="s">
        <v>1042</v>
      </c>
      <c r="J25" s="1584" t="s">
        <v>138</v>
      </c>
      <c r="K25" s="1583">
        <v>1669</v>
      </c>
      <c r="L25" s="1584" t="s">
        <v>1721</v>
      </c>
      <c r="M25" s="1584" t="s">
        <v>1714</v>
      </c>
    </row>
    <row r="26" spans="1:13" ht="30" hidden="1">
      <c r="D26" s="1583">
        <v>38</v>
      </c>
      <c r="E26" s="1584" t="s">
        <v>1722</v>
      </c>
      <c r="F26" s="1584" t="s">
        <v>142</v>
      </c>
      <c r="G26" s="1585">
        <v>41180</v>
      </c>
      <c r="H26" s="1586">
        <v>41149</v>
      </c>
      <c r="I26" s="1584" t="s">
        <v>1042</v>
      </c>
      <c r="J26" s="1584" t="s">
        <v>138</v>
      </c>
      <c r="K26" s="1583">
        <v>1670</v>
      </c>
      <c r="L26" s="1584" t="s">
        <v>1723</v>
      </c>
      <c r="M26" s="1584" t="s">
        <v>1714</v>
      </c>
    </row>
    <row r="27" spans="1:13" ht="30" hidden="1">
      <c r="D27" s="1583">
        <v>39</v>
      </c>
      <c r="E27" s="1584" t="s">
        <v>1724</v>
      </c>
      <c r="F27" s="1584" t="s">
        <v>1725</v>
      </c>
      <c r="G27" s="1585">
        <v>41021</v>
      </c>
      <c r="H27" s="485"/>
      <c r="I27" s="1584" t="s">
        <v>1042</v>
      </c>
      <c r="J27" s="1584" t="s">
        <v>138</v>
      </c>
      <c r="K27" s="1583">
        <v>1671</v>
      </c>
      <c r="L27" s="1584" t="s">
        <v>1726</v>
      </c>
      <c r="M27" s="1584" t="s">
        <v>1714</v>
      </c>
    </row>
    <row r="28" spans="1:13" ht="30" hidden="1">
      <c r="D28" s="1583">
        <v>40</v>
      </c>
      <c r="E28" s="1584" t="s">
        <v>1727</v>
      </c>
      <c r="F28" s="1584" t="s">
        <v>144</v>
      </c>
      <c r="G28" s="1585">
        <v>41021</v>
      </c>
      <c r="H28" s="485"/>
      <c r="I28" s="1584" t="s">
        <v>1042</v>
      </c>
      <c r="J28" s="1584" t="s">
        <v>138</v>
      </c>
      <c r="K28" s="1583">
        <v>1672</v>
      </c>
      <c r="L28" s="1584" t="s">
        <v>1728</v>
      </c>
      <c r="M28" s="1584" t="s">
        <v>1714</v>
      </c>
    </row>
    <row r="29" spans="1:13" ht="30" hidden="1">
      <c r="D29" s="1583">
        <v>43</v>
      </c>
      <c r="E29" s="1584" t="s">
        <v>1729</v>
      </c>
      <c r="F29" s="1584" t="s">
        <v>145</v>
      </c>
      <c r="G29" s="1585">
        <v>41028</v>
      </c>
      <c r="H29" s="485"/>
      <c r="I29" s="1584" t="s">
        <v>1042</v>
      </c>
      <c r="J29" s="1584" t="s">
        <v>138</v>
      </c>
      <c r="K29" s="1583">
        <v>1674</v>
      </c>
      <c r="L29" s="1584" t="s">
        <v>1730</v>
      </c>
      <c r="M29" s="1584" t="s">
        <v>1714</v>
      </c>
    </row>
    <row r="30" spans="1:13" ht="30" hidden="1">
      <c r="D30" s="1583">
        <v>44</v>
      </c>
      <c r="E30" s="1584" t="s">
        <v>1731</v>
      </c>
      <c r="F30" s="1584" t="s">
        <v>146</v>
      </c>
      <c r="G30" s="1585">
        <v>41180</v>
      </c>
      <c r="H30" s="485"/>
      <c r="I30" s="1584" t="s">
        <v>1042</v>
      </c>
      <c r="J30" s="1584" t="s">
        <v>138</v>
      </c>
      <c r="K30" s="1583">
        <v>1675</v>
      </c>
      <c r="L30" s="1584" t="s">
        <v>1732</v>
      </c>
      <c r="M30" s="1584" t="s">
        <v>1714</v>
      </c>
    </row>
    <row r="31" spans="1:13" ht="30" hidden="1">
      <c r="D31" s="1583">
        <v>46</v>
      </c>
      <c r="E31" s="1584" t="s">
        <v>1733</v>
      </c>
      <c r="F31" s="1584" t="s">
        <v>147</v>
      </c>
      <c r="G31" s="1585">
        <v>41051</v>
      </c>
      <c r="H31" s="1586">
        <v>41257</v>
      </c>
      <c r="I31" s="1584" t="s">
        <v>1042</v>
      </c>
      <c r="J31" s="1584" t="s">
        <v>1734</v>
      </c>
      <c r="K31" s="1583">
        <v>1676</v>
      </c>
      <c r="L31" s="1584" t="s">
        <v>1735</v>
      </c>
      <c r="M31" s="1584" t="s">
        <v>1714</v>
      </c>
    </row>
    <row r="32" spans="1:13" ht="30" hidden="1">
      <c r="D32" s="1583">
        <v>47</v>
      </c>
      <c r="E32" s="1584" t="s">
        <v>1736</v>
      </c>
      <c r="F32" s="1584" t="s">
        <v>148</v>
      </c>
      <c r="G32" s="1585">
        <v>41021</v>
      </c>
      <c r="H32" s="485"/>
      <c r="I32" s="1584" t="s">
        <v>1042</v>
      </c>
      <c r="J32" s="1584" t="s">
        <v>138</v>
      </c>
      <c r="K32" s="1583">
        <v>1677</v>
      </c>
      <c r="L32" s="1584" t="s">
        <v>1737</v>
      </c>
      <c r="M32" s="1584" t="s">
        <v>1714</v>
      </c>
    </row>
    <row r="33" spans="4:13" ht="15" hidden="1">
      <c r="D33" s="1583">
        <v>51</v>
      </c>
      <c r="E33" s="1584" t="s">
        <v>1738</v>
      </c>
      <c r="F33" s="1584" t="s">
        <v>149</v>
      </c>
      <c r="G33" s="1585">
        <v>41235</v>
      </c>
      <c r="H33" s="1586">
        <v>41210</v>
      </c>
      <c r="I33" s="1584" t="s">
        <v>1042</v>
      </c>
      <c r="J33" s="1584" t="s">
        <v>1734</v>
      </c>
      <c r="K33" s="1583">
        <v>1682</v>
      </c>
      <c r="L33" s="1584" t="s">
        <v>1739</v>
      </c>
      <c r="M33" s="1584" t="s">
        <v>1714</v>
      </c>
    </row>
    <row r="34" spans="4:13" ht="15" hidden="1">
      <c r="D34" s="1583">
        <v>56</v>
      </c>
      <c r="E34" s="1584" t="s">
        <v>1740</v>
      </c>
      <c r="F34" s="1584" t="s">
        <v>1741</v>
      </c>
      <c r="G34" s="485"/>
      <c r="H34" s="485"/>
      <c r="I34" s="1584" t="s">
        <v>1042</v>
      </c>
      <c r="J34" s="1584" t="s">
        <v>138</v>
      </c>
      <c r="K34" s="1583">
        <v>1683</v>
      </c>
      <c r="L34" s="1584" t="s">
        <v>138</v>
      </c>
      <c r="M34" s="1584" t="s">
        <v>1714</v>
      </c>
    </row>
    <row r="35" spans="4:13" ht="30" hidden="1">
      <c r="D35" s="1583">
        <v>63</v>
      </c>
      <c r="E35" s="1584" t="s">
        <v>1742</v>
      </c>
      <c r="F35" s="1584" t="s">
        <v>150</v>
      </c>
      <c r="G35" s="1585">
        <v>41007</v>
      </c>
      <c r="H35" s="485"/>
      <c r="I35" s="1584" t="s">
        <v>1042</v>
      </c>
      <c r="J35" s="1584" t="s">
        <v>138</v>
      </c>
      <c r="K35" s="1583">
        <v>1688</v>
      </c>
      <c r="L35" s="1584" t="s">
        <v>1743</v>
      </c>
      <c r="M35" s="1584" t="s">
        <v>1714</v>
      </c>
    </row>
    <row r="36" spans="4:13" ht="30" hidden="1">
      <c r="D36" s="1583">
        <v>69</v>
      </c>
      <c r="E36" s="1584" t="s">
        <v>1744</v>
      </c>
      <c r="F36" s="1584" t="s">
        <v>1745</v>
      </c>
      <c r="G36" s="1585">
        <v>40990</v>
      </c>
      <c r="H36" s="1586">
        <v>42038</v>
      </c>
      <c r="I36" s="1584" t="s">
        <v>1042</v>
      </c>
      <c r="J36" s="1584" t="s">
        <v>138</v>
      </c>
      <c r="K36" s="1583">
        <v>1692</v>
      </c>
      <c r="L36" s="1584" t="s">
        <v>1746</v>
      </c>
      <c r="M36" s="1584" t="s">
        <v>1714</v>
      </c>
    </row>
    <row r="37" spans="4:13" ht="30" hidden="1">
      <c r="D37" s="1583">
        <v>70</v>
      </c>
      <c r="E37" s="1584" t="s">
        <v>1747</v>
      </c>
      <c r="F37" s="1584" t="s">
        <v>1748</v>
      </c>
      <c r="G37" s="1585">
        <v>40990</v>
      </c>
      <c r="H37" s="1586">
        <v>42038</v>
      </c>
      <c r="I37" s="1584" t="s">
        <v>1042</v>
      </c>
      <c r="J37" s="1584" t="s">
        <v>138</v>
      </c>
      <c r="K37" s="1583">
        <v>1693</v>
      </c>
      <c r="L37" s="1584" t="s">
        <v>1749</v>
      </c>
      <c r="M37" s="1584" t="s">
        <v>1714</v>
      </c>
    </row>
    <row r="38" spans="4:13" ht="30" hidden="1">
      <c r="D38" s="1583">
        <v>71</v>
      </c>
      <c r="E38" s="1584" t="s">
        <v>1750</v>
      </c>
      <c r="F38" s="1584" t="s">
        <v>1751</v>
      </c>
      <c r="G38" s="1585">
        <v>40990</v>
      </c>
      <c r="H38" s="1586">
        <v>42038</v>
      </c>
      <c r="I38" s="1584" t="s">
        <v>1042</v>
      </c>
      <c r="J38" s="1584" t="s">
        <v>138</v>
      </c>
      <c r="K38" s="1583">
        <v>1694</v>
      </c>
      <c r="L38" s="1584" t="s">
        <v>1752</v>
      </c>
      <c r="M38" s="1584" t="s">
        <v>1714</v>
      </c>
    </row>
    <row r="39" spans="4:13" ht="30" hidden="1">
      <c r="D39" s="1583">
        <v>72</v>
      </c>
      <c r="E39" s="1584" t="s">
        <v>1753</v>
      </c>
      <c r="F39" s="1584" t="s">
        <v>204</v>
      </c>
      <c r="G39" s="1585">
        <v>40990</v>
      </c>
      <c r="H39" s="1586">
        <v>42038</v>
      </c>
      <c r="I39" s="1584" t="s">
        <v>1042</v>
      </c>
      <c r="J39" s="1584" t="s">
        <v>138</v>
      </c>
      <c r="K39" s="1583">
        <v>1695</v>
      </c>
      <c r="L39" s="1584" t="s">
        <v>1754</v>
      </c>
      <c r="M39" s="1584" t="s">
        <v>1714</v>
      </c>
    </row>
    <row r="40" spans="4:13" ht="30" hidden="1">
      <c r="D40" s="1583">
        <v>73</v>
      </c>
      <c r="E40" s="1584" t="s">
        <v>1755</v>
      </c>
      <c r="F40" s="1584" t="s">
        <v>1756</v>
      </c>
      <c r="G40" s="1585">
        <v>40990</v>
      </c>
      <c r="H40" s="1586">
        <v>42038</v>
      </c>
      <c r="I40" s="1584" t="s">
        <v>1042</v>
      </c>
      <c r="J40" s="1584" t="s">
        <v>1734</v>
      </c>
      <c r="K40" s="1583">
        <v>1696</v>
      </c>
      <c r="L40" s="1584" t="s">
        <v>1757</v>
      </c>
      <c r="M40" s="1584" t="s">
        <v>1714</v>
      </c>
    </row>
    <row r="41" spans="4:13" ht="30" hidden="1">
      <c r="D41" s="1583">
        <v>75</v>
      </c>
      <c r="E41" s="1584" t="s">
        <v>1758</v>
      </c>
      <c r="F41" s="1584" t="s">
        <v>1759</v>
      </c>
      <c r="G41" s="1585">
        <v>41039</v>
      </c>
      <c r="H41" s="485"/>
      <c r="I41" s="1584" t="s">
        <v>1042</v>
      </c>
      <c r="J41" s="1584" t="s">
        <v>138</v>
      </c>
      <c r="K41" s="1583">
        <v>1697</v>
      </c>
      <c r="L41" s="1584" t="s">
        <v>1760</v>
      </c>
      <c r="M41" s="1584" t="s">
        <v>1714</v>
      </c>
    </row>
    <row r="42" spans="4:13" ht="30" hidden="1">
      <c r="D42" s="1583">
        <v>82</v>
      </c>
      <c r="E42" s="1584" t="s">
        <v>1761</v>
      </c>
      <c r="F42" s="1584" t="s">
        <v>151</v>
      </c>
      <c r="G42" s="1585">
        <v>41089</v>
      </c>
      <c r="H42" s="1586">
        <v>41084</v>
      </c>
      <c r="I42" s="1584" t="s">
        <v>1042</v>
      </c>
      <c r="J42" s="1584" t="s">
        <v>1734</v>
      </c>
      <c r="K42" s="1583">
        <v>1701</v>
      </c>
      <c r="L42" s="1584" t="s">
        <v>1762</v>
      </c>
      <c r="M42" s="1584" t="s">
        <v>1714</v>
      </c>
    </row>
    <row r="43" spans="4:13" ht="30" hidden="1">
      <c r="D43" s="1583">
        <v>83</v>
      </c>
      <c r="E43" s="1584" t="s">
        <v>1763</v>
      </c>
      <c r="F43" s="1584" t="s">
        <v>207</v>
      </c>
      <c r="G43" s="1585">
        <v>41147</v>
      </c>
      <c r="H43" s="485"/>
      <c r="I43" s="1584" t="s">
        <v>1042</v>
      </c>
      <c r="J43" s="1584" t="s">
        <v>1734</v>
      </c>
      <c r="K43" s="1583">
        <v>1702</v>
      </c>
      <c r="L43" s="1584" t="s">
        <v>1764</v>
      </c>
      <c r="M43" s="1584" t="s">
        <v>1714</v>
      </c>
    </row>
    <row r="44" spans="4:13" ht="30" hidden="1">
      <c r="D44" s="1583">
        <v>84</v>
      </c>
      <c r="E44" s="1584" t="s">
        <v>1765</v>
      </c>
      <c r="F44" s="1584" t="s">
        <v>1766</v>
      </c>
      <c r="G44" s="1585">
        <v>41089</v>
      </c>
      <c r="H44" s="485"/>
      <c r="I44" s="1584" t="s">
        <v>1042</v>
      </c>
      <c r="J44" s="1584" t="s">
        <v>1734</v>
      </c>
      <c r="K44" s="1583">
        <v>1703</v>
      </c>
      <c r="L44" s="1584" t="s">
        <v>1767</v>
      </c>
      <c r="M44" s="1584" t="s">
        <v>1714</v>
      </c>
    </row>
    <row r="45" spans="4:13" ht="30" hidden="1">
      <c r="D45" s="1583">
        <v>86</v>
      </c>
      <c r="E45" s="1584" t="s">
        <v>1768</v>
      </c>
      <c r="F45" s="1584" t="s">
        <v>152</v>
      </c>
      <c r="G45" s="1585">
        <v>41150</v>
      </c>
      <c r="H45" s="1586">
        <v>41865</v>
      </c>
      <c r="I45" s="1584" t="s">
        <v>1042</v>
      </c>
      <c r="J45" s="1584" t="s">
        <v>1734</v>
      </c>
      <c r="K45" s="1583">
        <v>1704</v>
      </c>
      <c r="L45" s="1584" t="s">
        <v>1769</v>
      </c>
      <c r="M45" s="1584" t="s">
        <v>1714</v>
      </c>
    </row>
    <row r="46" spans="4:13" ht="30" hidden="1">
      <c r="D46" s="1583">
        <v>87</v>
      </c>
      <c r="E46" s="1584" t="s">
        <v>1770</v>
      </c>
      <c r="F46" s="1584" t="s">
        <v>153</v>
      </c>
      <c r="G46" s="1585">
        <v>41150</v>
      </c>
      <c r="H46" s="1586">
        <v>41128</v>
      </c>
      <c r="I46" s="1584" t="s">
        <v>1042</v>
      </c>
      <c r="J46" s="1584" t="s">
        <v>1734</v>
      </c>
      <c r="K46" s="1583">
        <v>1705</v>
      </c>
      <c r="L46" s="1584" t="s">
        <v>1771</v>
      </c>
      <c r="M46" s="1584" t="s">
        <v>1714</v>
      </c>
    </row>
    <row r="47" spans="4:13" ht="30" hidden="1">
      <c r="D47" s="1583">
        <v>88</v>
      </c>
      <c r="E47" s="1584" t="s">
        <v>1772</v>
      </c>
      <c r="F47" s="1584" t="s">
        <v>1773</v>
      </c>
      <c r="G47" s="1585">
        <v>41150</v>
      </c>
      <c r="H47" s="1586">
        <v>41865</v>
      </c>
      <c r="I47" s="1584" t="s">
        <v>1042</v>
      </c>
      <c r="J47" s="1584" t="s">
        <v>1734</v>
      </c>
      <c r="K47" s="1583">
        <v>1706</v>
      </c>
      <c r="L47" s="1584" t="s">
        <v>1774</v>
      </c>
      <c r="M47" s="1584" t="s">
        <v>1714</v>
      </c>
    </row>
    <row r="48" spans="4:13" ht="15" hidden="1">
      <c r="D48" s="1583">
        <v>95</v>
      </c>
      <c r="E48" s="1584" t="s">
        <v>1775</v>
      </c>
      <c r="F48" s="1584" t="s">
        <v>154</v>
      </c>
      <c r="G48" s="1585">
        <v>41112</v>
      </c>
      <c r="H48" s="1586">
        <v>41089</v>
      </c>
      <c r="I48" s="1584" t="s">
        <v>1042</v>
      </c>
      <c r="J48" s="1584" t="s">
        <v>1734</v>
      </c>
      <c r="K48" s="1583">
        <v>1708</v>
      </c>
      <c r="L48" s="1584" t="s">
        <v>1776</v>
      </c>
      <c r="M48" s="1584" t="s">
        <v>1714</v>
      </c>
    </row>
    <row r="49" spans="4:13" ht="30" hidden="1">
      <c r="D49" s="1583">
        <v>103</v>
      </c>
      <c r="E49" s="1584" t="s">
        <v>1777</v>
      </c>
      <c r="F49" s="1584" t="s">
        <v>155</v>
      </c>
      <c r="G49" s="1585">
        <v>41235</v>
      </c>
      <c r="H49" s="1586">
        <v>41164</v>
      </c>
      <c r="I49" s="1584" t="s">
        <v>1042</v>
      </c>
      <c r="J49" s="1584" t="s">
        <v>1734</v>
      </c>
      <c r="K49" s="1583">
        <v>1710</v>
      </c>
      <c r="L49" s="1584" t="s">
        <v>1778</v>
      </c>
      <c r="M49" s="1584" t="s">
        <v>1714</v>
      </c>
    </row>
    <row r="50" spans="4:13" ht="30">
      <c r="D50" s="1583">
        <v>213</v>
      </c>
      <c r="E50" s="1584" t="s">
        <v>1779</v>
      </c>
      <c r="F50" s="1584" t="s">
        <v>1780</v>
      </c>
      <c r="G50" s="485"/>
      <c r="H50" s="485"/>
      <c r="I50" s="1584" t="s">
        <v>1042</v>
      </c>
      <c r="J50" s="1584" t="s">
        <v>138</v>
      </c>
      <c r="K50" s="1583">
        <v>1757</v>
      </c>
      <c r="L50" s="1584" t="s">
        <v>138</v>
      </c>
      <c r="M50" s="1584" t="s">
        <v>1258</v>
      </c>
    </row>
    <row r="51" spans="4:13" ht="30" hidden="1">
      <c r="D51" s="1583">
        <v>369</v>
      </c>
      <c r="E51" s="1584" t="s">
        <v>1781</v>
      </c>
      <c r="F51" s="1584" t="s">
        <v>156</v>
      </c>
      <c r="G51" s="1585">
        <v>41243</v>
      </c>
      <c r="H51" s="1586">
        <v>41243</v>
      </c>
      <c r="I51" s="1584" t="s">
        <v>1042</v>
      </c>
      <c r="J51" s="1584" t="s">
        <v>138</v>
      </c>
      <c r="K51" s="1583">
        <v>1770</v>
      </c>
      <c r="L51" s="1584" t="s">
        <v>1782</v>
      </c>
      <c r="M51" s="1584" t="s">
        <v>1714</v>
      </c>
    </row>
    <row r="52" spans="4:13" ht="15" hidden="1">
      <c r="D52" s="1583">
        <v>370</v>
      </c>
      <c r="E52" s="1584" t="s">
        <v>1783</v>
      </c>
      <c r="F52" s="1584" t="s">
        <v>1784</v>
      </c>
      <c r="G52" s="1585">
        <v>41214</v>
      </c>
      <c r="H52" s="1586">
        <v>41214</v>
      </c>
      <c r="I52" s="1584" t="s">
        <v>1042</v>
      </c>
      <c r="J52" s="1584" t="s">
        <v>138</v>
      </c>
      <c r="K52" s="1583">
        <v>1771</v>
      </c>
      <c r="L52" s="1584" t="s">
        <v>1785</v>
      </c>
      <c r="M52" s="1584" t="s">
        <v>1714</v>
      </c>
    </row>
    <row r="53" spans="4:13" ht="30" hidden="1">
      <c r="D53" s="1583">
        <v>371</v>
      </c>
      <c r="E53" s="1584" t="s">
        <v>1786</v>
      </c>
      <c r="F53" s="1584" t="s">
        <v>159</v>
      </c>
      <c r="G53" s="1585">
        <v>40762</v>
      </c>
      <c r="H53" s="485"/>
      <c r="I53" s="1584" t="s">
        <v>1042</v>
      </c>
      <c r="J53" s="1584" t="s">
        <v>138</v>
      </c>
      <c r="K53" s="1583">
        <v>1772</v>
      </c>
      <c r="L53" s="1584" t="s">
        <v>1787</v>
      </c>
      <c r="M53" s="1584" t="s">
        <v>1714</v>
      </c>
    </row>
    <row r="54" spans="4:13" ht="30" hidden="1">
      <c r="D54" s="1583">
        <v>380</v>
      </c>
      <c r="E54" s="1584" t="s">
        <v>1788</v>
      </c>
      <c r="F54" s="1584" t="s">
        <v>1789</v>
      </c>
      <c r="G54" s="1585">
        <v>41128</v>
      </c>
      <c r="H54" s="485"/>
      <c r="I54" s="1584" t="s">
        <v>1042</v>
      </c>
      <c r="J54" s="1584" t="s">
        <v>138</v>
      </c>
      <c r="K54" s="1583">
        <v>1777</v>
      </c>
      <c r="L54" s="1584" t="s">
        <v>1790</v>
      </c>
      <c r="M54" s="1584" t="s">
        <v>1714</v>
      </c>
    </row>
    <row r="55" spans="4:13" ht="30" hidden="1">
      <c r="D55" s="1583">
        <v>381</v>
      </c>
      <c r="E55" s="1584" t="s">
        <v>1791</v>
      </c>
      <c r="F55" s="1584" t="s">
        <v>161</v>
      </c>
      <c r="G55" s="1585">
        <v>41143</v>
      </c>
      <c r="H55" s="1586">
        <v>41136</v>
      </c>
      <c r="I55" s="1584" t="s">
        <v>1042</v>
      </c>
      <c r="J55" s="1584" t="s">
        <v>138</v>
      </c>
      <c r="K55" s="1583">
        <v>1778</v>
      </c>
      <c r="L55" s="1584" t="s">
        <v>1792</v>
      </c>
      <c r="M55" s="1584" t="s">
        <v>1714</v>
      </c>
    </row>
    <row r="56" spans="4:13" ht="30" hidden="1">
      <c r="D56" s="1583">
        <v>382</v>
      </c>
      <c r="E56" s="1584" t="s">
        <v>1793</v>
      </c>
      <c r="F56" s="1584" t="s">
        <v>162</v>
      </c>
      <c r="G56" s="1585">
        <v>40983</v>
      </c>
      <c r="H56" s="1586">
        <v>41220</v>
      </c>
      <c r="I56" s="1584" t="s">
        <v>1042</v>
      </c>
      <c r="J56" s="1584" t="s">
        <v>138</v>
      </c>
      <c r="K56" s="1583">
        <v>1779</v>
      </c>
      <c r="L56" s="1584" t="s">
        <v>1794</v>
      </c>
      <c r="M56" s="1584" t="s">
        <v>1714</v>
      </c>
    </row>
    <row r="57" spans="4:13" ht="30" hidden="1">
      <c r="D57" s="1583">
        <v>383</v>
      </c>
      <c r="E57" s="1584" t="s">
        <v>1795</v>
      </c>
      <c r="F57" s="1584" t="s">
        <v>490</v>
      </c>
      <c r="G57" s="1585">
        <v>40983</v>
      </c>
      <c r="H57" s="485"/>
      <c r="I57" s="1584" t="s">
        <v>1042</v>
      </c>
      <c r="J57" s="1584" t="s">
        <v>138</v>
      </c>
      <c r="K57" s="1583">
        <v>1780</v>
      </c>
      <c r="L57" s="1584" t="s">
        <v>1796</v>
      </c>
      <c r="M57" s="1584" t="s">
        <v>1714</v>
      </c>
    </row>
    <row r="58" spans="4:13" ht="30" hidden="1">
      <c r="D58" s="1583">
        <v>385</v>
      </c>
      <c r="E58" s="1584" t="s">
        <v>1797</v>
      </c>
      <c r="F58" s="1584" t="s">
        <v>164</v>
      </c>
      <c r="G58" s="1585">
        <v>41148</v>
      </c>
      <c r="H58" s="485"/>
      <c r="I58" s="1584" t="s">
        <v>1042</v>
      </c>
      <c r="J58" s="1584" t="s">
        <v>138</v>
      </c>
      <c r="K58" s="1583">
        <v>1782</v>
      </c>
      <c r="L58" s="1584" t="s">
        <v>1798</v>
      </c>
      <c r="M58" s="1584" t="s">
        <v>1714</v>
      </c>
    </row>
    <row r="59" spans="4:13" ht="30" hidden="1">
      <c r="D59" s="1583">
        <v>386</v>
      </c>
      <c r="E59" s="1584" t="s">
        <v>1799</v>
      </c>
      <c r="F59" s="1584" t="s">
        <v>1800</v>
      </c>
      <c r="G59" s="1585">
        <v>41039</v>
      </c>
      <c r="H59" s="485"/>
      <c r="I59" s="1584" t="s">
        <v>1042</v>
      </c>
      <c r="J59" s="1584" t="s">
        <v>138</v>
      </c>
      <c r="K59" s="1583">
        <v>1783</v>
      </c>
      <c r="L59" s="1584" t="s">
        <v>1801</v>
      </c>
      <c r="M59" s="1584" t="s">
        <v>1714</v>
      </c>
    </row>
    <row r="60" spans="4:13" ht="45" hidden="1">
      <c r="D60" s="1583">
        <v>390</v>
      </c>
      <c r="E60" s="1584" t="s">
        <v>1802</v>
      </c>
      <c r="F60" s="1584" t="s">
        <v>312</v>
      </c>
      <c r="G60" s="1585">
        <v>41094</v>
      </c>
      <c r="H60" s="485"/>
      <c r="I60" s="1584" t="s">
        <v>1042</v>
      </c>
      <c r="J60" s="1584" t="s">
        <v>138</v>
      </c>
      <c r="K60" s="1583">
        <v>1787</v>
      </c>
      <c r="L60" s="1584" t="s">
        <v>1803</v>
      </c>
      <c r="M60" s="1584" t="s">
        <v>1714</v>
      </c>
    </row>
    <row r="61" spans="4:13" ht="30" hidden="1">
      <c r="D61" s="1583">
        <v>391</v>
      </c>
      <c r="E61" s="1584" t="s">
        <v>1804</v>
      </c>
      <c r="F61" s="1584" t="s">
        <v>288</v>
      </c>
      <c r="G61" s="1585">
        <v>41205</v>
      </c>
      <c r="H61" s="485"/>
      <c r="I61" s="1584" t="s">
        <v>1042</v>
      </c>
      <c r="J61" s="1584" t="s">
        <v>138</v>
      </c>
      <c r="K61" s="1583">
        <v>1788</v>
      </c>
      <c r="L61" s="1584" t="s">
        <v>1805</v>
      </c>
      <c r="M61" s="1584" t="s">
        <v>1714</v>
      </c>
    </row>
    <row r="62" spans="4:13" ht="30" hidden="1">
      <c r="D62" s="1583">
        <v>396</v>
      </c>
      <c r="E62" s="1584" t="s">
        <v>1806</v>
      </c>
      <c r="F62" s="1584" t="s">
        <v>1807</v>
      </c>
      <c r="G62" s="1585">
        <v>41018</v>
      </c>
      <c r="H62" s="485"/>
      <c r="I62" s="1584" t="s">
        <v>1042</v>
      </c>
      <c r="J62" s="1584" t="s">
        <v>138</v>
      </c>
      <c r="K62" s="1583">
        <v>1792</v>
      </c>
      <c r="L62" s="1584" t="s">
        <v>1808</v>
      </c>
      <c r="M62" s="1584" t="s">
        <v>1714</v>
      </c>
    </row>
    <row r="63" spans="4:13" ht="15" hidden="1">
      <c r="D63" s="1583">
        <v>397</v>
      </c>
      <c r="E63" s="1584" t="s">
        <v>1809</v>
      </c>
      <c r="F63" s="1584" t="s">
        <v>206</v>
      </c>
      <c r="G63" s="1585">
        <v>41079</v>
      </c>
      <c r="H63" s="1586">
        <v>39922</v>
      </c>
      <c r="I63" s="1584" t="s">
        <v>1042</v>
      </c>
      <c r="J63" s="1584" t="s">
        <v>138</v>
      </c>
      <c r="K63" s="1583">
        <v>1793</v>
      </c>
      <c r="L63" s="1584" t="s">
        <v>1810</v>
      </c>
      <c r="M63" s="1584" t="s">
        <v>1714</v>
      </c>
    </row>
    <row r="64" spans="4:13" ht="30" hidden="1">
      <c r="D64" s="1583">
        <v>398</v>
      </c>
      <c r="E64" s="1584" t="s">
        <v>1811</v>
      </c>
      <c r="F64" s="1584" t="s">
        <v>167</v>
      </c>
      <c r="G64" s="1585">
        <v>41112</v>
      </c>
      <c r="H64" s="1586">
        <v>41089</v>
      </c>
      <c r="I64" s="1584" t="s">
        <v>1042</v>
      </c>
      <c r="J64" s="1584" t="s">
        <v>1734</v>
      </c>
      <c r="K64" s="1583">
        <v>1794</v>
      </c>
      <c r="L64" s="1584" t="s">
        <v>1812</v>
      </c>
      <c r="M64" s="1584" t="s">
        <v>1714</v>
      </c>
    </row>
    <row r="65" spans="4:13" ht="30" hidden="1">
      <c r="D65" s="1583">
        <v>399</v>
      </c>
      <c r="E65" s="1584" t="s">
        <v>1813</v>
      </c>
      <c r="F65" s="1584" t="s">
        <v>168</v>
      </c>
      <c r="G65" s="1585">
        <v>41112</v>
      </c>
      <c r="H65" s="1586">
        <v>41089</v>
      </c>
      <c r="I65" s="1584" t="s">
        <v>1042</v>
      </c>
      <c r="J65" s="1584" t="s">
        <v>1734</v>
      </c>
      <c r="K65" s="1583">
        <v>1795</v>
      </c>
      <c r="L65" s="1584" t="s">
        <v>1814</v>
      </c>
      <c r="M65" s="1584" t="s">
        <v>1714</v>
      </c>
    </row>
    <row r="66" spans="4:13" ht="30" hidden="1">
      <c r="D66" s="1583">
        <v>400</v>
      </c>
      <c r="E66" s="1584" t="s">
        <v>1815</v>
      </c>
      <c r="F66" s="1584" t="s">
        <v>169</v>
      </c>
      <c r="G66" s="1585">
        <v>41051</v>
      </c>
      <c r="H66" s="1586">
        <v>41018</v>
      </c>
      <c r="I66" s="1584" t="s">
        <v>1042</v>
      </c>
      <c r="J66" s="1584" t="s">
        <v>1734</v>
      </c>
      <c r="K66" s="1583">
        <v>1796</v>
      </c>
      <c r="L66" s="1584" t="s">
        <v>1816</v>
      </c>
      <c r="M66" s="1584" t="s">
        <v>1714</v>
      </c>
    </row>
    <row r="67" spans="4:13" ht="30" hidden="1">
      <c r="D67" s="1583">
        <v>401</v>
      </c>
      <c r="E67" s="1584" t="s">
        <v>1817</v>
      </c>
      <c r="F67" s="1584" t="s">
        <v>170</v>
      </c>
      <c r="G67" s="1585">
        <v>41112</v>
      </c>
      <c r="H67" s="1586">
        <v>41089</v>
      </c>
      <c r="I67" s="1584" t="s">
        <v>1042</v>
      </c>
      <c r="J67" s="1584" t="s">
        <v>1734</v>
      </c>
      <c r="K67" s="1583">
        <v>1797</v>
      </c>
      <c r="L67" s="1584" t="s">
        <v>1818</v>
      </c>
      <c r="M67" s="1584" t="s">
        <v>1714</v>
      </c>
    </row>
    <row r="68" spans="4:13" ht="30" hidden="1">
      <c r="D68" s="1583">
        <v>404</v>
      </c>
      <c r="E68" s="1584" t="s">
        <v>1819</v>
      </c>
      <c r="F68" s="1584" t="s">
        <v>171</v>
      </c>
      <c r="G68" s="1585">
        <v>41007</v>
      </c>
      <c r="H68" s="485"/>
      <c r="I68" s="1584" t="s">
        <v>1042</v>
      </c>
      <c r="J68" s="1584" t="s">
        <v>138</v>
      </c>
      <c r="K68" s="1583">
        <v>1800</v>
      </c>
      <c r="L68" s="1584" t="s">
        <v>1820</v>
      </c>
      <c r="M68" s="1584" t="s">
        <v>1714</v>
      </c>
    </row>
    <row r="69" spans="4:13" ht="30" hidden="1">
      <c r="D69" s="1583">
        <v>405</v>
      </c>
      <c r="E69" s="1584" t="s">
        <v>1821</v>
      </c>
      <c r="F69" s="1584" t="s">
        <v>173</v>
      </c>
      <c r="G69" s="1585">
        <v>41007</v>
      </c>
      <c r="H69" s="485"/>
      <c r="I69" s="1584" t="s">
        <v>1042</v>
      </c>
      <c r="J69" s="1584" t="s">
        <v>138</v>
      </c>
      <c r="K69" s="1583">
        <v>1802</v>
      </c>
      <c r="L69" s="1584" t="s">
        <v>1822</v>
      </c>
      <c r="M69" s="1584" t="s">
        <v>1714</v>
      </c>
    </row>
    <row r="70" spans="4:13" ht="30">
      <c r="D70" s="1583">
        <v>598</v>
      </c>
      <c r="E70" s="1584" t="s">
        <v>1823</v>
      </c>
      <c r="F70" s="1584" t="s">
        <v>1824</v>
      </c>
      <c r="G70" s="1585">
        <v>41485</v>
      </c>
      <c r="H70" s="485"/>
      <c r="I70" s="1584" t="s">
        <v>1042</v>
      </c>
      <c r="J70" s="1584" t="s">
        <v>1734</v>
      </c>
      <c r="K70" s="1583">
        <v>1855</v>
      </c>
      <c r="L70" s="1584" t="s">
        <v>1825</v>
      </c>
      <c r="M70" s="1584" t="s">
        <v>1258</v>
      </c>
    </row>
    <row r="71" spans="4:13" ht="30">
      <c r="D71" s="1583">
        <v>2351</v>
      </c>
      <c r="E71" s="1584" t="s">
        <v>1826</v>
      </c>
      <c r="F71" s="1584" t="s">
        <v>464</v>
      </c>
      <c r="G71" s="1585">
        <v>41485</v>
      </c>
      <c r="H71" s="485"/>
      <c r="I71" s="1584" t="s">
        <v>1042</v>
      </c>
      <c r="J71" s="1584" t="s">
        <v>1734</v>
      </c>
      <c r="K71" s="1583">
        <v>2062</v>
      </c>
      <c r="L71" s="1584" t="s">
        <v>1827</v>
      </c>
      <c r="M71" s="1584" t="s">
        <v>1258</v>
      </c>
    </row>
    <row r="72" spans="4:13" ht="45">
      <c r="D72" s="1583">
        <v>2381</v>
      </c>
      <c r="E72" s="1584" t="s">
        <v>1828</v>
      </c>
      <c r="F72" s="1584" t="s">
        <v>436</v>
      </c>
      <c r="G72" s="1585">
        <v>41485</v>
      </c>
      <c r="H72" s="485"/>
      <c r="I72" s="1584" t="s">
        <v>1042</v>
      </c>
      <c r="J72" s="1584" t="s">
        <v>1734</v>
      </c>
      <c r="K72" s="1583">
        <v>2066</v>
      </c>
      <c r="L72" s="1584" t="s">
        <v>1829</v>
      </c>
      <c r="M72" s="1584" t="s">
        <v>1258</v>
      </c>
    </row>
    <row r="73" spans="4:13" ht="30" hidden="1">
      <c r="D73" s="1583">
        <v>2513</v>
      </c>
      <c r="E73" s="1584" t="s">
        <v>1830</v>
      </c>
      <c r="F73" s="1584" t="s">
        <v>1831</v>
      </c>
      <c r="G73" s="1585">
        <v>40909</v>
      </c>
      <c r="H73" s="485"/>
      <c r="I73" s="1584" t="s">
        <v>1042</v>
      </c>
      <c r="J73" s="1584" t="s">
        <v>138</v>
      </c>
      <c r="K73" s="1583">
        <v>2076</v>
      </c>
      <c r="L73" s="1584" t="s">
        <v>138</v>
      </c>
      <c r="M73" s="1584" t="s">
        <v>138</v>
      </c>
    </row>
    <row r="74" spans="4:13" ht="45">
      <c r="D74" s="1583">
        <v>2763</v>
      </c>
      <c r="E74" s="1584" t="s">
        <v>1832</v>
      </c>
      <c r="F74" s="1584" t="s">
        <v>175</v>
      </c>
      <c r="G74" s="1585">
        <v>41485</v>
      </c>
      <c r="H74" s="485"/>
      <c r="I74" s="1584" t="s">
        <v>1042</v>
      </c>
      <c r="J74" s="1584" t="s">
        <v>1734</v>
      </c>
      <c r="K74" s="1583">
        <v>2111</v>
      </c>
      <c r="L74" s="1584" t="s">
        <v>1833</v>
      </c>
      <c r="M74" s="1584" t="s">
        <v>1258</v>
      </c>
    </row>
    <row r="75" spans="4:13" ht="45">
      <c r="D75" s="1583">
        <v>2783</v>
      </c>
      <c r="E75" s="1584" t="s">
        <v>1834</v>
      </c>
      <c r="F75" s="1584" t="s">
        <v>475</v>
      </c>
      <c r="G75" s="1585">
        <v>41485</v>
      </c>
      <c r="H75" s="485"/>
      <c r="I75" s="1584" t="s">
        <v>1042</v>
      </c>
      <c r="J75" s="1584" t="s">
        <v>1734</v>
      </c>
      <c r="K75" s="1583">
        <v>2114</v>
      </c>
      <c r="L75" s="1584" t="s">
        <v>1835</v>
      </c>
      <c r="M75" s="1584" t="s">
        <v>1258</v>
      </c>
    </row>
    <row r="76" spans="4:13" ht="15" hidden="1">
      <c r="D76" s="1583">
        <v>2866</v>
      </c>
      <c r="E76" s="1584" t="s">
        <v>1836</v>
      </c>
      <c r="F76" s="1584" t="s">
        <v>177</v>
      </c>
      <c r="G76" s="1585">
        <v>41084</v>
      </c>
      <c r="H76" s="485"/>
      <c r="I76" s="1584" t="s">
        <v>1042</v>
      </c>
      <c r="J76" s="1584" t="s">
        <v>138</v>
      </c>
      <c r="K76" s="1583">
        <v>2126</v>
      </c>
      <c r="L76" s="1584" t="s">
        <v>1837</v>
      </c>
      <c r="M76" s="1584" t="s">
        <v>1714</v>
      </c>
    </row>
    <row r="77" spans="4:13" ht="30" hidden="1">
      <c r="D77" s="1583">
        <v>2904</v>
      </c>
      <c r="E77" s="1584" t="s">
        <v>1838</v>
      </c>
      <c r="F77" s="1584" t="s">
        <v>1839</v>
      </c>
      <c r="G77" s="1585">
        <v>41150</v>
      </c>
      <c r="H77" s="1586">
        <v>41135</v>
      </c>
      <c r="I77" s="1584" t="s">
        <v>1042</v>
      </c>
      <c r="J77" s="1584" t="s">
        <v>1734</v>
      </c>
      <c r="K77" s="1583">
        <v>2134</v>
      </c>
      <c r="L77" s="1584" t="s">
        <v>1840</v>
      </c>
      <c r="M77" s="1584" t="s">
        <v>1714</v>
      </c>
    </row>
    <row r="78" spans="4:13" ht="30" hidden="1">
      <c r="D78" s="1583">
        <v>2937</v>
      </c>
      <c r="E78" s="1584" t="s">
        <v>1841</v>
      </c>
      <c r="F78" s="1584" t="s">
        <v>178</v>
      </c>
      <c r="G78" s="1585">
        <v>41205</v>
      </c>
      <c r="H78" s="485"/>
      <c r="I78" s="1584" t="s">
        <v>1042</v>
      </c>
      <c r="J78" s="1584" t="s">
        <v>138</v>
      </c>
      <c r="K78" s="1583">
        <v>2141</v>
      </c>
      <c r="L78" s="1584" t="s">
        <v>1842</v>
      </c>
      <c r="M78" s="1584" t="s">
        <v>1714</v>
      </c>
    </row>
    <row r="79" spans="4:13" ht="30">
      <c r="D79" s="1583">
        <v>3223</v>
      </c>
      <c r="E79" s="1584" t="s">
        <v>1843</v>
      </c>
      <c r="F79" s="1584" t="s">
        <v>448</v>
      </c>
      <c r="G79" s="1585">
        <v>41423</v>
      </c>
      <c r="H79" s="485"/>
      <c r="I79" s="1584" t="s">
        <v>1042</v>
      </c>
      <c r="J79" s="1584" t="s">
        <v>1734</v>
      </c>
      <c r="K79" s="1583">
        <v>2193</v>
      </c>
      <c r="L79" s="1584" t="s">
        <v>1844</v>
      </c>
      <c r="M79" s="1584" t="s">
        <v>1258</v>
      </c>
    </row>
    <row r="80" spans="4:13" ht="45">
      <c r="D80" s="1583">
        <v>3627</v>
      </c>
      <c r="E80" s="1584" t="s">
        <v>1845</v>
      </c>
      <c r="F80" s="1584" t="s">
        <v>459</v>
      </c>
      <c r="G80" s="1585">
        <v>41485</v>
      </c>
      <c r="H80" s="485"/>
      <c r="I80" s="1584" t="s">
        <v>1042</v>
      </c>
      <c r="J80" s="1584" t="s">
        <v>1734</v>
      </c>
      <c r="K80" s="1583">
        <v>2215</v>
      </c>
      <c r="L80" s="1584" t="s">
        <v>1846</v>
      </c>
      <c r="M80" s="1584" t="s">
        <v>1258</v>
      </c>
    </row>
    <row r="81" spans="4:13" ht="45">
      <c r="D81" s="1583">
        <v>4248</v>
      </c>
      <c r="E81" s="1584" t="s">
        <v>1847</v>
      </c>
      <c r="F81" s="1584" t="s">
        <v>1848</v>
      </c>
      <c r="G81" s="1585">
        <v>41485</v>
      </c>
      <c r="H81" s="485"/>
      <c r="I81" s="1584" t="s">
        <v>1042</v>
      </c>
      <c r="J81" s="1584" t="s">
        <v>1734</v>
      </c>
      <c r="K81" s="1583">
        <v>2245</v>
      </c>
      <c r="L81" s="1584" t="s">
        <v>1849</v>
      </c>
      <c r="M81" s="1584" t="s">
        <v>1258</v>
      </c>
    </row>
    <row r="82" spans="4:13" ht="105" hidden="1">
      <c r="D82" s="1583">
        <v>4950</v>
      </c>
      <c r="E82" s="1584" t="s">
        <v>1850</v>
      </c>
      <c r="F82" s="1584" t="s">
        <v>179</v>
      </c>
      <c r="G82" s="1585">
        <v>41057</v>
      </c>
      <c r="H82" s="1586">
        <v>41007</v>
      </c>
      <c r="I82" s="1584" t="s">
        <v>1042</v>
      </c>
      <c r="J82" s="1584" t="s">
        <v>138</v>
      </c>
      <c r="K82" s="1583">
        <v>2285</v>
      </c>
      <c r="L82" s="1584" t="s">
        <v>1851</v>
      </c>
      <c r="M82" s="1584" t="s">
        <v>1714</v>
      </c>
    </row>
    <row r="83" spans="4:13" ht="15" hidden="1">
      <c r="D83" s="1583">
        <v>5160</v>
      </c>
      <c r="E83" s="1584" t="s">
        <v>1852</v>
      </c>
      <c r="F83" s="1584" t="s">
        <v>181</v>
      </c>
      <c r="G83" s="1585">
        <v>41204</v>
      </c>
      <c r="H83" s="1586">
        <v>41147</v>
      </c>
      <c r="I83" s="1584" t="s">
        <v>1042</v>
      </c>
      <c r="J83" s="1584" t="s">
        <v>138</v>
      </c>
      <c r="K83" s="1583">
        <v>2313</v>
      </c>
      <c r="L83" s="1584" t="s">
        <v>1853</v>
      </c>
      <c r="M83" s="1584" t="s">
        <v>1714</v>
      </c>
    </row>
    <row r="84" spans="4:13" ht="30" hidden="1">
      <c r="D84" s="1583">
        <v>5216</v>
      </c>
      <c r="E84" s="1584" t="s">
        <v>1854</v>
      </c>
      <c r="F84" s="1584" t="s">
        <v>1855</v>
      </c>
      <c r="G84" s="1585">
        <v>41039</v>
      </c>
      <c r="H84" s="485"/>
      <c r="I84" s="1584" t="s">
        <v>1042</v>
      </c>
      <c r="J84" s="1584" t="s">
        <v>138</v>
      </c>
      <c r="K84" s="1583">
        <v>2330</v>
      </c>
      <c r="L84" s="1584" t="s">
        <v>1856</v>
      </c>
      <c r="M84" s="1584" t="s">
        <v>1714</v>
      </c>
    </row>
    <row r="85" spans="4:13" ht="30" hidden="1">
      <c r="D85" s="1583">
        <v>5217</v>
      </c>
      <c r="E85" s="1584" t="s">
        <v>1857</v>
      </c>
      <c r="F85" s="1584" t="s">
        <v>1858</v>
      </c>
      <c r="G85" s="1585">
        <v>41039</v>
      </c>
      <c r="H85" s="485"/>
      <c r="I85" s="1584" t="s">
        <v>1042</v>
      </c>
      <c r="J85" s="1584" t="s">
        <v>138</v>
      </c>
      <c r="K85" s="1583">
        <v>2331</v>
      </c>
      <c r="L85" s="1584" t="s">
        <v>1859</v>
      </c>
      <c r="M85" s="1584" t="s">
        <v>1714</v>
      </c>
    </row>
    <row r="86" spans="4:13" ht="45">
      <c r="D86" s="1583">
        <v>5274</v>
      </c>
      <c r="E86" s="1584" t="s">
        <v>1860</v>
      </c>
      <c r="F86" s="1584" t="s">
        <v>182</v>
      </c>
      <c r="G86" s="1585">
        <v>41393</v>
      </c>
      <c r="H86" s="485"/>
      <c r="I86" s="1584" t="s">
        <v>1042</v>
      </c>
      <c r="J86" s="1584" t="s">
        <v>1734</v>
      </c>
      <c r="K86" s="1583">
        <v>2339</v>
      </c>
      <c r="L86" s="1584" t="s">
        <v>1861</v>
      </c>
      <c r="M86" s="1584" t="s">
        <v>1258</v>
      </c>
    </row>
    <row r="87" spans="4:13" ht="45">
      <c r="D87" s="1583">
        <v>5351</v>
      </c>
      <c r="E87" s="1584" t="s">
        <v>1862</v>
      </c>
      <c r="F87" s="1584" t="s">
        <v>184</v>
      </c>
      <c r="G87" s="1585">
        <v>41212</v>
      </c>
      <c r="H87" s="485"/>
      <c r="I87" s="1584" t="s">
        <v>1042</v>
      </c>
      <c r="J87" s="1584" t="s">
        <v>1734</v>
      </c>
      <c r="K87" s="1583">
        <v>2340</v>
      </c>
      <c r="L87" s="1584" t="s">
        <v>1863</v>
      </c>
      <c r="M87" s="1584" t="s">
        <v>1258</v>
      </c>
    </row>
    <row r="88" spans="4:13" ht="60">
      <c r="D88" s="1583">
        <v>5352</v>
      </c>
      <c r="E88" s="1584" t="s">
        <v>1864</v>
      </c>
      <c r="F88" s="1584" t="s">
        <v>371</v>
      </c>
      <c r="G88" s="1585">
        <v>41182</v>
      </c>
      <c r="H88" s="485"/>
      <c r="I88" s="1584" t="s">
        <v>1042</v>
      </c>
      <c r="J88" s="1584" t="s">
        <v>1734</v>
      </c>
      <c r="K88" s="1583">
        <v>2341</v>
      </c>
      <c r="L88" s="1584" t="s">
        <v>1865</v>
      </c>
      <c r="M88" s="1584" t="s">
        <v>1258</v>
      </c>
    </row>
    <row r="89" spans="4:13" ht="45">
      <c r="D89" s="1583">
        <v>5353</v>
      </c>
      <c r="E89" s="1584" t="s">
        <v>1866</v>
      </c>
      <c r="F89" s="1584" t="s">
        <v>185</v>
      </c>
      <c r="G89" s="1585">
        <v>41182</v>
      </c>
      <c r="H89" s="485"/>
      <c r="I89" s="1584" t="s">
        <v>1042</v>
      </c>
      <c r="J89" s="1584" t="s">
        <v>1734</v>
      </c>
      <c r="K89" s="1583">
        <v>2342</v>
      </c>
      <c r="L89" s="1584" t="s">
        <v>1867</v>
      </c>
      <c r="M89" s="1584" t="s">
        <v>1258</v>
      </c>
    </row>
    <row r="90" spans="4:13" ht="30">
      <c r="D90" s="1583">
        <v>5355</v>
      </c>
      <c r="E90" s="1584" t="s">
        <v>1868</v>
      </c>
      <c r="F90" s="1584" t="s">
        <v>382</v>
      </c>
      <c r="G90" s="1585">
        <v>41182</v>
      </c>
      <c r="H90" s="485"/>
      <c r="I90" s="1584" t="s">
        <v>1042</v>
      </c>
      <c r="J90" s="1584" t="s">
        <v>1734</v>
      </c>
      <c r="K90" s="1583">
        <v>2343</v>
      </c>
      <c r="L90" s="1584" t="s">
        <v>1869</v>
      </c>
      <c r="M90" s="1584" t="s">
        <v>1258</v>
      </c>
    </row>
    <row r="91" spans="4:13" ht="30">
      <c r="D91" s="1583">
        <v>5363</v>
      </c>
      <c r="E91" s="1584" t="s">
        <v>1870</v>
      </c>
      <c r="F91" s="1584" t="s">
        <v>389</v>
      </c>
      <c r="G91" s="1585">
        <v>41182</v>
      </c>
      <c r="H91" s="485"/>
      <c r="I91" s="1584" t="s">
        <v>1042</v>
      </c>
      <c r="J91" s="1584" t="s">
        <v>1734</v>
      </c>
      <c r="K91" s="1583">
        <v>2344</v>
      </c>
      <c r="L91" s="1584" t="s">
        <v>1871</v>
      </c>
      <c r="M91" s="1584" t="s">
        <v>1258</v>
      </c>
    </row>
    <row r="92" spans="4:13" ht="30">
      <c r="D92" s="1583">
        <v>5364</v>
      </c>
      <c r="E92" s="1584" t="s">
        <v>1872</v>
      </c>
      <c r="F92" s="1584" t="s">
        <v>394</v>
      </c>
      <c r="G92" s="1585">
        <v>41182</v>
      </c>
      <c r="H92" s="485"/>
      <c r="I92" s="1584" t="s">
        <v>1042</v>
      </c>
      <c r="J92" s="1584" t="s">
        <v>1734</v>
      </c>
      <c r="K92" s="1583">
        <v>2345</v>
      </c>
      <c r="L92" s="1584" t="s">
        <v>1873</v>
      </c>
      <c r="M92" s="1584" t="s">
        <v>1258</v>
      </c>
    </row>
    <row r="93" spans="4:13" ht="30">
      <c r="D93" s="1583">
        <v>5365</v>
      </c>
      <c r="E93" s="1584" t="s">
        <v>1874</v>
      </c>
      <c r="F93" s="1584" t="s">
        <v>400</v>
      </c>
      <c r="G93" s="1585">
        <v>41182</v>
      </c>
      <c r="H93" s="485"/>
      <c r="I93" s="1584" t="s">
        <v>1042</v>
      </c>
      <c r="J93" s="1584" t="s">
        <v>1734</v>
      </c>
      <c r="K93" s="1583">
        <v>2346</v>
      </c>
      <c r="L93" s="1584" t="s">
        <v>1875</v>
      </c>
      <c r="M93" s="1584" t="s">
        <v>1258</v>
      </c>
    </row>
    <row r="94" spans="4:13" ht="45">
      <c r="D94" s="1583">
        <v>5366</v>
      </c>
      <c r="E94" s="1584" t="s">
        <v>1876</v>
      </c>
      <c r="F94" s="1584" t="s">
        <v>187</v>
      </c>
      <c r="G94" s="1585">
        <v>41182</v>
      </c>
      <c r="H94" s="485"/>
      <c r="I94" s="1584" t="s">
        <v>1042</v>
      </c>
      <c r="J94" s="1584" t="s">
        <v>1734</v>
      </c>
      <c r="K94" s="1583">
        <v>2347</v>
      </c>
      <c r="L94" s="1584" t="s">
        <v>1877</v>
      </c>
      <c r="M94" s="1584" t="s">
        <v>1258</v>
      </c>
    </row>
    <row r="95" spans="4:13" ht="30">
      <c r="D95" s="1583">
        <v>5367</v>
      </c>
      <c r="E95" s="1584" t="s">
        <v>1878</v>
      </c>
      <c r="F95" s="1584" t="s">
        <v>9</v>
      </c>
      <c r="G95" s="1585">
        <v>40899</v>
      </c>
      <c r="H95" s="485"/>
      <c r="I95" s="1584" t="s">
        <v>1042</v>
      </c>
      <c r="J95" s="1584" t="s">
        <v>1734</v>
      </c>
      <c r="K95" s="1583">
        <v>2348</v>
      </c>
      <c r="L95" s="1584" t="s">
        <v>1879</v>
      </c>
      <c r="M95" s="1584" t="s">
        <v>1258</v>
      </c>
    </row>
    <row r="96" spans="4:13" ht="30">
      <c r="D96" s="1583">
        <v>5368</v>
      </c>
      <c r="E96" s="1584" t="s">
        <v>1880</v>
      </c>
      <c r="F96" s="1584" t="s">
        <v>405</v>
      </c>
      <c r="G96" s="1585">
        <v>41182</v>
      </c>
      <c r="H96" s="485"/>
      <c r="I96" s="1584" t="s">
        <v>1042</v>
      </c>
      <c r="J96" s="1584" t="s">
        <v>1734</v>
      </c>
      <c r="K96" s="1583">
        <v>2349</v>
      </c>
      <c r="L96" s="1584" t="s">
        <v>1881</v>
      </c>
      <c r="M96" s="1584" t="s">
        <v>1258</v>
      </c>
    </row>
    <row r="97" spans="4:13" ht="30">
      <c r="D97" s="1583">
        <v>5369</v>
      </c>
      <c r="E97" s="1584" t="s">
        <v>1882</v>
      </c>
      <c r="F97" s="1584" t="s">
        <v>410</v>
      </c>
      <c r="G97" s="1585">
        <v>41182</v>
      </c>
      <c r="H97" s="485"/>
      <c r="I97" s="1584" t="s">
        <v>1042</v>
      </c>
      <c r="J97" s="1584" t="s">
        <v>1734</v>
      </c>
      <c r="K97" s="1583">
        <v>2350</v>
      </c>
      <c r="L97" s="1584" t="s">
        <v>1883</v>
      </c>
      <c r="M97" s="1584" t="s">
        <v>1258</v>
      </c>
    </row>
    <row r="98" spans="4:13" ht="30">
      <c r="D98" s="1583">
        <v>5370</v>
      </c>
      <c r="E98" s="1584" t="s">
        <v>1884</v>
      </c>
      <c r="F98" s="1584" t="s">
        <v>188</v>
      </c>
      <c r="G98" s="1585">
        <v>41182</v>
      </c>
      <c r="H98" s="485"/>
      <c r="I98" s="1584" t="s">
        <v>1042</v>
      </c>
      <c r="J98" s="1584" t="s">
        <v>1734</v>
      </c>
      <c r="K98" s="1583">
        <v>2351</v>
      </c>
      <c r="L98" s="1584" t="s">
        <v>1885</v>
      </c>
      <c r="M98" s="1584" t="s">
        <v>1258</v>
      </c>
    </row>
    <row r="99" spans="4:13" ht="30">
      <c r="D99" s="1583">
        <v>5371</v>
      </c>
      <c r="E99" s="1584" t="s">
        <v>1886</v>
      </c>
      <c r="F99" s="1584" t="s">
        <v>419</v>
      </c>
      <c r="G99" s="1585">
        <v>41182</v>
      </c>
      <c r="H99" s="485"/>
      <c r="I99" s="1584" t="s">
        <v>1042</v>
      </c>
      <c r="J99" s="1584" t="s">
        <v>1734</v>
      </c>
      <c r="K99" s="1583">
        <v>2352</v>
      </c>
      <c r="L99" s="1584" t="s">
        <v>1887</v>
      </c>
      <c r="M99" s="1584" t="s">
        <v>1258</v>
      </c>
    </row>
    <row r="100" spans="4:13" ht="30">
      <c r="D100" s="1583">
        <v>5373</v>
      </c>
      <c r="E100" s="1584" t="s">
        <v>1888</v>
      </c>
      <c r="F100" s="1584" t="s">
        <v>426</v>
      </c>
      <c r="G100" s="1585">
        <v>41182</v>
      </c>
      <c r="H100" s="485"/>
      <c r="I100" s="1584" t="s">
        <v>1042</v>
      </c>
      <c r="J100" s="1584" t="s">
        <v>1734</v>
      </c>
      <c r="K100" s="1583">
        <v>2353</v>
      </c>
      <c r="L100" s="1584" t="s">
        <v>1889</v>
      </c>
      <c r="M100" s="1584" t="s">
        <v>1258</v>
      </c>
    </row>
    <row r="101" spans="4:13" ht="45">
      <c r="D101" s="1583">
        <v>5377</v>
      </c>
      <c r="E101" s="1584" t="s">
        <v>1890</v>
      </c>
      <c r="F101" s="1584" t="s">
        <v>370</v>
      </c>
      <c r="G101" s="1585">
        <v>41393</v>
      </c>
      <c r="H101" s="485"/>
      <c r="I101" s="1584" t="s">
        <v>1042</v>
      </c>
      <c r="J101" s="1584" t="s">
        <v>1734</v>
      </c>
      <c r="K101" s="1583">
        <v>2355</v>
      </c>
      <c r="L101" s="1584" t="s">
        <v>1891</v>
      </c>
      <c r="M101" s="1584" t="s">
        <v>1258</v>
      </c>
    </row>
    <row r="102" spans="4:13" ht="45">
      <c r="D102" s="1583">
        <v>5378</v>
      </c>
      <c r="E102" s="1584" t="s">
        <v>1892</v>
      </c>
      <c r="F102" s="1584" t="s">
        <v>302</v>
      </c>
      <c r="G102" s="1585">
        <v>41393</v>
      </c>
      <c r="H102" s="485"/>
      <c r="I102" s="1584" t="s">
        <v>1042</v>
      </c>
      <c r="J102" s="1584" t="s">
        <v>1734</v>
      </c>
      <c r="K102" s="1583">
        <v>2356</v>
      </c>
      <c r="L102" s="1584" t="s">
        <v>1893</v>
      </c>
      <c r="M102" s="1584" t="s">
        <v>1258</v>
      </c>
    </row>
    <row r="103" spans="4:13" ht="45">
      <c r="D103" s="1583">
        <v>5379</v>
      </c>
      <c r="E103" s="1584" t="s">
        <v>1894</v>
      </c>
      <c r="F103" s="1584" t="s">
        <v>338</v>
      </c>
      <c r="G103" s="1585">
        <v>41212</v>
      </c>
      <c r="H103" s="485"/>
      <c r="I103" s="1584" t="s">
        <v>1042</v>
      </c>
      <c r="J103" s="1584" t="s">
        <v>1734</v>
      </c>
      <c r="K103" s="1583">
        <v>2357</v>
      </c>
      <c r="L103" s="1584" t="s">
        <v>1895</v>
      </c>
      <c r="M103" s="1584" t="s">
        <v>1258</v>
      </c>
    </row>
    <row r="104" spans="4:13" ht="45">
      <c r="D104" s="1583">
        <v>5381</v>
      </c>
      <c r="E104" s="1584" t="s">
        <v>1896</v>
      </c>
      <c r="F104" s="1584" t="s">
        <v>279</v>
      </c>
      <c r="G104" s="1585">
        <v>41152</v>
      </c>
      <c r="H104" s="485"/>
      <c r="I104" s="1584" t="s">
        <v>1042</v>
      </c>
      <c r="J104" s="1584" t="s">
        <v>1734</v>
      </c>
      <c r="K104" s="1583">
        <v>2358</v>
      </c>
      <c r="L104" s="1584" t="s">
        <v>1897</v>
      </c>
      <c r="M104" s="1584" t="s">
        <v>1258</v>
      </c>
    </row>
    <row r="105" spans="4:13" ht="45">
      <c r="D105" s="1583">
        <v>5382</v>
      </c>
      <c r="E105" s="1584" t="s">
        <v>1898</v>
      </c>
      <c r="F105" s="1584" t="s">
        <v>308</v>
      </c>
      <c r="G105" s="1585">
        <v>41101</v>
      </c>
      <c r="H105" s="485"/>
      <c r="I105" s="1584" t="s">
        <v>1042</v>
      </c>
      <c r="J105" s="1584" t="s">
        <v>1734</v>
      </c>
      <c r="K105" s="1583">
        <v>2359</v>
      </c>
      <c r="L105" s="1584" t="s">
        <v>1899</v>
      </c>
      <c r="M105" s="1584" t="s">
        <v>1258</v>
      </c>
    </row>
    <row r="106" spans="4:13" ht="45">
      <c r="D106" s="1583">
        <v>5384</v>
      </c>
      <c r="E106" s="1584" t="s">
        <v>1900</v>
      </c>
      <c r="F106" s="1584" t="s">
        <v>328</v>
      </c>
      <c r="G106" s="1585">
        <v>41423</v>
      </c>
      <c r="H106" s="485"/>
      <c r="I106" s="1584" t="s">
        <v>1042</v>
      </c>
      <c r="J106" s="1584" t="s">
        <v>1734</v>
      </c>
      <c r="K106" s="1583">
        <v>2360</v>
      </c>
      <c r="L106" s="1584" t="s">
        <v>1901</v>
      </c>
      <c r="M106" s="1584" t="s">
        <v>1258</v>
      </c>
    </row>
    <row r="107" spans="4:13" ht="45">
      <c r="D107" s="1583">
        <v>5385</v>
      </c>
      <c r="E107" s="1584" t="s">
        <v>1902</v>
      </c>
      <c r="F107" s="1584" t="s">
        <v>332</v>
      </c>
      <c r="G107" s="1585">
        <v>41379</v>
      </c>
      <c r="H107" s="485"/>
      <c r="I107" s="1584" t="s">
        <v>1042</v>
      </c>
      <c r="J107" s="1584" t="s">
        <v>1734</v>
      </c>
      <c r="K107" s="1583">
        <v>2361</v>
      </c>
      <c r="L107" s="1584" t="s">
        <v>1903</v>
      </c>
      <c r="M107" s="1584" t="s">
        <v>1258</v>
      </c>
    </row>
    <row r="108" spans="4:13" ht="45">
      <c r="D108" s="1583">
        <v>5386</v>
      </c>
      <c r="E108" s="1584" t="s">
        <v>1904</v>
      </c>
      <c r="F108" s="1584" t="s">
        <v>296</v>
      </c>
      <c r="G108" s="1585">
        <v>41212</v>
      </c>
      <c r="H108" s="485"/>
      <c r="I108" s="1584" t="s">
        <v>1042</v>
      </c>
      <c r="J108" s="1584" t="s">
        <v>1734</v>
      </c>
      <c r="K108" s="1583">
        <v>2362</v>
      </c>
      <c r="L108" s="1584" t="s">
        <v>1905</v>
      </c>
      <c r="M108" s="1584" t="s">
        <v>1258</v>
      </c>
    </row>
    <row r="109" spans="4:13" ht="15" hidden="1">
      <c r="D109" s="1583">
        <v>5697</v>
      </c>
      <c r="E109" s="1584" t="s">
        <v>1906</v>
      </c>
      <c r="F109" s="1584" t="s">
        <v>190</v>
      </c>
      <c r="G109" s="1585">
        <v>41143</v>
      </c>
      <c r="H109" s="1586">
        <v>41128</v>
      </c>
      <c r="I109" s="1584" t="s">
        <v>1042</v>
      </c>
      <c r="J109" s="1584" t="s">
        <v>138</v>
      </c>
      <c r="K109" s="1583">
        <v>2382</v>
      </c>
      <c r="L109" s="1584" t="s">
        <v>1907</v>
      </c>
      <c r="M109" s="1584" t="s">
        <v>1714</v>
      </c>
    </row>
    <row r="110" spans="4:13" ht="30" hidden="1">
      <c r="D110" s="1583">
        <v>5707</v>
      </c>
      <c r="E110" s="1584" t="s">
        <v>1908</v>
      </c>
      <c r="F110" s="1584" t="s">
        <v>191</v>
      </c>
      <c r="G110" s="1585">
        <v>41235</v>
      </c>
      <c r="H110" s="1586">
        <v>41207</v>
      </c>
      <c r="I110" s="1584" t="s">
        <v>1042</v>
      </c>
      <c r="J110" s="1584" t="s">
        <v>138</v>
      </c>
      <c r="K110" s="1583">
        <v>2386</v>
      </c>
      <c r="L110" s="1584" t="s">
        <v>1909</v>
      </c>
      <c r="M110" s="1584" t="s">
        <v>1714</v>
      </c>
    </row>
    <row r="111" spans="4:13" ht="15" hidden="1">
      <c r="D111" s="1583">
        <v>6072</v>
      </c>
      <c r="E111" s="1584" t="s">
        <v>1910</v>
      </c>
      <c r="F111" s="1584" t="s">
        <v>1911</v>
      </c>
      <c r="G111" s="1585">
        <v>41204</v>
      </c>
      <c r="H111" s="1586">
        <v>41164</v>
      </c>
      <c r="I111" s="1584" t="s">
        <v>1042</v>
      </c>
      <c r="J111" s="1584" t="s">
        <v>138</v>
      </c>
      <c r="K111" s="1583">
        <v>2407</v>
      </c>
      <c r="L111" s="1584" t="s">
        <v>1912</v>
      </c>
      <c r="M111" s="1584" t="s">
        <v>1714</v>
      </c>
    </row>
    <row r="112" spans="4:13" ht="30" hidden="1">
      <c r="D112" s="1583">
        <v>6585</v>
      </c>
      <c r="E112" s="1584" t="s">
        <v>1913</v>
      </c>
      <c r="F112" s="1584" t="s">
        <v>193</v>
      </c>
      <c r="G112" s="1585">
        <v>41082</v>
      </c>
      <c r="H112" s="1586">
        <v>41078</v>
      </c>
      <c r="I112" s="1584" t="s">
        <v>1042</v>
      </c>
      <c r="J112" s="1584" t="s">
        <v>138</v>
      </c>
      <c r="K112" s="1583">
        <v>2444</v>
      </c>
      <c r="L112" s="1584" t="s">
        <v>1914</v>
      </c>
      <c r="M112" s="1584" t="s">
        <v>1714</v>
      </c>
    </row>
    <row r="113" spans="4:13" ht="30" hidden="1">
      <c r="D113" s="1583">
        <v>6587</v>
      </c>
      <c r="E113" s="1584" t="s">
        <v>1915</v>
      </c>
      <c r="F113" s="1584" t="s">
        <v>194</v>
      </c>
      <c r="G113" s="1585">
        <v>41021</v>
      </c>
      <c r="H113" s="485"/>
      <c r="I113" s="1584" t="s">
        <v>1042</v>
      </c>
      <c r="J113" s="1584" t="s">
        <v>138</v>
      </c>
      <c r="K113" s="1583">
        <v>2445</v>
      </c>
      <c r="L113" s="1584" t="s">
        <v>1916</v>
      </c>
      <c r="M113" s="1584" t="s">
        <v>1714</v>
      </c>
    </row>
    <row r="114" spans="4:13" ht="30" hidden="1">
      <c r="D114" s="1583">
        <v>6600</v>
      </c>
      <c r="E114" s="1584" t="s">
        <v>1917</v>
      </c>
      <c r="F114" s="1584" t="s">
        <v>195</v>
      </c>
      <c r="G114" s="1585">
        <v>41149</v>
      </c>
      <c r="H114" s="485"/>
      <c r="I114" s="1584" t="s">
        <v>1042</v>
      </c>
      <c r="J114" s="1584" t="s">
        <v>138</v>
      </c>
      <c r="K114" s="1583">
        <v>2452</v>
      </c>
      <c r="L114" s="1584" t="s">
        <v>1918</v>
      </c>
      <c r="M114" s="1584" t="s">
        <v>1714</v>
      </c>
    </row>
    <row r="115" spans="4:13" ht="60">
      <c r="D115" s="1583">
        <v>6609</v>
      </c>
      <c r="E115" s="1584" t="s">
        <v>1919</v>
      </c>
      <c r="F115" s="1584" t="s">
        <v>321</v>
      </c>
      <c r="G115" s="1585">
        <v>41411</v>
      </c>
      <c r="H115" s="485"/>
      <c r="I115" s="1584" t="s">
        <v>1042</v>
      </c>
      <c r="J115" s="1584" t="s">
        <v>1734</v>
      </c>
      <c r="K115" s="1583">
        <v>2455</v>
      </c>
      <c r="L115" s="1584" t="s">
        <v>1920</v>
      </c>
      <c r="M115" s="1584" t="s">
        <v>1258</v>
      </c>
    </row>
    <row r="116" spans="4:13" ht="45">
      <c r="D116" s="1583">
        <v>6610</v>
      </c>
      <c r="E116" s="1584" t="s">
        <v>1921</v>
      </c>
      <c r="F116" s="1584" t="s">
        <v>315</v>
      </c>
      <c r="G116" s="1585">
        <v>41243</v>
      </c>
      <c r="H116" s="485"/>
      <c r="I116" s="1584" t="s">
        <v>1042</v>
      </c>
      <c r="J116" s="1584" t="s">
        <v>1734</v>
      </c>
      <c r="K116" s="1583">
        <v>2456</v>
      </c>
      <c r="L116" s="1584" t="s">
        <v>1922</v>
      </c>
      <c r="M116" s="1584" t="s">
        <v>1258</v>
      </c>
    </row>
    <row r="117" spans="4:13" ht="30" hidden="1">
      <c r="D117" s="1583">
        <v>6611</v>
      </c>
      <c r="E117" s="1584" t="s">
        <v>1923</v>
      </c>
      <c r="F117" s="1584" t="s">
        <v>197</v>
      </c>
      <c r="G117" s="1585">
        <v>40943</v>
      </c>
      <c r="H117" s="485"/>
      <c r="I117" s="1584" t="s">
        <v>1042</v>
      </c>
      <c r="J117" s="1584" t="s">
        <v>138</v>
      </c>
      <c r="K117" s="1583">
        <v>2457</v>
      </c>
      <c r="L117" s="1584" t="s">
        <v>1924</v>
      </c>
      <c r="M117" s="1584" t="s">
        <v>1714</v>
      </c>
    </row>
    <row r="118" spans="4:13" ht="30" hidden="1">
      <c r="D118" s="1583">
        <v>6612</v>
      </c>
      <c r="E118" s="1584" t="s">
        <v>1925</v>
      </c>
      <c r="F118" s="1584" t="s">
        <v>198</v>
      </c>
      <c r="G118" s="1585">
        <v>41082</v>
      </c>
      <c r="H118" s="1586">
        <v>41078</v>
      </c>
      <c r="I118" s="1584" t="s">
        <v>1042</v>
      </c>
      <c r="J118" s="1584" t="s">
        <v>1734</v>
      </c>
      <c r="K118" s="1583">
        <v>2458</v>
      </c>
      <c r="L118" s="1584" t="s">
        <v>1926</v>
      </c>
      <c r="M118" s="1584" t="s">
        <v>1714</v>
      </c>
    </row>
    <row r="119" spans="4:13" ht="30">
      <c r="D119" s="1583">
        <v>6896</v>
      </c>
      <c r="E119" s="1584" t="s">
        <v>1927</v>
      </c>
      <c r="F119" s="1584" t="s">
        <v>314</v>
      </c>
      <c r="G119" s="1585">
        <v>41182</v>
      </c>
      <c r="H119" s="485"/>
      <c r="I119" s="1584" t="s">
        <v>1042</v>
      </c>
      <c r="J119" s="1584" t="s">
        <v>1734</v>
      </c>
      <c r="K119" s="1583">
        <v>2479</v>
      </c>
      <c r="L119" s="1584" t="s">
        <v>1928</v>
      </c>
      <c r="M119" s="1584" t="s">
        <v>1258</v>
      </c>
    </row>
    <row r="120" spans="4:13" ht="45">
      <c r="D120" s="1583">
        <v>6897</v>
      </c>
      <c r="E120" s="1584" t="s">
        <v>1929</v>
      </c>
      <c r="F120" s="1584" t="s">
        <v>1930</v>
      </c>
      <c r="G120" s="1585">
        <v>41182</v>
      </c>
      <c r="H120" s="485"/>
      <c r="I120" s="1584" t="s">
        <v>1042</v>
      </c>
      <c r="J120" s="1584" t="s">
        <v>1734</v>
      </c>
      <c r="K120" s="1583">
        <v>2480</v>
      </c>
      <c r="L120" s="1584" t="s">
        <v>1931</v>
      </c>
      <c r="M120" s="1584" t="s">
        <v>1258</v>
      </c>
    </row>
    <row r="121" spans="4:13" ht="30">
      <c r="D121" s="1583">
        <v>6898</v>
      </c>
      <c r="E121" s="1584" t="s">
        <v>1932</v>
      </c>
      <c r="F121" s="1584" t="s">
        <v>360</v>
      </c>
      <c r="G121" s="1585">
        <v>41182</v>
      </c>
      <c r="H121" s="485"/>
      <c r="I121" s="1584" t="s">
        <v>1042</v>
      </c>
      <c r="J121" s="1584" t="s">
        <v>1734</v>
      </c>
      <c r="K121" s="1583">
        <v>2481</v>
      </c>
      <c r="L121" s="1584" t="s">
        <v>1933</v>
      </c>
      <c r="M121" s="1584" t="s">
        <v>1258</v>
      </c>
    </row>
    <row r="122" spans="4:13" ht="30">
      <c r="D122" s="1583">
        <v>7016</v>
      </c>
      <c r="E122" s="1584" t="s">
        <v>1934</v>
      </c>
      <c r="F122" s="1584" t="s">
        <v>431</v>
      </c>
      <c r="G122" s="1585">
        <v>41182</v>
      </c>
      <c r="H122" s="485"/>
      <c r="I122" s="1584" t="s">
        <v>1042</v>
      </c>
      <c r="J122" s="1584" t="s">
        <v>1734</v>
      </c>
      <c r="K122" s="1583">
        <v>2496</v>
      </c>
      <c r="L122" s="1584" t="s">
        <v>1935</v>
      </c>
      <c r="M122" s="1584" t="s">
        <v>1258</v>
      </c>
    </row>
    <row r="123" spans="4:13" ht="30" hidden="1">
      <c r="D123" s="1583">
        <v>7019</v>
      </c>
      <c r="E123" s="1584" t="s">
        <v>1936</v>
      </c>
      <c r="F123" s="1584" t="s">
        <v>200</v>
      </c>
      <c r="G123" s="1585">
        <v>41214</v>
      </c>
      <c r="H123" s="1586">
        <v>41214</v>
      </c>
      <c r="I123" s="1584" t="s">
        <v>1042</v>
      </c>
      <c r="J123" s="1584" t="s">
        <v>138</v>
      </c>
      <c r="K123" s="1583">
        <v>2497</v>
      </c>
      <c r="L123" s="1584" t="s">
        <v>1937</v>
      </c>
      <c r="M123" s="1584" t="s">
        <v>1714</v>
      </c>
    </row>
    <row r="124" spans="4:13" ht="30">
      <c r="D124" s="1583">
        <v>7371</v>
      </c>
      <c r="E124" s="1584" t="s">
        <v>1938</v>
      </c>
      <c r="F124" s="1584" t="s">
        <v>201</v>
      </c>
      <c r="G124" s="1585">
        <v>41485</v>
      </c>
      <c r="H124" s="485"/>
      <c r="I124" s="1584" t="s">
        <v>1042</v>
      </c>
      <c r="J124" s="1584" t="s">
        <v>1734</v>
      </c>
      <c r="K124" s="1583">
        <v>2527</v>
      </c>
      <c r="L124" s="1584" t="s">
        <v>1939</v>
      </c>
      <c r="M124" s="1584" t="s">
        <v>1258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6" customWidth="1"/>
    <col min="2" max="2" width="47.140625" style="436" bestFit="1" customWidth="1"/>
    <col min="3" max="3" width="27" style="436" customWidth="1"/>
    <col min="4" max="4" width="34.7109375" style="436" bestFit="1" customWidth="1"/>
    <col min="5" max="5" width="15" style="436" bestFit="1" customWidth="1"/>
    <col min="6" max="6" width="43.28515625" style="436" bestFit="1" customWidth="1"/>
    <col min="7" max="7" width="15.140625" style="436" bestFit="1" customWidth="1"/>
    <col min="8" max="16384" width="9.140625" style="436"/>
  </cols>
  <sheetData>
    <row r="1" spans="2:7">
      <c r="C1" s="437"/>
      <c r="D1" s="438"/>
    </row>
    <row r="3" spans="2:7">
      <c r="B3" s="439" t="s">
        <v>1940</v>
      </c>
      <c r="G3" s="437" t="s">
        <v>1941</v>
      </c>
    </row>
    <row r="4" spans="2:7">
      <c r="B4" s="448" t="s">
        <v>1942</v>
      </c>
      <c r="C4" s="448" t="s">
        <v>1943</v>
      </c>
      <c r="D4" s="448" t="s">
        <v>935</v>
      </c>
      <c r="E4" s="437"/>
      <c r="F4" s="1587" t="s">
        <v>1944</v>
      </c>
      <c r="G4" s="1588" t="e">
        <f>(C10*G7)/G5</f>
        <v>#REF!</v>
      </c>
    </row>
    <row r="5" spans="2:7">
      <c r="B5" s="1589" t="s">
        <v>1945</v>
      </c>
      <c r="C5" s="1590"/>
      <c r="D5" s="1591"/>
      <c r="F5" s="1587" t="s">
        <v>1946</v>
      </c>
      <c r="G5" s="1592" t="e">
        <f>(((1+C7)^G6)*C7)/(((1+C7)^G6)-1)</f>
        <v>#REF!</v>
      </c>
    </row>
    <row r="6" spans="2:7">
      <c r="B6" s="1589" t="s">
        <v>1947</v>
      </c>
      <c r="C6" s="1590"/>
      <c r="D6" s="1591"/>
      <c r="F6" s="1587" t="s">
        <v>1948</v>
      </c>
      <c r="G6" s="1593" t="e">
        <f>G7/(C8*C9)</f>
        <v>#REF!</v>
      </c>
    </row>
    <row r="7" spans="2:7">
      <c r="B7" s="1589" t="s">
        <v>1949</v>
      </c>
      <c r="C7" s="1594">
        <f>'BD-NET'!Q182</f>
        <v>9.9699999999999997E-2</v>
      </c>
      <c r="D7" s="1591"/>
      <c r="F7" s="1587" t="s">
        <v>1950</v>
      </c>
      <c r="G7" s="1595">
        <f>12*(20000*C6+10000*C5)</f>
        <v>0</v>
      </c>
    </row>
    <row r="8" spans="2:7">
      <c r="B8" s="1589" t="s">
        <v>1951</v>
      </c>
      <c r="C8" s="1596" t="e">
        <f>C24</f>
        <v>#REF!</v>
      </c>
      <c r="D8" s="1597" t="s">
        <v>1952</v>
      </c>
    </row>
    <row r="9" spans="2:7">
      <c r="B9" s="1589" t="s">
        <v>1953</v>
      </c>
      <c r="C9" s="1598"/>
      <c r="D9" s="1591"/>
    </row>
    <row r="10" spans="2:7">
      <c r="B10" s="1589" t="s">
        <v>1954</v>
      </c>
      <c r="C10" s="1599" t="e">
        <f>F14</f>
        <v>#REF!</v>
      </c>
      <c r="D10" s="1591"/>
    </row>
    <row r="12" spans="2:7">
      <c r="B12" s="448" t="s">
        <v>1955</v>
      </c>
      <c r="C12" s="448" t="s">
        <v>801</v>
      </c>
      <c r="D12" s="448" t="s">
        <v>1956</v>
      </c>
      <c r="E12" s="448" t="s">
        <v>1957</v>
      </c>
      <c r="F12" s="448" t="s">
        <v>1958</v>
      </c>
    </row>
    <row r="13" spans="2:7" ht="13.5" thickBot="1">
      <c r="B13" s="1589" t="s">
        <v>1959</v>
      </c>
      <c r="C13" s="1600" t="e">
        <f>C38</f>
        <v>#REF!</v>
      </c>
      <c r="D13" s="1589"/>
      <c r="E13" s="1589"/>
      <c r="F13" s="1601"/>
    </row>
    <row r="14" spans="2:7" ht="13.5" thickBot="1">
      <c r="B14" s="1589" t="s">
        <v>1960</v>
      </c>
      <c r="C14" s="1600" t="e">
        <f>(C32+E55)*($C$38/$C$35)</f>
        <v>#REF!</v>
      </c>
      <c r="D14" s="1602" t="e">
        <f>$C$17*(C14/($C$14+$C$15+$C$16))</f>
        <v>#REF!</v>
      </c>
      <c r="E14" s="1603" t="e">
        <f>C14-D14</f>
        <v>#REF!</v>
      </c>
      <c r="F14" s="471" t="e">
        <f>E14/$C$13</f>
        <v>#REF!</v>
      </c>
      <c r="G14" s="472" t="s">
        <v>1961</v>
      </c>
    </row>
    <row r="15" spans="2:7">
      <c r="B15" s="1589" t="s">
        <v>1962</v>
      </c>
      <c r="C15" s="1600" t="e">
        <f>C27*($C$38/$C$35)</f>
        <v>#REF!</v>
      </c>
      <c r="D15" s="1602" t="e">
        <f>$C$17*(C15/($C$14+$C$15+$C$16))</f>
        <v>#REF!</v>
      </c>
      <c r="E15" s="1602" t="e">
        <f>C15-D15</f>
        <v>#REF!</v>
      </c>
      <c r="F15" s="1604" t="e">
        <f>E15/$C$13</f>
        <v>#REF!</v>
      </c>
    </row>
    <row r="16" spans="2:7">
      <c r="B16" s="1589" t="s">
        <v>1963</v>
      </c>
      <c r="C16" s="1600" t="e">
        <f>(C33+D54)*($C$38/$C$35)</f>
        <v>#REF!</v>
      </c>
      <c r="D16" s="1602" t="e">
        <f>$C$17*(C16/($C$14+$C$15+$C$16))</f>
        <v>#REF!</v>
      </c>
      <c r="E16" s="1602" t="e">
        <f>C16-D16</f>
        <v>#REF!</v>
      </c>
      <c r="F16" s="1605" t="e">
        <f>E16/$C$13</f>
        <v>#REF!</v>
      </c>
    </row>
    <row r="17" spans="2:6">
      <c r="B17" s="1589" t="s">
        <v>1964</v>
      </c>
      <c r="C17" s="1600" t="e">
        <f>C39</f>
        <v>#REF!</v>
      </c>
      <c r="D17" s="1589"/>
      <c r="E17" s="1589"/>
      <c r="F17" s="1606" t="e">
        <f>C17/C13</f>
        <v>#REF!</v>
      </c>
    </row>
    <row r="18" spans="2:6">
      <c r="D18" s="453" t="e">
        <f>SUM(D14:D17)</f>
        <v>#REF!</v>
      </c>
      <c r="F18" s="1607" t="e">
        <f>SUM(F14:F17)</f>
        <v>#REF!</v>
      </c>
    </row>
    <row r="19" spans="2:6">
      <c r="B19" s="444" t="s">
        <v>1965</v>
      </c>
    </row>
    <row r="20" spans="2:6">
      <c r="B20" s="444"/>
    </row>
    <row r="21" spans="2:6">
      <c r="B21" s="1608" t="s">
        <v>1966</v>
      </c>
      <c r="C21" s="1609" t="e">
        <f>LnkTxtPBCAOMCAA</f>
        <v>#NAME?</v>
      </c>
    </row>
    <row r="22" spans="2:6">
      <c r="B22" s="445" t="s">
        <v>1967</v>
      </c>
      <c r="C22" s="446">
        <v>1.15E-2</v>
      </c>
    </row>
    <row r="23" spans="2:6">
      <c r="B23" s="445" t="s">
        <v>1968</v>
      </c>
      <c r="C23" s="446">
        <v>0</v>
      </c>
    </row>
    <row r="24" spans="2:6">
      <c r="B24" s="1608" t="s">
        <v>1969</v>
      </c>
      <c r="C24" s="1609" t="e">
        <f>#REF!+#REF!</f>
        <v>#REF!</v>
      </c>
    </row>
    <row r="27" spans="2:6">
      <c r="B27" s="1608" t="s">
        <v>1970</v>
      </c>
      <c r="C27" s="1609" t="e">
        <f>#REF!</f>
        <v>#REF!</v>
      </c>
    </row>
    <row r="28" spans="2:6">
      <c r="B28" s="445" t="s">
        <v>1971</v>
      </c>
      <c r="C28" s="451" t="e">
        <f>#REF!</f>
        <v>#REF!</v>
      </c>
    </row>
    <row r="29" spans="2:6">
      <c r="B29" s="445" t="s">
        <v>1972</v>
      </c>
      <c r="C29" s="451"/>
    </row>
    <row r="30" spans="2:6">
      <c r="B30" s="445" t="s">
        <v>1973</v>
      </c>
      <c r="C30" s="451" t="e">
        <f>#REF!</f>
        <v>#REF!</v>
      </c>
    </row>
    <row r="31" spans="2:6">
      <c r="B31" s="1608" t="s">
        <v>1974</v>
      </c>
      <c r="C31" s="1609" t="e">
        <f>#REF!</f>
        <v>#REF!</v>
      </c>
    </row>
    <row r="32" spans="2:6">
      <c r="B32" s="445" t="s">
        <v>1975</v>
      </c>
      <c r="C32" s="451" t="e">
        <f>#REF!</f>
        <v>#REF!</v>
      </c>
    </row>
    <row r="33" spans="2:4">
      <c r="B33" s="445" t="s">
        <v>1976</v>
      </c>
      <c r="C33" s="451" t="e">
        <f>#REF!</f>
        <v>#REF!</v>
      </c>
    </row>
    <row r="34" spans="2:4">
      <c r="B34" s="445" t="s">
        <v>1977</v>
      </c>
      <c r="C34" s="451" t="e">
        <f>#REF!</f>
        <v>#REF!</v>
      </c>
    </row>
    <row r="35" spans="2:4">
      <c r="B35" s="1608" t="s">
        <v>1966</v>
      </c>
      <c r="C35" s="1609" t="e">
        <f>C21</f>
        <v>#NAME?</v>
      </c>
    </row>
    <row r="36" spans="2:4">
      <c r="B36" s="445" t="s">
        <v>1967</v>
      </c>
      <c r="C36" s="446">
        <f>C22</f>
        <v>1.15E-2</v>
      </c>
    </row>
    <row r="37" spans="2:4">
      <c r="B37" s="445" t="s">
        <v>1968</v>
      </c>
      <c r="C37" s="446">
        <f>C23</f>
        <v>0</v>
      </c>
    </row>
    <row r="38" spans="2:4">
      <c r="B38" s="1608" t="s">
        <v>1969</v>
      </c>
      <c r="C38" s="1609" t="e">
        <f>C24</f>
        <v>#REF!</v>
      </c>
    </row>
    <row r="39" spans="2:4">
      <c r="B39" s="445" t="s">
        <v>1978</v>
      </c>
      <c r="C39" s="451" t="e">
        <f>#REF!</f>
        <v>#REF!</v>
      </c>
    </row>
    <row r="40" spans="2:4">
      <c r="B40" s="1610" t="s">
        <v>1979</v>
      </c>
      <c r="C40" s="1611" t="e">
        <f>#REF!</f>
        <v>#REF!</v>
      </c>
    </row>
    <row r="42" spans="2:4" ht="15" customHeight="1"/>
    <row r="43" spans="2:4">
      <c r="B43" s="444"/>
    </row>
    <row r="45" spans="2:4">
      <c r="B45" s="462"/>
      <c r="C45" s="462"/>
      <c r="D45" s="465"/>
    </row>
    <row r="46" spans="2:4">
      <c r="B46" s="463"/>
      <c r="C46" s="463"/>
    </row>
    <row r="47" spans="2:4">
      <c r="B47" s="65"/>
      <c r="C47" s="464"/>
      <c r="D47" s="466"/>
    </row>
    <row r="48" spans="2:4">
      <c r="B48" s="65"/>
      <c r="C48" s="464"/>
      <c r="D48" s="466"/>
    </row>
    <row r="49" spans="2:6">
      <c r="B49" s="65"/>
      <c r="C49" s="464"/>
      <c r="D49" s="466"/>
    </row>
    <row r="50" spans="2:6">
      <c r="B50" s="65"/>
      <c r="C50" s="464"/>
      <c r="D50" s="455"/>
    </row>
    <row r="51" spans="2:6">
      <c r="B51" s="65"/>
      <c r="C51" s="464"/>
      <c r="D51" s="467"/>
      <c r="E51" s="455"/>
    </row>
    <row r="52" spans="2:6">
      <c r="B52" s="65"/>
      <c r="C52" s="464"/>
      <c r="D52" s="467"/>
      <c r="E52" s="456"/>
      <c r="F52" s="457"/>
    </row>
    <row r="53" spans="2:6">
      <c r="B53" s="65"/>
      <c r="C53" s="464"/>
      <c r="D53" s="467"/>
      <c r="E53" s="456"/>
      <c r="F53" s="454"/>
    </row>
    <row r="54" spans="2:6">
      <c r="B54" s="468"/>
      <c r="C54" s="469"/>
      <c r="D54" s="470"/>
      <c r="E54" s="456"/>
      <c r="F54" s="454"/>
    </row>
    <row r="55" spans="2:6">
      <c r="E55" s="458"/>
      <c r="F55" s="45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6" customWidth="1"/>
    <col min="2" max="2" width="33.28515625" style="436" customWidth="1"/>
    <col min="3" max="3" width="21" style="436" customWidth="1"/>
    <col min="4" max="4" width="31.7109375" style="436" bestFit="1" customWidth="1"/>
    <col min="5" max="5" width="48.140625" style="436" customWidth="1"/>
    <col min="6" max="6" width="45.5703125" style="436" customWidth="1"/>
    <col min="7" max="7" width="7.7109375" style="436" customWidth="1"/>
    <col min="8" max="8" width="30.42578125" style="436" bestFit="1" customWidth="1"/>
    <col min="9" max="10" width="9.140625" style="436"/>
    <col min="11" max="11" width="11.140625" style="436" customWidth="1"/>
    <col min="12" max="16384" width="9.140625" style="436"/>
  </cols>
  <sheetData>
    <row r="1" spans="2:17">
      <c r="C1" s="437"/>
      <c r="D1" s="438"/>
    </row>
    <row r="2" spans="2:17">
      <c r="B2" s="439" t="s">
        <v>1980</v>
      </c>
      <c r="C2" s="440"/>
      <c r="H2" s="441" t="s">
        <v>1981</v>
      </c>
    </row>
    <row r="3" spans="2:17">
      <c r="B3" s="1612" t="s">
        <v>1942</v>
      </c>
      <c r="C3" s="1612" t="s">
        <v>1943</v>
      </c>
      <c r="D3" s="1613" t="s">
        <v>935</v>
      </c>
      <c r="E3" s="1613" t="s">
        <v>1982</v>
      </c>
      <c r="F3" s="1613" t="s">
        <v>1983</v>
      </c>
      <c r="H3" s="441" t="s">
        <v>1984</v>
      </c>
      <c r="M3" s="436" t="s">
        <v>1985</v>
      </c>
      <c r="O3" s="436" t="s">
        <v>1985</v>
      </c>
      <c r="P3" s="436" t="s">
        <v>1985</v>
      </c>
    </row>
    <row r="4" spans="2:17">
      <c r="B4" s="1614" t="s">
        <v>1986</v>
      </c>
      <c r="C4" s="1615" t="e">
        <f>12*C5*(1-$E$13)*1/$E$16</f>
        <v>#DIV/0!</v>
      </c>
      <c r="D4" s="1591" t="s">
        <v>1987</v>
      </c>
      <c r="E4" s="1591"/>
      <c r="F4" s="1591"/>
      <c r="H4" s="1612" t="s">
        <v>1988</v>
      </c>
      <c r="I4" s="1612" t="s">
        <v>1989</v>
      </c>
      <c r="J4" s="1612" t="s">
        <v>1990</v>
      </c>
      <c r="K4" s="1612" t="s">
        <v>1991</v>
      </c>
      <c r="L4" s="1612" t="s">
        <v>1992</v>
      </c>
      <c r="M4" s="1612" t="s">
        <v>976</v>
      </c>
      <c r="N4" s="1612" t="s">
        <v>595</v>
      </c>
      <c r="O4" s="1612" t="s">
        <v>599</v>
      </c>
      <c r="P4" s="1612" t="s">
        <v>597</v>
      </c>
      <c r="Q4" s="1612" t="s">
        <v>600</v>
      </c>
    </row>
    <row r="5" spans="2:17">
      <c r="B5" s="1614" t="s">
        <v>1947</v>
      </c>
      <c r="C5" s="1616"/>
      <c r="D5" s="1591"/>
      <c r="E5" s="1591"/>
      <c r="F5" s="1591" t="s">
        <v>1993</v>
      </c>
      <c r="H5" s="1614" t="s">
        <v>1986</v>
      </c>
      <c r="I5" s="1615" t="e">
        <f t="shared" ref="I5:Q5" si="0">12*I6*(1-$E$13)*1/$E$16</f>
        <v>#DIV/0!</v>
      </c>
      <c r="J5" s="1615" t="e">
        <f t="shared" si="0"/>
        <v>#DIV/0!</v>
      </c>
      <c r="K5" s="1615" t="e">
        <f t="shared" si="0"/>
        <v>#DIV/0!</v>
      </c>
      <c r="L5" s="1615" t="e">
        <f t="shared" si="0"/>
        <v>#DIV/0!</v>
      </c>
      <c r="M5" s="1615" t="e">
        <f t="shared" si="0"/>
        <v>#DIV/0!</v>
      </c>
      <c r="N5" s="1615" t="e">
        <f t="shared" si="0"/>
        <v>#DIV/0!</v>
      </c>
      <c r="O5" s="1615" t="e">
        <f t="shared" si="0"/>
        <v>#DIV/0!</v>
      </c>
      <c r="P5" s="1615" t="e">
        <f t="shared" si="0"/>
        <v>#DIV/0!</v>
      </c>
      <c r="Q5" s="1615" t="e">
        <f t="shared" si="0"/>
        <v>#DIV/0!</v>
      </c>
    </row>
    <row r="6" spans="2:17">
      <c r="B6" s="1614" t="s">
        <v>1994</v>
      </c>
      <c r="C6" s="1617"/>
      <c r="D6" s="1591" t="s">
        <v>1995</v>
      </c>
      <c r="E6" s="1591"/>
      <c r="F6" s="1618"/>
      <c r="H6" s="1614" t="s">
        <v>1947</v>
      </c>
      <c r="I6" s="1619"/>
      <c r="J6" s="1619"/>
      <c r="K6" s="1619"/>
      <c r="L6" s="1619"/>
      <c r="M6" s="1590"/>
      <c r="N6" s="1620"/>
      <c r="O6" s="1590"/>
      <c r="P6" s="1590"/>
      <c r="Q6" s="1590"/>
    </row>
    <row r="7" spans="2:17">
      <c r="B7" s="1614" t="s">
        <v>1996</v>
      </c>
      <c r="C7" s="1617"/>
      <c r="D7" s="1591" t="s">
        <v>1997</v>
      </c>
      <c r="E7" s="1591"/>
      <c r="F7" s="1618"/>
      <c r="H7" s="1614" t="s">
        <v>1994</v>
      </c>
      <c r="I7" s="1778">
        <f>C6</f>
        <v>0</v>
      </c>
      <c r="J7" s="1779"/>
      <c r="K7" s="1779"/>
      <c r="L7" s="1779"/>
      <c r="M7" s="1779"/>
      <c r="N7" s="1779"/>
      <c r="O7" s="1779"/>
      <c r="P7" s="1779"/>
      <c r="Q7" s="1780"/>
    </row>
    <row r="8" spans="2:17">
      <c r="B8" s="1614" t="s">
        <v>1998</v>
      </c>
      <c r="C8" s="1621"/>
      <c r="D8" s="1591" t="s">
        <v>1999</v>
      </c>
      <c r="E8" s="1591" t="s">
        <v>2000</v>
      </c>
      <c r="F8" s="1622"/>
      <c r="G8" s="442"/>
      <c r="H8" s="1614" t="s">
        <v>1998</v>
      </c>
      <c r="I8" s="1781">
        <f>C8</f>
        <v>0</v>
      </c>
      <c r="J8" s="1782"/>
      <c r="K8" s="1782"/>
      <c r="L8" s="1782"/>
      <c r="M8" s="1782"/>
      <c r="N8" s="1782"/>
      <c r="O8" s="1782"/>
      <c r="P8" s="1782"/>
      <c r="Q8" s="1783"/>
    </row>
    <row r="9" spans="2:17">
      <c r="B9" s="1614" t="s">
        <v>2001</v>
      </c>
      <c r="C9" s="1617"/>
      <c r="D9" s="1591" t="s">
        <v>2002</v>
      </c>
      <c r="E9" s="1591"/>
      <c r="F9" s="1622"/>
      <c r="H9" s="1614" t="s">
        <v>2001</v>
      </c>
      <c r="I9" s="1778">
        <f>C9</f>
        <v>0</v>
      </c>
      <c r="J9" s="1779"/>
      <c r="K9" s="1779"/>
      <c r="L9" s="1779"/>
      <c r="M9" s="1779"/>
      <c r="N9" s="1779"/>
      <c r="O9" s="1779"/>
      <c r="P9" s="1779"/>
      <c r="Q9" s="1780"/>
    </row>
    <row r="10" spans="2:17">
      <c r="B10" s="1614" t="s">
        <v>2003</v>
      </c>
      <c r="C10" s="1621"/>
      <c r="D10" s="1591" t="s">
        <v>2004</v>
      </c>
      <c r="E10" s="1591" t="s">
        <v>2005</v>
      </c>
      <c r="F10" s="1622"/>
      <c r="G10" s="442"/>
      <c r="H10" s="1614" t="s">
        <v>2003</v>
      </c>
      <c r="I10" s="1784">
        <f>C10</f>
        <v>0</v>
      </c>
      <c r="J10" s="1785"/>
      <c r="K10" s="1785"/>
      <c r="L10" s="1785"/>
      <c r="M10" s="1785"/>
      <c r="N10" s="1785"/>
      <c r="O10" s="1785"/>
      <c r="P10" s="1785"/>
      <c r="Q10" s="1786"/>
    </row>
    <row r="12" spans="2:17">
      <c r="D12" s="439" t="s">
        <v>2006</v>
      </c>
    </row>
    <row r="13" spans="2:17">
      <c r="D13" s="1587" t="s">
        <v>2007</v>
      </c>
      <c r="E13" s="1623" t="e">
        <f>C10/C8</f>
        <v>#DIV/0!</v>
      </c>
      <c r="H13" s="441" t="s">
        <v>2008</v>
      </c>
      <c r="M13" s="443">
        <v>4.2321999999999997</v>
      </c>
    </row>
    <row r="14" spans="2:17">
      <c r="D14" s="1587" t="s">
        <v>2009</v>
      </c>
      <c r="E14" s="1624" t="e">
        <f>1/C9</f>
        <v>#DIV/0!</v>
      </c>
      <c r="H14" s="441" t="s">
        <v>2010</v>
      </c>
      <c r="M14" s="436">
        <v>1.01916916988504</v>
      </c>
    </row>
    <row r="15" spans="2:17">
      <c r="D15" s="1587" t="s">
        <v>2011</v>
      </c>
      <c r="E15" s="1625">
        <f>ROUND(C6/(1-C7),4)</f>
        <v>0</v>
      </c>
      <c r="H15" s="441" t="s">
        <v>2012</v>
      </c>
      <c r="M15" s="436">
        <f>M13*M14</f>
        <v>4.313327760787466</v>
      </c>
    </row>
    <row r="16" spans="2:17">
      <c r="D16" s="1587" t="s">
        <v>1946</v>
      </c>
      <c r="E16" s="1626" t="e">
        <f>(((1+E15)^E14)*E15)/((1+E15)^E14-1)</f>
        <v>#DIV/0!</v>
      </c>
      <c r="H16" s="441" t="s">
        <v>2013</v>
      </c>
      <c r="M16" s="436">
        <v>0.3</v>
      </c>
    </row>
    <row r="17" spans="2:13">
      <c r="H17" s="441" t="s">
        <v>2014</v>
      </c>
      <c r="M17" s="436">
        <v>0.4</v>
      </c>
    </row>
    <row r="18" spans="2:13">
      <c r="H18" s="441" t="s">
        <v>2015</v>
      </c>
      <c r="M18" s="436">
        <v>0</v>
      </c>
    </row>
    <row r="20" spans="2:13">
      <c r="B20" s="1608" t="s">
        <v>1966</v>
      </c>
      <c r="C20" s="1609" t="e">
        <f>'REN 473'!C21</f>
        <v>#NAME?</v>
      </c>
      <c r="E20" s="444" t="s">
        <v>2016</v>
      </c>
      <c r="F20" s="444"/>
    </row>
    <row r="21" spans="2:13">
      <c r="B21" s="445" t="s">
        <v>1967</v>
      </c>
      <c r="C21" s="446">
        <f>'REN 473'!C22</f>
        <v>1.15E-2</v>
      </c>
      <c r="E21" s="447" t="s">
        <v>854</v>
      </c>
      <c r="F21" s="448" t="s">
        <v>37</v>
      </c>
    </row>
    <row r="22" spans="2:13">
      <c r="B22" s="445" t="s">
        <v>1968</v>
      </c>
      <c r="C22" s="446">
        <f>'REN 473'!C23</f>
        <v>0</v>
      </c>
      <c r="E22" s="449" t="s">
        <v>2017</v>
      </c>
      <c r="F22" s="450"/>
    </row>
    <row r="23" spans="2:13">
      <c r="B23" s="1608" t="s">
        <v>1969</v>
      </c>
      <c r="C23" s="1609" t="e">
        <f>'REN 473'!C24</f>
        <v>#REF!</v>
      </c>
      <c r="E23" s="449" t="s">
        <v>2018</v>
      </c>
      <c r="F23" s="450"/>
    </row>
    <row r="24" spans="2:13">
      <c r="E24" s="449" t="s">
        <v>2019</v>
      </c>
      <c r="F24" s="450"/>
    </row>
    <row r="25" spans="2:13">
      <c r="B25" s="1608" t="s">
        <v>1970</v>
      </c>
      <c r="C25" s="1627"/>
      <c r="E25" s="449" t="s">
        <v>2020</v>
      </c>
      <c r="F25" s="450"/>
    </row>
    <row r="26" spans="2:13">
      <c r="B26" s="445" t="s">
        <v>1971</v>
      </c>
      <c r="C26" s="473"/>
      <c r="E26" s="1628" t="s">
        <v>2021</v>
      </c>
      <c r="F26" s="1629"/>
    </row>
    <row r="27" spans="2:13">
      <c r="B27" s="445" t="s">
        <v>1972</v>
      </c>
      <c r="C27" s="473"/>
      <c r="E27" s="449" t="s">
        <v>2022</v>
      </c>
      <c r="F27" s="452"/>
    </row>
    <row r="28" spans="2:13">
      <c r="B28" s="1610" t="s">
        <v>1973</v>
      </c>
      <c r="C28" s="1630"/>
      <c r="E28" s="1628" t="s">
        <v>2023</v>
      </c>
      <c r="F28" s="162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2024</v>
      </c>
      <c r="C2" s="9" t="s">
        <v>37</v>
      </c>
    </row>
    <row r="3" spans="2:3">
      <c r="B3" s="64" t="s">
        <v>2025</v>
      </c>
      <c r="C3" t="e">
        <f t="shared" ref="C3:C66" ca="1" si="0">INDIRECT(B3)</f>
        <v>#REF!</v>
      </c>
    </row>
    <row r="4" spans="2:3">
      <c r="B4" s="64" t="s">
        <v>2026</v>
      </c>
      <c r="C4" t="e">
        <f t="shared" ca="1" si="0"/>
        <v>#REF!</v>
      </c>
    </row>
    <row r="5" spans="2:3">
      <c r="B5" s="64" t="s">
        <v>2027</v>
      </c>
      <c r="C5" t="e">
        <f t="shared" ca="1" si="0"/>
        <v>#REF!</v>
      </c>
    </row>
    <row r="6" spans="2:3">
      <c r="B6" s="64" t="s">
        <v>2028</v>
      </c>
      <c r="C6" t="e">
        <f t="shared" ca="1" si="0"/>
        <v>#REF!</v>
      </c>
    </row>
    <row r="7" spans="2:3">
      <c r="B7" s="64" t="s">
        <v>2029</v>
      </c>
      <c r="C7" t="e">
        <f t="shared" ca="1" si="0"/>
        <v>#REF!</v>
      </c>
    </row>
    <row r="8" spans="2:3">
      <c r="B8" s="64" t="s">
        <v>2030</v>
      </c>
      <c r="C8" t="e">
        <f t="shared" ca="1" si="0"/>
        <v>#REF!</v>
      </c>
    </row>
    <row r="9" spans="2:3">
      <c r="B9" s="64" t="s">
        <v>2031</v>
      </c>
      <c r="C9" t="e">
        <f t="shared" ca="1" si="0"/>
        <v>#REF!</v>
      </c>
    </row>
    <row r="10" spans="2:3">
      <c r="B10" s="64" t="s">
        <v>2032</v>
      </c>
      <c r="C10" t="e">
        <f t="shared" ca="1" si="0"/>
        <v>#REF!</v>
      </c>
    </row>
    <row r="11" spans="2:3">
      <c r="B11" s="64" t="s">
        <v>2033</v>
      </c>
      <c r="C11" t="e">
        <f t="shared" ca="1" si="0"/>
        <v>#REF!</v>
      </c>
    </row>
    <row r="12" spans="2:3">
      <c r="B12" s="63" t="s">
        <v>2034</v>
      </c>
      <c r="C12" t="e">
        <f t="shared" ca="1" si="0"/>
        <v>#REF!</v>
      </c>
    </row>
    <row r="13" spans="2:3">
      <c r="B13" s="63" t="s">
        <v>2035</v>
      </c>
      <c r="C13" t="e">
        <f t="shared" ca="1" si="0"/>
        <v>#REF!</v>
      </c>
    </row>
    <row r="14" spans="2:3">
      <c r="B14" s="63" t="s">
        <v>2036</v>
      </c>
      <c r="C14">
        <f t="shared" ca="1" si="0"/>
        <v>2022</v>
      </c>
    </row>
    <row r="15" spans="2:3">
      <c r="B15" s="63" t="s">
        <v>2037</v>
      </c>
      <c r="C15">
        <f t="shared" ca="1" si="0"/>
        <v>2022</v>
      </c>
    </row>
    <row r="16" spans="2:3">
      <c r="B16" s="63" t="s">
        <v>2038</v>
      </c>
      <c r="C16">
        <f t="shared" ca="1" si="0"/>
        <v>44710</v>
      </c>
    </row>
    <row r="17" spans="2:3">
      <c r="B17" s="63" t="s">
        <v>2039</v>
      </c>
      <c r="C17">
        <f t="shared" ca="1" si="0"/>
        <v>10563.659</v>
      </c>
    </row>
    <row r="18" spans="2:3">
      <c r="B18" s="63" t="s">
        <v>2040</v>
      </c>
      <c r="C18">
        <f t="shared" ca="1" si="0"/>
        <v>0</v>
      </c>
    </row>
    <row r="19" spans="2:3">
      <c r="B19" s="63" t="s">
        <v>2041</v>
      </c>
      <c r="C19">
        <f t="shared" ca="1" si="0"/>
        <v>8167.2539999999999</v>
      </c>
    </row>
    <row r="20" spans="2:3">
      <c r="B20" s="63" t="s">
        <v>2042</v>
      </c>
      <c r="C20" t="e">
        <f t="shared" ca="1" si="0"/>
        <v>#VALUE!</v>
      </c>
    </row>
    <row r="21" spans="2:3">
      <c r="B21" s="63" t="s">
        <v>2043</v>
      </c>
      <c r="C21">
        <f t="shared" ca="1" si="0"/>
        <v>5384</v>
      </c>
    </row>
    <row r="22" spans="2:3">
      <c r="B22" s="63" t="s">
        <v>1145</v>
      </c>
      <c r="C22">
        <f t="shared" ca="1" si="0"/>
        <v>210</v>
      </c>
    </row>
    <row r="23" spans="2:3">
      <c r="B23" s="63" t="s">
        <v>2044</v>
      </c>
      <c r="C23">
        <f t="shared" ca="1" si="0"/>
        <v>3.4799999999999998E-2</v>
      </c>
    </row>
    <row r="24" spans="2:3">
      <c r="B24" s="63" t="s">
        <v>2045</v>
      </c>
      <c r="C24" t="e">
        <f t="shared" ca="1" si="0"/>
        <v>#REF!</v>
      </c>
    </row>
    <row r="25" spans="2:3">
      <c r="B25" s="63" t="s">
        <v>2046</v>
      </c>
      <c r="C25">
        <f t="shared" ca="1" si="0"/>
        <v>40537.047999999995</v>
      </c>
    </row>
    <row r="26" spans="2:3">
      <c r="B26" s="63" t="s">
        <v>2047</v>
      </c>
      <c r="C26">
        <f t="shared" ca="1" si="0"/>
        <v>0</v>
      </c>
    </row>
    <row r="27" spans="2:3">
      <c r="B27" s="63" t="s">
        <v>2048</v>
      </c>
      <c r="C27" t="e">
        <f t="shared" ca="1" si="0"/>
        <v>#REF!</v>
      </c>
    </row>
    <row r="28" spans="2:3">
      <c r="B28" s="63" t="s">
        <v>2049</v>
      </c>
      <c r="C28" t="e">
        <f t="shared" ca="1" si="0"/>
        <v>#REF!</v>
      </c>
    </row>
    <row r="29" spans="2:3">
      <c r="B29" s="63" t="s">
        <v>2050</v>
      </c>
      <c r="C29">
        <f t="shared" ca="1" si="0"/>
        <v>0</v>
      </c>
    </row>
    <row r="30" spans="2:3">
      <c r="B30" s="63" t="s">
        <v>2051</v>
      </c>
      <c r="C30">
        <f t="shared" ca="1" si="0"/>
        <v>1942</v>
      </c>
    </row>
    <row r="31" spans="2:3">
      <c r="B31" s="63" t="s">
        <v>2052</v>
      </c>
      <c r="C31">
        <f t="shared" ca="1" si="0"/>
        <v>44710</v>
      </c>
    </row>
    <row r="32" spans="2:3">
      <c r="B32" s="63" t="s">
        <v>2053</v>
      </c>
      <c r="C32" t="e">
        <f t="shared" ca="1" si="0"/>
        <v>#REF!</v>
      </c>
    </row>
    <row r="33" spans="2:3">
      <c r="B33" s="63" t="s">
        <v>2054</v>
      </c>
      <c r="C33">
        <f t="shared" ca="1" si="0"/>
        <v>0.21437003734911239</v>
      </c>
    </row>
    <row r="34" spans="2:3">
      <c r="B34" s="63" t="s">
        <v>2055</v>
      </c>
      <c r="C34" t="e">
        <f t="shared" ca="1" si="0"/>
        <v>#REF!</v>
      </c>
    </row>
    <row r="35" spans="2:3">
      <c r="B35" s="63" t="s">
        <v>2056</v>
      </c>
      <c r="C35">
        <f t="shared" ca="1" si="0"/>
        <v>-101090.8966218686</v>
      </c>
    </row>
    <row r="36" spans="2:3">
      <c r="B36" s="63" t="s">
        <v>2057</v>
      </c>
      <c r="C36" t="e">
        <f t="shared" ca="1" si="0"/>
        <v>#REF!</v>
      </c>
    </row>
    <row r="37" spans="2:3">
      <c r="B37" s="63" t="s">
        <v>2058</v>
      </c>
      <c r="C37" t="e">
        <f t="shared" ca="1" si="0"/>
        <v>#REF!</v>
      </c>
    </row>
    <row r="38" spans="2:3">
      <c r="B38" s="64" t="s">
        <v>2059</v>
      </c>
      <c r="C38" t="e">
        <f t="shared" ca="1" si="0"/>
        <v>#REF!</v>
      </c>
    </row>
    <row r="39" spans="2:3">
      <c r="B39" s="63" t="s">
        <v>2060</v>
      </c>
      <c r="C39" t="e">
        <f t="shared" ca="1" si="0"/>
        <v>#REF!</v>
      </c>
    </row>
    <row r="40" spans="2:3">
      <c r="B40" s="63" t="s">
        <v>2061</v>
      </c>
      <c r="C40" t="e">
        <f t="shared" ca="1" si="0"/>
        <v>#REF!</v>
      </c>
    </row>
    <row r="41" spans="2:3">
      <c r="B41" s="63" t="s">
        <v>2062</v>
      </c>
      <c r="C41">
        <f t="shared" ca="1" si="0"/>
        <v>0.31463538360296806</v>
      </c>
    </row>
    <row r="42" spans="2:3">
      <c r="B42" s="63" t="s">
        <v>2063</v>
      </c>
      <c r="C42">
        <f t="shared" ca="1" si="0"/>
        <v>0.32661367924754181</v>
      </c>
    </row>
    <row r="43" spans="2:3">
      <c r="B43" s="63" t="s">
        <v>2064</v>
      </c>
      <c r="C43">
        <f t="shared" ca="1" si="0"/>
        <v>0.29090545395764322</v>
      </c>
    </row>
    <row r="44" spans="2:3">
      <c r="B44" s="63" t="s">
        <v>2065</v>
      </c>
      <c r="C44" t="e">
        <f t="shared" ca="1" si="0"/>
        <v>#REF!</v>
      </c>
    </row>
    <row r="45" spans="2:3">
      <c r="B45" s="63" t="s">
        <v>2066</v>
      </c>
      <c r="C45" t="e">
        <f t="shared" ca="1" si="0"/>
        <v>#REF!</v>
      </c>
    </row>
    <row r="46" spans="2:3">
      <c r="B46" s="63" t="s">
        <v>2067</v>
      </c>
      <c r="C46" t="e">
        <f t="shared" ca="1" si="0"/>
        <v>#REF!</v>
      </c>
    </row>
    <row r="47" spans="2:3">
      <c r="B47" s="63" t="s">
        <v>2068</v>
      </c>
      <c r="C47">
        <f t="shared" ca="1" si="0"/>
        <v>0.31463538360296806</v>
      </c>
    </row>
    <row r="48" spans="2:3">
      <c r="B48" s="63" t="s">
        <v>2069</v>
      </c>
      <c r="C48">
        <f t="shared" ca="1" si="0"/>
        <v>3329455.1935485285</v>
      </c>
    </row>
    <row r="49" spans="2:3">
      <c r="B49" s="63" t="s">
        <v>2070</v>
      </c>
      <c r="C49">
        <f t="shared" ca="1" si="0"/>
        <v>10944.528595109821</v>
      </c>
    </row>
    <row r="50" spans="2:3">
      <c r="B50" s="63" t="s">
        <v>2071</v>
      </c>
      <c r="C50">
        <f t="shared" ca="1" si="0"/>
        <v>0.1197</v>
      </c>
    </row>
    <row r="51" spans="2:3">
      <c r="B51" s="63" t="s">
        <v>2072</v>
      </c>
      <c r="C51">
        <f t="shared" ca="1" si="0"/>
        <v>10563.659</v>
      </c>
    </row>
    <row r="52" spans="2:3">
      <c r="B52" s="63" t="s">
        <v>2073</v>
      </c>
      <c r="C52">
        <f t="shared" ca="1" si="0"/>
        <v>10563.659</v>
      </c>
    </row>
    <row r="53" spans="2:3">
      <c r="B53" s="63" t="s">
        <v>2074</v>
      </c>
      <c r="C53">
        <f t="shared" ca="1" si="0"/>
        <v>0</v>
      </c>
    </row>
    <row r="54" spans="2:3">
      <c r="B54" s="63" t="s">
        <v>2075</v>
      </c>
      <c r="C54">
        <f t="shared" ca="1" si="0"/>
        <v>0.27286387681266755</v>
      </c>
    </row>
    <row r="55" spans="2:3">
      <c r="B55" s="63" t="s">
        <v>2076</v>
      </c>
      <c r="C55">
        <f t="shared" ca="1" si="0"/>
        <v>0</v>
      </c>
    </row>
    <row r="56" spans="2:3">
      <c r="B56" s="63" t="s">
        <v>2077</v>
      </c>
      <c r="C56">
        <f t="shared" ca="1" si="0"/>
        <v>0</v>
      </c>
    </row>
    <row r="57" spans="2:3">
      <c r="B57" s="63" t="s">
        <v>2078</v>
      </c>
      <c r="C57">
        <f t="shared" ca="1" si="0"/>
        <v>0.20341202822744492</v>
      </c>
    </row>
    <row r="58" spans="2:3">
      <c r="B58" s="63" t="s">
        <v>2079</v>
      </c>
      <c r="C58">
        <f t="shared" ca="1" si="0"/>
        <v>0.12131630216906664</v>
      </c>
    </row>
    <row r="59" spans="2:3">
      <c r="B59" s="63" t="s">
        <v>2080</v>
      </c>
      <c r="C59">
        <f t="shared" ca="1" si="0"/>
        <v>0.12131630216906664</v>
      </c>
    </row>
    <row r="60" spans="2:3">
      <c r="B60" s="63" t="s">
        <v>2081</v>
      </c>
      <c r="C60" t="e">
        <f t="shared" ca="1" si="0"/>
        <v>#REF!</v>
      </c>
    </row>
    <row r="61" spans="2:3">
      <c r="B61" s="63" t="s">
        <v>2082</v>
      </c>
      <c r="C61">
        <f t="shared" ca="1" si="0"/>
        <v>1.8384706012853583E-2</v>
      </c>
    </row>
    <row r="62" spans="2:3">
      <c r="B62" s="63" t="s">
        <v>2083</v>
      </c>
      <c r="C62">
        <f t="shared" ca="1" si="0"/>
        <v>0.25069999999999998</v>
      </c>
    </row>
    <row r="63" spans="2:3">
      <c r="B63" s="63" t="s">
        <v>2084</v>
      </c>
      <c r="C63">
        <f t="shared" ca="1" si="0"/>
        <v>7.4333012775292251E-2</v>
      </c>
    </row>
    <row r="64" spans="2:3">
      <c r="B64" s="63" t="s">
        <v>2085</v>
      </c>
      <c r="C64" t="e">
        <f t="shared" ca="1" si="0"/>
        <v>#REF!</v>
      </c>
    </row>
    <row r="65" spans="2:3">
      <c r="B65" s="63" t="s">
        <v>2086</v>
      </c>
      <c r="C65">
        <f t="shared" ca="1" si="0"/>
        <v>0.15128679470044326</v>
      </c>
    </row>
    <row r="66" spans="2:3">
      <c r="B66" s="63" t="s">
        <v>2087</v>
      </c>
      <c r="C66">
        <f t="shared" ca="1" si="0"/>
        <v>9.9367757723719072E-2</v>
      </c>
    </row>
    <row r="67" spans="2:3">
      <c r="B67" s="63" t="s">
        <v>2088</v>
      </c>
      <c r="C67">
        <f t="shared" ref="C67:C130" ca="1" si="1">INDIRECT(B67)</f>
        <v>5.8569075912297437E-2</v>
      </c>
    </row>
    <row r="68" spans="2:3">
      <c r="B68" s="63" t="s">
        <v>2089</v>
      </c>
      <c r="C68">
        <f t="shared" ca="1" si="1"/>
        <v>0.19489999999999999</v>
      </c>
    </row>
    <row r="69" spans="2:3">
      <c r="B69" s="63" t="s">
        <v>2090</v>
      </c>
      <c r="C69">
        <f t="shared" ca="1" si="1"/>
        <v>220391.41032326259</v>
      </c>
    </row>
    <row r="70" spans="2:3">
      <c r="B70" s="63" t="s">
        <v>2091</v>
      </c>
      <c r="C70" t="str">
        <f t="shared" ca="1" si="1"/>
        <v>Cooperativa de Eletrificação Rural da Região de Promissão</v>
      </c>
    </row>
    <row r="71" spans="2:3">
      <c r="B71" s="63" t="s">
        <v>2092</v>
      </c>
      <c r="C71" t="e">
        <f t="shared" ca="1" si="1"/>
        <v>#REF!</v>
      </c>
    </row>
    <row r="72" spans="2:3">
      <c r="B72" s="63" t="s">
        <v>2093</v>
      </c>
      <c r="C72" t="str">
        <f t="shared" ca="1" si="1"/>
        <v>07/2008</v>
      </c>
    </row>
    <row r="73" spans="2:3">
      <c r="B73" s="63" t="s">
        <v>2094</v>
      </c>
      <c r="C73" t="str">
        <f t="shared" ca="1" si="1"/>
        <v>48500.004969/2021-88</v>
      </c>
    </row>
    <row r="74" spans="2:3">
      <c r="B74" s="63" t="s">
        <v>2095</v>
      </c>
      <c r="C74">
        <f t="shared" ca="1" si="1"/>
        <v>0.57106896719926636</v>
      </c>
    </row>
    <row r="75" spans="2:3">
      <c r="B75" s="63" t="s">
        <v>2096</v>
      </c>
      <c r="C75">
        <f t="shared" ca="1" si="1"/>
        <v>0.42893103280073358</v>
      </c>
    </row>
    <row r="76" spans="2:3">
      <c r="B76" s="63" t="s">
        <v>2097</v>
      </c>
      <c r="C76">
        <f t="shared" ca="1" si="1"/>
        <v>3.4799999999999998E-2</v>
      </c>
    </row>
    <row r="77" spans="2:3">
      <c r="B77" s="63" t="s">
        <v>2098</v>
      </c>
      <c r="C77">
        <f t="shared" ca="1" si="1"/>
        <v>1.0958009121667465E-2</v>
      </c>
    </row>
    <row r="78" spans="2:3">
      <c r="B78" s="63" t="s">
        <v>2099</v>
      </c>
      <c r="C78">
        <f t="shared" ca="1" si="1"/>
        <v>380.86959510982177</v>
      </c>
    </row>
    <row r="79" spans="2:3">
      <c r="B79" s="63" t="s">
        <v>2100</v>
      </c>
      <c r="C79">
        <f t="shared" ca="1" si="1"/>
        <v>3.4799999999999998E-2</v>
      </c>
    </row>
    <row r="80" spans="2:3">
      <c r="B80" s="63" t="s">
        <v>2101</v>
      </c>
      <c r="C80">
        <f t="shared" ca="1" si="1"/>
        <v>387731.83742470801</v>
      </c>
    </row>
    <row r="81" spans="2:3">
      <c r="B81" s="63" t="s">
        <v>2102</v>
      </c>
      <c r="C81">
        <f t="shared" ca="1" si="1"/>
        <v>387731.83742470801</v>
      </c>
    </row>
    <row r="82" spans="2:3">
      <c r="B82" s="64" t="s">
        <v>2103</v>
      </c>
      <c r="C82">
        <f t="shared" ca="1" si="1"/>
        <v>215.08</v>
      </c>
    </row>
    <row r="83" spans="2:3">
      <c r="B83" s="63" t="s">
        <v>2104</v>
      </c>
      <c r="C83">
        <f t="shared" ca="1" si="1"/>
        <v>19723496.496920004</v>
      </c>
    </row>
    <row r="84" spans="2:3">
      <c r="B84" s="63" t="s">
        <v>2105</v>
      </c>
      <c r="C84">
        <f t="shared" ca="1" si="1"/>
        <v>0</v>
      </c>
    </row>
    <row r="85" spans="2:3">
      <c r="B85" s="63" t="s">
        <v>2106</v>
      </c>
      <c r="C85">
        <f t="shared" ca="1" si="1"/>
        <v>0</v>
      </c>
    </row>
    <row r="86" spans="2:3">
      <c r="B86" s="63" t="s">
        <v>2107</v>
      </c>
      <c r="C86" t="str">
        <f t="shared" ca="1" si="1"/>
        <v>maio de 2021 a abril de 2022</v>
      </c>
    </row>
    <row r="87" spans="2:3">
      <c r="B87" s="63" t="s">
        <v>2108</v>
      </c>
      <c r="C87">
        <f t="shared" ca="1" si="1"/>
        <v>0</v>
      </c>
    </row>
    <row r="88" spans="2:3">
      <c r="B88" s="63" t="s">
        <v>2109</v>
      </c>
      <c r="C88" t="str">
        <f t="shared" ca="1" si="1"/>
        <v>Cerpro</v>
      </c>
    </row>
    <row r="89" spans="2:3">
      <c r="B89" s="63" t="s">
        <v>2110</v>
      </c>
      <c r="C89">
        <f t="shared" ca="1" si="1"/>
        <v>-1599892.1389602604</v>
      </c>
    </row>
    <row r="90" spans="2:3">
      <c r="B90" s="63" t="s">
        <v>2111</v>
      </c>
      <c r="C90" t="e">
        <f t="shared" ca="1" si="1"/>
        <v>#REF!</v>
      </c>
    </row>
    <row r="91" spans="2:3">
      <c r="B91" s="64" t="s">
        <v>2112</v>
      </c>
      <c r="C91">
        <f t="shared" ca="1" si="1"/>
        <v>6028139.6394422995</v>
      </c>
    </row>
    <row r="92" spans="2:3">
      <c r="B92" s="64" t="s">
        <v>2113</v>
      </c>
      <c r="C92">
        <f t="shared" ca="1" si="1"/>
        <v>0.1222</v>
      </c>
    </row>
    <row r="93" spans="2:3">
      <c r="B93" s="64" t="s">
        <v>2114</v>
      </c>
      <c r="C93">
        <f t="shared" ca="1" si="1"/>
        <v>0.44929999999999998</v>
      </c>
    </row>
    <row r="94" spans="2:3">
      <c r="B94" s="64" t="s">
        <v>2115</v>
      </c>
      <c r="C94">
        <f t="shared" ca="1" si="1"/>
        <v>0.23710000000000001</v>
      </c>
    </row>
    <row r="95" spans="2:3">
      <c r="B95" s="64" t="s">
        <v>2116</v>
      </c>
      <c r="C95" t="e">
        <f t="shared" ca="1" si="1"/>
        <v>#VALUE!</v>
      </c>
    </row>
    <row r="96" spans="2:3">
      <c r="B96" s="64" t="s">
        <v>2117</v>
      </c>
      <c r="C96" t="e">
        <f t="shared" ca="1" si="1"/>
        <v>#VALUE!</v>
      </c>
    </row>
    <row r="97" spans="2:3">
      <c r="B97" s="64" t="s">
        <v>2118</v>
      </c>
      <c r="C97" t="e">
        <f t="shared" ca="1" si="1"/>
        <v>#VALUE!</v>
      </c>
    </row>
    <row r="98" spans="2:3">
      <c r="B98" s="64" t="s">
        <v>2119</v>
      </c>
      <c r="C98" t="e">
        <f t="shared" ca="1" si="1"/>
        <v>#VALUE!</v>
      </c>
    </row>
    <row r="99" spans="2:3">
      <c r="B99" s="63" t="s">
        <v>2120</v>
      </c>
      <c r="C99" t="e">
        <f t="shared" ca="1" si="1"/>
        <v>#VALUE!</v>
      </c>
    </row>
    <row r="100" spans="2:3">
      <c r="B100" s="64" t="s">
        <v>2121</v>
      </c>
      <c r="C100" t="e">
        <f t="shared" ca="1" si="1"/>
        <v>#VALUE!</v>
      </c>
    </row>
    <row r="101" spans="2:3">
      <c r="B101" s="63" t="s">
        <v>2122</v>
      </c>
      <c r="C101" t="e">
        <f t="shared" ca="1" si="1"/>
        <v>#VALUE!</v>
      </c>
    </row>
    <row r="102" spans="2:3">
      <c r="B102" s="63" t="s">
        <v>2123</v>
      </c>
      <c r="C102" t="e">
        <f t="shared" ca="1" si="1"/>
        <v>#VALUE!</v>
      </c>
    </row>
    <row r="103" spans="2:3">
      <c r="B103" s="63" t="s">
        <v>2124</v>
      </c>
      <c r="C103" t="e">
        <f t="shared" ca="1" si="1"/>
        <v>#VALUE!</v>
      </c>
    </row>
    <row r="104" spans="2:3">
      <c r="B104" s="63" t="s">
        <v>2125</v>
      </c>
      <c r="C104" t="e">
        <f t="shared" ca="1" si="1"/>
        <v>#VALUE!</v>
      </c>
    </row>
    <row r="105" spans="2:3">
      <c r="B105" s="63" t="s">
        <v>2126</v>
      </c>
      <c r="C105" t="e">
        <f t="shared" ca="1" si="1"/>
        <v>#VALUE!</v>
      </c>
    </row>
    <row r="106" spans="2:3">
      <c r="B106" s="63" t="s">
        <v>2127</v>
      </c>
      <c r="C106" t="e">
        <f t="shared" ca="1" si="1"/>
        <v>#VALUE!</v>
      </c>
    </row>
    <row r="107" spans="2:3">
      <c r="B107" s="63" t="s">
        <v>2128</v>
      </c>
      <c r="C107" t="e">
        <f t="shared" ca="1" si="1"/>
        <v>#VALUE!</v>
      </c>
    </row>
    <row r="108" spans="2:3">
      <c r="B108" s="63" t="s">
        <v>2129</v>
      </c>
      <c r="C108" t="e">
        <f t="shared" ca="1" si="1"/>
        <v>#REF!</v>
      </c>
    </row>
    <row r="109" spans="2:3">
      <c r="B109" s="63" t="s">
        <v>2130</v>
      </c>
      <c r="C109" t="e">
        <f t="shared" ca="1" si="1"/>
        <v>#REF!</v>
      </c>
    </row>
    <row r="110" spans="2:3">
      <c r="B110" s="63" t="s">
        <v>2131</v>
      </c>
      <c r="C110" t="e">
        <f t="shared" ca="1" si="1"/>
        <v>#REF!</v>
      </c>
    </row>
    <row r="111" spans="2:3">
      <c r="B111" s="63" t="s">
        <v>2132</v>
      </c>
      <c r="C111" t="e">
        <f t="shared" ca="1" si="1"/>
        <v>#REF!</v>
      </c>
    </row>
    <row r="112" spans="2:3">
      <c r="B112" s="63" t="s">
        <v>2133</v>
      </c>
      <c r="C112" t="e">
        <f t="shared" ca="1" si="1"/>
        <v>#REF!</v>
      </c>
    </row>
    <row r="113" spans="2:3">
      <c r="B113" s="63" t="s">
        <v>2134</v>
      </c>
      <c r="C113" t="e">
        <f t="shared" ca="1" si="1"/>
        <v>#REF!</v>
      </c>
    </row>
    <row r="114" spans="2:3">
      <c r="B114" s="63" t="s">
        <v>2135</v>
      </c>
      <c r="C114" t="e">
        <f t="shared" ca="1" si="1"/>
        <v>#REF!</v>
      </c>
    </row>
    <row r="115" spans="2:3">
      <c r="B115" s="63" t="s">
        <v>2136</v>
      </c>
      <c r="C115">
        <f t="shared" ca="1" si="1"/>
        <v>0</v>
      </c>
    </row>
    <row r="116" spans="2:3">
      <c r="B116" s="64" t="s">
        <v>2137</v>
      </c>
      <c r="C116">
        <f t="shared" ca="1" si="1"/>
        <v>2741138.8933965573</v>
      </c>
    </row>
    <row r="117" spans="2:3">
      <c r="B117" s="63" t="s">
        <v>2138</v>
      </c>
      <c r="C117">
        <f t="shared" ca="1" si="1"/>
        <v>0</v>
      </c>
    </row>
    <row r="118" spans="2:3">
      <c r="B118" s="63" t="s">
        <v>2139</v>
      </c>
      <c r="C118">
        <f t="shared" ca="1" si="1"/>
        <v>0</v>
      </c>
    </row>
    <row r="119" spans="2:3">
      <c r="B119" s="64" t="s">
        <v>2140</v>
      </c>
      <c r="C119">
        <f t="shared" ca="1" si="1"/>
        <v>0</v>
      </c>
    </row>
    <row r="120" spans="2:3">
      <c r="B120" s="63" t="s">
        <v>2141</v>
      </c>
      <c r="C120">
        <f t="shared" ca="1" si="1"/>
        <v>0</v>
      </c>
    </row>
    <row r="121" spans="2:3">
      <c r="B121" s="63" t="s">
        <v>2142</v>
      </c>
      <c r="C121">
        <f t="shared" ca="1" si="1"/>
        <v>0</v>
      </c>
    </row>
    <row r="122" spans="2:3">
      <c r="B122" s="64" t="s">
        <v>2143</v>
      </c>
      <c r="C122">
        <f t="shared" ca="1" si="1"/>
        <v>0</v>
      </c>
    </row>
    <row r="123" spans="2:3">
      <c r="B123" s="63" t="s">
        <v>2144</v>
      </c>
      <c r="C123">
        <f t="shared" ca="1" si="1"/>
        <v>0</v>
      </c>
    </row>
    <row r="124" spans="2:3">
      <c r="B124" s="63" t="s">
        <v>2145</v>
      </c>
      <c r="C124">
        <f t="shared" ca="1" si="1"/>
        <v>0</v>
      </c>
    </row>
    <row r="125" spans="2:3">
      <c r="B125" s="64" t="s">
        <v>2146</v>
      </c>
      <c r="C125">
        <f t="shared" ca="1" si="1"/>
        <v>0</v>
      </c>
    </row>
    <row r="126" spans="2:3">
      <c r="B126" s="63" t="s">
        <v>2147</v>
      </c>
      <c r="C126">
        <f t="shared" ca="1" si="1"/>
        <v>476011.59378594742</v>
      </c>
    </row>
    <row r="127" spans="2:3">
      <c r="B127" s="63" t="s">
        <v>2148</v>
      </c>
      <c r="C127">
        <f t="shared" ca="1" si="1"/>
        <v>0</v>
      </c>
    </row>
    <row r="128" spans="2:3">
      <c r="B128" s="64" t="s">
        <v>2149</v>
      </c>
      <c r="C128">
        <f t="shared" ca="1" si="1"/>
        <v>45866.266342703326</v>
      </c>
    </row>
    <row r="129" spans="2:3">
      <c r="B129" s="63" t="s">
        <v>2150</v>
      </c>
      <c r="C129">
        <f t="shared" ca="1" si="1"/>
        <v>51100.706999999995</v>
      </c>
    </row>
    <row r="130" spans="2:3">
      <c r="B130" s="63" t="s">
        <v>2151</v>
      </c>
      <c r="C130">
        <f t="shared" ca="1" si="1"/>
        <v>19723496.496920004</v>
      </c>
    </row>
    <row r="131" spans="2:3">
      <c r="B131" s="64" t="s">
        <v>2152</v>
      </c>
      <c r="C131" t="str">
        <f t="shared" ref="C131:C194" ca="1" si="2">INDIRECT(B131)</f>
        <v>Verde</v>
      </c>
    </row>
    <row r="132" spans="2:3">
      <c r="B132" s="63" t="s">
        <v>2153</v>
      </c>
      <c r="C132" t="e">
        <f t="shared" ca="1" si="2"/>
        <v>#VALUE!</v>
      </c>
    </row>
    <row r="133" spans="2:3">
      <c r="B133" s="64" t="s">
        <v>2154</v>
      </c>
      <c r="C133" t="e">
        <f t="shared" ca="1" si="2"/>
        <v>#REF!</v>
      </c>
    </row>
    <row r="134" spans="2:3">
      <c r="B134" s="63" t="s">
        <v>2155</v>
      </c>
      <c r="C134" t="e">
        <f t="shared" ca="1" si="2"/>
        <v>#REF!</v>
      </c>
    </row>
    <row r="135" spans="2:3">
      <c r="B135" s="63" t="s">
        <v>2156</v>
      </c>
      <c r="C135">
        <f t="shared" ca="1" si="2"/>
        <v>44652</v>
      </c>
    </row>
    <row r="136" spans="2:3">
      <c r="B136" s="63" t="s">
        <v>2157</v>
      </c>
      <c r="C136">
        <f t="shared" ca="1" si="2"/>
        <v>44317</v>
      </c>
    </row>
    <row r="137" spans="2:3">
      <c r="B137" s="63" t="s">
        <v>2158</v>
      </c>
      <c r="C137" t="e">
        <f t="shared" ca="1" si="2"/>
        <v>#REF!</v>
      </c>
    </row>
    <row r="138" spans="2:3">
      <c r="B138" s="63" t="s">
        <v>2159</v>
      </c>
      <c r="C138" t="e">
        <f t="shared" ca="1" si="2"/>
        <v>#REF!</v>
      </c>
    </row>
    <row r="139" spans="2:3">
      <c r="B139" s="63" t="s">
        <v>2160</v>
      </c>
      <c r="C139" t="e">
        <f t="shared" ca="1" si="2"/>
        <v>#REF!</v>
      </c>
    </row>
    <row r="140" spans="2:3">
      <c r="B140" s="63" t="s">
        <v>2161</v>
      </c>
      <c r="C140">
        <f t="shared" ca="1" si="2"/>
        <v>0</v>
      </c>
    </row>
    <row r="141" spans="2:3">
      <c r="B141" s="63" t="s">
        <v>2162</v>
      </c>
      <c r="C141" t="e">
        <f t="shared" ca="1" si="2"/>
        <v>#VALUE!</v>
      </c>
    </row>
    <row r="142" spans="2:3">
      <c r="B142" s="63" t="s">
        <v>2163</v>
      </c>
      <c r="C142" t="e">
        <f t="shared" ca="1" si="2"/>
        <v>#VALUE!</v>
      </c>
    </row>
    <row r="143" spans="2:3">
      <c r="B143" s="63" t="s">
        <v>2164</v>
      </c>
      <c r="C143" t="e">
        <f t="shared" ca="1" si="2"/>
        <v>#VALUE!</v>
      </c>
    </row>
    <row r="144" spans="2:3">
      <c r="B144" s="63" t="s">
        <v>2165</v>
      </c>
      <c r="C144" t="e">
        <f t="shared" ca="1" si="2"/>
        <v>#VALUE!</v>
      </c>
    </row>
    <row r="145" spans="2:3">
      <c r="B145" s="63" t="s">
        <v>2166</v>
      </c>
      <c r="C145" t="e">
        <f t="shared" ca="1" si="2"/>
        <v>#VALUE!</v>
      </c>
    </row>
    <row r="146" spans="2:3">
      <c r="B146" s="64" t="s">
        <v>2167</v>
      </c>
      <c r="C146" t="e">
        <f t="shared" ca="1" si="2"/>
        <v>#REF!</v>
      </c>
    </row>
    <row r="147" spans="2:3">
      <c r="B147" s="64" t="s">
        <v>2168</v>
      </c>
      <c r="C147" t="e">
        <f t="shared" ca="1" si="2"/>
        <v>#REF!</v>
      </c>
    </row>
    <row r="148" spans="2:3">
      <c r="B148" s="64" t="s">
        <v>2169</v>
      </c>
      <c r="C148" t="e">
        <f t="shared" ca="1" si="2"/>
        <v>#REF!</v>
      </c>
    </row>
    <row r="149" spans="2:3">
      <c r="B149" s="64" t="s">
        <v>2170</v>
      </c>
      <c r="C149" t="e">
        <f t="shared" ca="1" si="2"/>
        <v>#REF!</v>
      </c>
    </row>
    <row r="150" spans="2:3">
      <c r="B150" s="64" t="s">
        <v>2171</v>
      </c>
      <c r="C150" t="e">
        <f t="shared" ca="1" si="2"/>
        <v>#REF!</v>
      </c>
    </row>
    <row r="151" spans="2:3">
      <c r="B151" s="64" t="s">
        <v>2172</v>
      </c>
      <c r="C151" t="e">
        <f t="shared" ca="1" si="2"/>
        <v>#REF!</v>
      </c>
    </row>
    <row r="152" spans="2:3">
      <c r="B152" s="64" t="s">
        <v>2173</v>
      </c>
      <c r="C152" t="e">
        <f t="shared" ca="1" si="2"/>
        <v>#REF!</v>
      </c>
    </row>
    <row r="153" spans="2:3">
      <c r="B153" s="64" t="s">
        <v>2174</v>
      </c>
      <c r="C153" t="e">
        <f t="shared" ca="1" si="2"/>
        <v>#REF!</v>
      </c>
    </row>
    <row r="154" spans="2:3">
      <c r="B154" s="63" t="s">
        <v>2175</v>
      </c>
      <c r="C154" t="e">
        <f t="shared" ca="1" si="2"/>
        <v>#VALUE!</v>
      </c>
    </row>
    <row r="155" spans="2:3">
      <c r="B155" s="63" t="s">
        <v>2176</v>
      </c>
      <c r="C155" t="e">
        <f t="shared" ca="1" si="2"/>
        <v>#VALUE!</v>
      </c>
    </row>
    <row r="156" spans="2:3">
      <c r="B156" s="63" t="s">
        <v>2177</v>
      </c>
      <c r="C156" t="e">
        <f t="shared" ca="1" si="2"/>
        <v>#VALUE!</v>
      </c>
    </row>
    <row r="157" spans="2:3">
      <c r="B157" s="63" t="s">
        <v>2178</v>
      </c>
      <c r="C157" t="e">
        <f t="shared" ca="1" si="2"/>
        <v>#VALUE!</v>
      </c>
    </row>
    <row r="158" spans="2:3">
      <c r="B158" s="63" t="s">
        <v>2179</v>
      </c>
      <c r="C158" t="e">
        <f t="shared" ca="1" si="2"/>
        <v>#REF!</v>
      </c>
    </row>
    <row r="159" spans="2:3">
      <c r="B159" s="63" t="s">
        <v>2180</v>
      </c>
      <c r="C159" t="e">
        <f t="shared" ca="1" si="2"/>
        <v>#VALUE!</v>
      </c>
    </row>
    <row r="160" spans="2:3">
      <c r="B160" s="63" t="s">
        <v>2181</v>
      </c>
      <c r="C160" t="e">
        <f t="shared" ca="1" si="2"/>
        <v>#VALUE!</v>
      </c>
    </row>
    <row r="161" spans="2:3">
      <c r="B161" s="63" t="s">
        <v>2182</v>
      </c>
      <c r="C161" t="e">
        <f t="shared" ca="1" si="2"/>
        <v>#VALUE!</v>
      </c>
    </row>
    <row r="162" spans="2:3">
      <c r="B162" s="63" t="s">
        <v>2183</v>
      </c>
      <c r="C162" t="e">
        <f t="shared" ca="1" si="2"/>
        <v>#VALUE!</v>
      </c>
    </row>
    <row r="163" spans="2:3">
      <c r="B163" s="63" t="s">
        <v>2184</v>
      </c>
      <c r="C163" t="e">
        <f t="shared" ca="1" si="2"/>
        <v>#VALUE!</v>
      </c>
    </row>
    <row r="164" spans="2:3">
      <c r="B164" s="63" t="s">
        <v>2185</v>
      </c>
      <c r="C164" t="e">
        <f t="shared" ca="1" si="2"/>
        <v>#VALUE!</v>
      </c>
    </row>
    <row r="165" spans="2:3">
      <c r="B165" s="63" t="s">
        <v>2186</v>
      </c>
      <c r="C165" t="e">
        <f t="shared" ca="1" si="2"/>
        <v>#VALUE!</v>
      </c>
    </row>
    <row r="166" spans="2:3">
      <c r="B166" s="63" t="s">
        <v>2187</v>
      </c>
      <c r="C166" t="e">
        <f t="shared" ca="1" si="2"/>
        <v>#VALUE!</v>
      </c>
    </row>
    <row r="167" spans="2:3">
      <c r="B167" s="63" t="s">
        <v>2188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32</vt:i4>
      </vt:variant>
      <vt:variant>
        <vt:lpstr>Intervalos Nomeados</vt:lpstr>
      </vt:variant>
      <vt:variant>
        <vt:i4>227</vt:i4>
      </vt:variant>
    </vt:vector>
  </HeadingPairs>
  <TitlesOfParts>
    <vt:vector size="259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CVA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2022-05-24T19:51:30Z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